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charts/colors10.xml" ContentType="application/vnd.ms-office.chartcolorstyle+xml"/>
  <Override PartName="/xl/charts/style10.xml" ContentType="application/vnd.ms-office.chartstyle+xml"/>
  <Override PartName="/xl/charts/chart10.xml" ContentType="application/vnd.openxmlformats-officedocument.drawingml.chart+xml"/>
  <Override PartName="/xl/drawings/drawing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charts/colors9.xml" ContentType="application/vnd.ms-office.chartcolorstyle+xml"/>
  <Override PartName="/xl/charts/style9.xml" ContentType="application/vnd.ms-office.chartstyle+xml"/>
  <Override PartName="/xl/charts/chart9.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olors6.xml" ContentType="application/vnd.ms-office.chartcolorstyle+xml"/>
  <Override PartName="/xl/charts/style6.xml" ContentType="application/vnd.ms-office.chartstyle+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worksheets/sheet1.xml" ContentType="application/vnd.openxmlformats-officedocument.spreadsheetml.worksheet+xml"/>
  <Override PartName="/xl/charts/colors8.xml" ContentType="application/vnd.ms-office.chartcolorstyle+xml"/>
  <Override PartName="/xl/charts/style8.xml" ContentType="application/vnd.ms-office.chartstyle+xml"/>
  <Override PartName="/xl/charts/chart8.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style5.xml" ContentType="application/vnd.ms-office.chartstyle+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colors5.xml" ContentType="application/vnd.ms-office.chartcolorstyle+xml"/>
  <Override PartName="/xl/charts/colors1.xml" ContentType="application/vnd.ms-office.chartcolorstyle+xml"/>
  <Override PartName="/xl/charts/chart4.xml" ContentType="application/vnd.openxmlformats-officedocument.drawingml.chart+xml"/>
  <Override PartName="/xl/charts/colors3.xml" ContentType="application/vnd.ms-office.chartcolorstyle+xml"/>
  <Override PartName="/xl/charts/style3.xml" ContentType="application/vnd.ms-office.chartstyle+xml"/>
  <Override PartName="/xl/charts/chart1.xml" ContentType="application/vnd.openxmlformats-officedocument.drawingml.chart+xml"/>
  <Override PartName="/xl/charts/chart3.xml" ContentType="application/vnd.openxmlformats-officedocument.drawingml.chart+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charts/style1.xml" ContentType="application/vnd.ms-office.chartstyle+xml"/>
  <Override PartName="/xl/charts/style4.xml" ContentType="application/vnd.ms-office.chartstyle+xml"/>
  <Override PartName="/xl/drawings/drawing1.xml" ContentType="application/vnd.openxmlformats-officedocument.drawing+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externalLinks/externalLink2.xml" ContentType="application/vnd.openxmlformats-officedocument.spreadsheetml.externalLink+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9.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home.utc.wa.gov/sites/ue-170485/Staffs Testimony and Exhibits/"/>
    </mc:Choice>
  </mc:AlternateContent>
  <bookViews>
    <workbookView xWindow="0" yWindow="0" windowWidth="20490" windowHeight="7755" firstSheet="4" activeTab="7"/>
  </bookViews>
  <sheets>
    <sheet name="JH-2 &amp; JH-3" sheetId="18" r:id="rId1"/>
    <sheet name="CSH-2 Electric Escalation" sheetId="1" r:id="rId2"/>
    <sheet name="CSH-3 Natural Gas Escalation" sheetId="2" r:id="rId3"/>
    <sheet name="CSH-4 Escalators" sheetId="5" r:id="rId4"/>
    <sheet name="CSH-5 Elec Regressions" sheetId="4" r:id="rId5"/>
    <sheet name="CSH-6 Nat Gas Regressions" sheetId="3" r:id="rId6"/>
    <sheet name="O&amp;M Escalator" sheetId="7" r:id="rId7"/>
    <sheet name="Charts" sheetId="6" r:id="rId8"/>
    <sheet name="Riders and Gas Cost Revenue" sheetId="20" r:id="rId9"/>
    <sheet name="INDEX FIGURES --&gt;" sheetId="15" r:id="rId10"/>
    <sheet name="ECI" sheetId="8" r:id="rId11"/>
    <sheet name="PPI Util" sheetId="10" r:id="rId12"/>
    <sheet name="PPI Trans" sheetId="11" r:id="rId13"/>
    <sheet name="PPI Distr" sheetId="12" r:id="rId14"/>
    <sheet name="PPI Gen" sheetId="13" r:id="rId15"/>
    <sheet name="PPI Nat Gas-NOT USED" sheetId="14" r:id="rId16"/>
    <sheet name="Rate base percentages" sheetId="16" r:id="rId17"/>
    <sheet name="2007-2016 Data" sheetId="17"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ctuals_Mo">[1]Tables!$B$19</definedName>
    <definedName name="Allocation_Categories">OFFSET('[2]Allocation Factors'!$A$4,0,0,COUNTA('[2]Allocation Factors'!$A:$A)-COUNTA('[2]Allocation Factors'!$A$1:$A$3),1)</definedName>
    <definedName name="Base1_Billing2" localSheetId="17">#REF!</definedName>
    <definedName name="Base1_Billing2" localSheetId="8">#REF!</definedName>
    <definedName name="Base1_Billing2">#REF!</definedName>
    <definedName name="BaseRev60_EntryLookup">INDEX('[3]Rev Summary'!$F$1176:$F$1177,2):'[3]Rev Summary'!$F$1221</definedName>
    <definedName name="Basic">'[3]Rev Summary'!$I$1279:$I$1322</definedName>
    <definedName name="BilledRev60_EntryLookup">INDEX('[3]Rev Summary'!$F$70:$F$71,2):'[3]Rev Summary'!$F$115</definedName>
    <definedName name="CalRev60_EntryLookup">INDEX('[3]Rev Summary'!$F$373:$F$374,2):'[3]Rev Summary'!$F$418</definedName>
    <definedName name="ClassEntry">'[3]Rev Summary'!$D$2</definedName>
    <definedName name="ClassEntryNo">'[3]Rev Summary'!$D$3</definedName>
    <definedName name="CopyClasses">'[3]Rev Summary'!$F$1279:INDEX('[3]Rev Summary'!$F$1279:$F$1323,COUNTA('[3]Rev Summary'!$F$1279:$F$1323))</definedName>
    <definedName name="CustMos">'[1]Cust Load'!$D$3</definedName>
    <definedName name="DSMFlag">'[3]Exp Summary'!$E$30</definedName>
    <definedName name="EndMo">[1]Tables!$B$16</definedName>
    <definedName name="ERM">'[4]Rate Design'!$D$45</definedName>
    <definedName name="GRCRev60_EntryLookup">INDEX('[3]Rev Summary'!$F$1075:$F$1076,2):'[3]Rev Summary'!$F$1120</definedName>
    <definedName name="GrossUnbillAccrRev60_EntryLookup">INDEX('[3]Rev Summary'!$F$873:$F$874,2):'[3]Rev Summary'!$F$918</definedName>
    <definedName name="GrossUnbillRevRev60_EntryLookup">INDEX('[3]Rev Summary'!$F$974:$F$975,2):'[3]Rev Summary'!$F$1019</definedName>
    <definedName name="ID" localSheetId="17">#REF!</definedName>
    <definedName name="ID" localSheetId="8">#REF!</definedName>
    <definedName name="ID">#REF!</definedName>
    <definedName name="ID_001b" localSheetId="17">#REF!</definedName>
    <definedName name="ID_001b" localSheetId="8">#REF!</definedName>
    <definedName name="ID_001b">#REF!</definedName>
    <definedName name="ID_011b" localSheetId="17">#REF!</definedName>
    <definedName name="ID_011b" localSheetId="8">#REF!</definedName>
    <definedName name="ID_011b">#REF!</definedName>
    <definedName name="ID_012b" localSheetId="17">#REF!</definedName>
    <definedName name="ID_012b" localSheetId="8">#REF!</definedName>
    <definedName name="ID_012b">#REF!</definedName>
    <definedName name="ID_021b" localSheetId="17">#REF!</definedName>
    <definedName name="ID_021b" localSheetId="8">#REF!</definedName>
    <definedName name="ID_021b">#REF!</definedName>
    <definedName name="ID_Elec" localSheetId="17">#REF!</definedName>
    <definedName name="ID_Elec">#REF!</definedName>
    <definedName name="ID_Gas" localSheetId="17">'[5]DEBT CALC'!#REF!</definedName>
    <definedName name="ID_Gas" localSheetId="8">#REF!</definedName>
    <definedName name="ID_Gas">'[6]DEBT CALC'!#REF!</definedName>
    <definedName name="ID04X">[3]Rates!$O$121:$V$121</definedName>
    <definedName name="IDPPRider">[3]Rates!$O$124:$V$124</definedName>
    <definedName name="IDResEx">[3]Rates!$O$125:$V$125</definedName>
    <definedName name="IDSurch">[3]Rates!$O$122:$V$122</definedName>
    <definedName name="ManualSched">'[3]Rev Summary'!$B$36</definedName>
    <definedName name="Month1">[3]Setup!$B$3</definedName>
    <definedName name="NetUnbillRev60_EntryLookup">INDEX('[3]Rev Summary'!$F$272:$F$273,2):'[3]Rev Summary'!$F$317</definedName>
    <definedName name="PPRev60_EntryLookup">INDEX('[3]Rev Summary'!$F$671:$F$672,2):'[3]Rev Summary'!$F$716</definedName>
    <definedName name="_xlnm.Print_Area" localSheetId="17">'2007-2016 Data'!$A$1:$Z$208</definedName>
    <definedName name="_xlnm.Print_Area" localSheetId="7">Charts!$A$1:$O$34</definedName>
    <definedName name="_xlnm.Print_Area" localSheetId="1">'CSH-2 Electric Escalation'!$A$1:$P$85</definedName>
    <definedName name="_xlnm.Print_Area" localSheetId="2">'CSH-3 Natural Gas Escalation'!$A$1:$P$87</definedName>
    <definedName name="_xlnm.Print_Area" localSheetId="3">'CSH-4 Escalators'!$A$1:$J$31</definedName>
    <definedName name="_xlnm.Print_Area" localSheetId="4">'CSH-5 Elec Regressions'!$A$1:$H$21</definedName>
    <definedName name="_xlnm.Print_Area" localSheetId="5">'CSH-6 Nat Gas Regressions'!$A$1:$H$21</definedName>
    <definedName name="_xlnm.Print_Area" localSheetId="8">'Riders and Gas Cost Revenue'!$A$1:$AX$65</definedName>
    <definedName name="Print_for_CBReport" localSheetId="17">#REF!</definedName>
    <definedName name="Print_for_CBReport">#REF!</definedName>
    <definedName name="Print_for_Checking" localSheetId="17">'[5]ADJ SUMMARY'!#REF!:'[5]ADJ SUMMARY'!#REF!</definedName>
    <definedName name="Print_for_Checking" localSheetId="8">#REF!</definedName>
    <definedName name="Print_for_Checking">'[6]ADJ SUMMARY'!#REF!:'[6]ADJ SUMMARY'!#REF!</definedName>
    <definedName name="_xlnm.Print_Titles" localSheetId="17">'2007-2016 Data'!$2:$2</definedName>
    <definedName name="_xlnm.Print_Titles" localSheetId="8">'Riders and Gas Cost Revenue'!$A:$F,'Riders and Gas Cost Revenue'!$5:$9</definedName>
    <definedName name="RateDesc">CHOOSE([1]Rev!$B$5, [1]!Rates_WA[RateDesc], [1]!Rates_ID[RateDesc])</definedName>
    <definedName name="RateDesc2">CHOOSE('[1]Manual Rev'!$C1, [1]!Rates_WA[RateDesc], [1]!Rates_ID[RateDesc])</definedName>
    <definedName name="RateID">CHOOSE([1]Rev!$B$5, [1]!Rates_WA[ID], [1]!Rates_ID[ID])</definedName>
    <definedName name="RateID2">CHOOSE('[1]Manual Rev'!$C1, [1]!Rates_WA[ID], [1]!Rates_ID[ID])</definedName>
    <definedName name="RData">CHOOSE([1]Rev!$B$5, [1]!Rates_WA[#Data], [1]!Rates_ID[#Data])</definedName>
    <definedName name="RData2">CHOOSE('[1]Manual Rev'!$C1, [1]!Rates_WA[#Data], [1]!Rates_ID[#Data])</definedName>
    <definedName name="Recover">[7]Macro1!$A$92</definedName>
    <definedName name="ResExchRev60_EntryLookup">INDEX('[3]Rev Summary'!$F$772:$F$773,2):'[3]Rev Summary'!$F$817</definedName>
    <definedName name="RevMos">[1]Rev!$C$2</definedName>
    <definedName name="RH">CHOOSE([1]Rev!$B$5, [1]!Rates_WA[#Headers], [1]!Rates_ID[#Headers])</definedName>
    <definedName name="RH_2">CHOOSE('[1]Manual Rev'!$C1, [1]!Rates_WA[#Headers], [1]!Rates_ID[#Headers])</definedName>
    <definedName name="RRC_Adjustment_Print">#REF!</definedName>
    <definedName name="RRC_Rate_Print">#REF!</definedName>
    <definedName name="Sch">CHOOSE([1]Rev!$B$5, [1]!Rates_WA[St-Sch], [1]!Rates_ID[St-Sch])</definedName>
    <definedName name="Sch_2">CHOOSE('[1]Manual Rev'!$C1, [1]!Rates_WA[St-Sch], [1]!Rates_ID[St-Sch])</definedName>
    <definedName name="Sched">'[3]Rev Summary'!$E$2</definedName>
    <definedName name="SL_RateIncr">'[4]St Lts'!$AD$1</definedName>
    <definedName name="StartMo">[1]Tables!$B$13</definedName>
    <definedName name="Summary" localSheetId="17">#REF!</definedName>
    <definedName name="Summary" localSheetId="8">#REF!</definedName>
    <definedName name="Summary">#REF!</definedName>
    <definedName name="SurchRev60_EntryLookup">INDEX('[3]Rev Summary'!$F$474:$F$475,2):'[3]Rev Summary'!$F$519</definedName>
    <definedName name="TableName">"Dummy"</definedName>
    <definedName name="TaxCreditRev60_EntryLookup">INDEX('[3]Rev Summary'!$F$572:$F$621,2):'[3]Rev Summary'!$F$617</definedName>
    <definedName name="TaxRev60_EntryLookup">INDEX('[3]Rev Summary'!$F$171:$F$216,2):'[3]Rev Summary'!$F$216</definedName>
    <definedName name="Utility">[3]Setup!$B$1</definedName>
    <definedName name="vl_tbl_SchedClass">[1]!tbl_SchedAll[StClSch]</definedName>
    <definedName name="WA_001b" localSheetId="17">#REF!</definedName>
    <definedName name="WA_001b" localSheetId="8">#REF!</definedName>
    <definedName name="WA_001b">#REF!</definedName>
    <definedName name="WA_011b" localSheetId="17">#REF!</definedName>
    <definedName name="WA_011b" localSheetId="8">#REF!</definedName>
    <definedName name="WA_011b">#REF!</definedName>
    <definedName name="WA_012b" localSheetId="17">#REF!</definedName>
    <definedName name="WA_012b" localSheetId="8">#REF!</definedName>
    <definedName name="WA_012b">#REF!</definedName>
    <definedName name="WA_021b" localSheetId="17">#REF!</definedName>
    <definedName name="WA_021b" localSheetId="8">#REF!</definedName>
    <definedName name="WA_021b">#REF!</definedName>
    <definedName name="WA_Elec" localSheetId="17">#REF!</definedName>
    <definedName name="WA_Elec">#REF!</definedName>
    <definedName name="WA_Gas" localSheetId="17">'[5]DEBT CALC'!#REF!</definedName>
    <definedName name="WA_Gas" localSheetId="8">#REF!</definedName>
    <definedName name="WA_Gas">'[6]DEBT CALC'!#REF!</definedName>
    <definedName name="WA04X">[3]Rates!$D$121:$K$121</definedName>
    <definedName name="WAPPRider">[3]Rates!$D$124:$K$124</definedName>
    <definedName name="WAResEx">[3]Rates!$D$125:$K$125</definedName>
    <definedName name="WASurch">[3]Rates!$D$122:$K$122</definedName>
    <definedName name="Year1">[3]Setup!$B$2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 i="6" l="1"/>
  <c r="R14" i="6"/>
  <c r="S15" i="6"/>
  <c r="Q15" i="6"/>
  <c r="S14" i="6"/>
  <c r="Q14" i="6"/>
  <c r="R6" i="6"/>
  <c r="R5" i="6"/>
  <c r="S6" i="6"/>
  <c r="S5" i="6"/>
  <c r="Q6" i="6"/>
  <c r="Q5" i="6"/>
  <c r="M12" i="1" l="1"/>
  <c r="M17" i="1" s="1"/>
  <c r="M17" i="2"/>
  <c r="M12" i="2"/>
  <c r="I25" i="5"/>
  <c r="J15" i="7"/>
  <c r="I15" i="7"/>
  <c r="H11" i="7"/>
  <c r="H15" i="7" s="1"/>
  <c r="I11" i="7"/>
  <c r="J11" i="7"/>
  <c r="F8" i="2"/>
  <c r="F9" i="2"/>
  <c r="F7" i="2"/>
  <c r="F78" i="2"/>
  <c r="F77" i="2"/>
  <c r="F76" i="2"/>
  <c r="F75" i="2"/>
  <c r="F73" i="2"/>
  <c r="F70" i="2"/>
  <c r="F69" i="2"/>
  <c r="F68" i="2"/>
  <c r="F64" i="2"/>
  <c r="F63" i="2"/>
  <c r="F62" i="2"/>
  <c r="F56" i="2"/>
  <c r="F55" i="2"/>
  <c r="F54" i="2"/>
  <c r="F53" i="2"/>
  <c r="F46" i="2"/>
  <c r="F45" i="2"/>
  <c r="F44" i="2"/>
  <c r="F43" i="2"/>
  <c r="F39" i="2"/>
  <c r="F40" i="2"/>
  <c r="F38" i="2"/>
  <c r="F34" i="2"/>
  <c r="F35" i="2"/>
  <c r="F33" i="2"/>
  <c r="F28" i="2"/>
  <c r="F29" i="2"/>
  <c r="F27" i="2"/>
  <c r="F22" i="2"/>
  <c r="F23" i="2"/>
  <c r="F21" i="2"/>
  <c r="F15" i="2"/>
  <c r="F16" i="2"/>
  <c r="F14" i="2"/>
  <c r="R66" i="18"/>
  <c r="R68" i="18" s="1"/>
  <c r="R75" i="18" s="1"/>
  <c r="R65" i="18"/>
  <c r="R59" i="18"/>
  <c r="R42" i="18"/>
  <c r="R44" i="18" s="1"/>
  <c r="R52" i="18" s="1"/>
  <c r="R41" i="18"/>
  <c r="R30" i="18"/>
  <c r="R24" i="18"/>
  <c r="R18" i="18"/>
  <c r="R11" i="18"/>
  <c r="Q84" i="18" l="1"/>
  <c r="H84" i="18"/>
  <c r="H75" i="18"/>
  <c r="H71" i="18"/>
  <c r="H68" i="18"/>
  <c r="H67" i="18"/>
  <c r="H60" i="18"/>
  <c r="H51" i="18"/>
  <c r="H43" i="18"/>
  <c r="H30" i="18"/>
  <c r="H23" i="18"/>
  <c r="H14" i="18"/>
  <c r="H12" i="18"/>
  <c r="H41" i="18"/>
  <c r="H40" i="18"/>
  <c r="Z8" i="18" l="1"/>
  <c r="Z9" i="18"/>
  <c r="Z10" i="18"/>
  <c r="Z12" i="18" l="1"/>
  <c r="H85" i="2"/>
  <c r="AX63" i="20"/>
  <c r="AU63" i="20"/>
  <c r="AL63" i="20"/>
  <c r="AI63" i="20"/>
  <c r="AF63" i="20"/>
  <c r="R63" i="20"/>
  <c r="P63" i="20"/>
  <c r="N63" i="20"/>
  <c r="L63" i="20"/>
  <c r="J63" i="20"/>
  <c r="H63" i="20"/>
  <c r="AL61" i="20"/>
  <c r="AI61" i="20"/>
  <c r="AF61" i="20"/>
  <c r="AC61" i="20"/>
  <c r="Z61" i="20"/>
  <c r="W61" i="20"/>
  <c r="T61" i="20"/>
  <c r="R61" i="20"/>
  <c r="AK41" i="20"/>
  <c r="E40" i="20"/>
  <c r="AJ36" i="20"/>
  <c r="AJ11" i="20" s="1"/>
  <c r="AJ40" i="20" s="1"/>
  <c r="AJ44" i="20" s="1"/>
  <c r="AQ35" i="20"/>
  <c r="E35" i="20"/>
  <c r="U32" i="20"/>
  <c r="U33" i="20" s="1"/>
  <c r="I32" i="20"/>
  <c r="I33" i="20" s="1"/>
  <c r="E32" i="20"/>
  <c r="AX27" i="20"/>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V27" i="20"/>
  <c r="U27" i="20"/>
  <c r="T27" i="20"/>
  <c r="S27" i="20"/>
  <c r="R27" i="20"/>
  <c r="Q27" i="20"/>
  <c r="P27" i="20"/>
  <c r="O27" i="20"/>
  <c r="N27" i="20"/>
  <c r="M27" i="20"/>
  <c r="L27" i="20"/>
  <c r="K27" i="20"/>
  <c r="J27" i="20"/>
  <c r="I27" i="20"/>
  <c r="H27" i="20"/>
  <c r="G27" i="20"/>
  <c r="AW21" i="20"/>
  <c r="AV21" i="20"/>
  <c r="AT21" i="20"/>
  <c r="AS21" i="20"/>
  <c r="AQ21" i="20"/>
  <c r="AP21" i="20"/>
  <c r="AN21" i="20"/>
  <c r="AM21" i="20"/>
  <c r="AK21" i="20"/>
  <c r="AJ21" i="20"/>
  <c r="AH21" i="20"/>
  <c r="AG21" i="20"/>
  <c r="AE21" i="20"/>
  <c r="AD21" i="20"/>
  <c r="AB21" i="20"/>
  <c r="AA21" i="20"/>
  <c r="Z21" i="20"/>
  <c r="Y21" i="20"/>
  <c r="X21" i="20"/>
  <c r="V21" i="20"/>
  <c r="U21" i="20"/>
  <c r="S21" i="20"/>
  <c r="Q21" i="20"/>
  <c r="O21" i="20"/>
  <c r="N21" i="20"/>
  <c r="M21" i="20"/>
  <c r="K21" i="20"/>
  <c r="J21" i="20"/>
  <c r="I21" i="20"/>
  <c r="G21" i="20"/>
  <c r="AX20" i="20"/>
  <c r="AX21" i="20" s="1"/>
  <c r="AU20" i="20"/>
  <c r="AR20" i="20"/>
  <c r="AO20" i="20"/>
  <c r="AL20" i="20"/>
  <c r="AL21" i="20" s="1"/>
  <c r="AI20" i="20"/>
  <c r="AF20" i="20"/>
  <c r="AC20" i="20"/>
  <c r="Z20" i="20"/>
  <c r="W20" i="20"/>
  <c r="T20" i="20"/>
  <c r="R20" i="20"/>
  <c r="P20" i="20"/>
  <c r="N20" i="20"/>
  <c r="L20" i="20"/>
  <c r="J20" i="20"/>
  <c r="H20" i="20"/>
  <c r="AX19" i="20"/>
  <c r="AU19" i="20"/>
  <c r="AR19" i="20"/>
  <c r="AO19" i="20"/>
  <c r="AL19" i="20"/>
  <c r="AI19" i="20"/>
  <c r="AF19" i="20"/>
  <c r="AC19" i="20"/>
  <c r="Z19" i="20"/>
  <c r="W19" i="20"/>
  <c r="T19" i="20"/>
  <c r="R19" i="20"/>
  <c r="R21" i="20" s="1"/>
  <c r="P19" i="20"/>
  <c r="N19" i="20"/>
  <c r="L19" i="20"/>
  <c r="J19" i="20"/>
  <c r="H19" i="20"/>
  <c r="AX18" i="20"/>
  <c r="AU18" i="20"/>
  <c r="AU21" i="20" s="1"/>
  <c r="AR18" i="20"/>
  <c r="AR21" i="20" s="1"/>
  <c r="AO18" i="20"/>
  <c r="AO21" i="20" s="1"/>
  <c r="AL18" i="20"/>
  <c r="AI18" i="20"/>
  <c r="AI21" i="20" s="1"/>
  <c r="AF18" i="20"/>
  <c r="AF21" i="20" s="1"/>
  <c r="AC18" i="20"/>
  <c r="AC21" i="20" s="1"/>
  <c r="Z18" i="20"/>
  <c r="W18" i="20"/>
  <c r="W21" i="20" s="1"/>
  <c r="T18" i="20"/>
  <c r="T21" i="20" s="1"/>
  <c r="R18" i="20"/>
  <c r="P18" i="20"/>
  <c r="P21" i="20" s="1"/>
  <c r="N18" i="20"/>
  <c r="L18" i="20"/>
  <c r="L21" i="20" s="1"/>
  <c r="J18" i="20"/>
  <c r="H18" i="20"/>
  <c r="H21" i="20" s="1"/>
  <c r="H65" i="20" s="1"/>
  <c r="AK14" i="20"/>
  <c r="U14" i="20"/>
  <c r="I14" i="20"/>
  <c r="AX13" i="20"/>
  <c r="AU13" i="20"/>
  <c r="AR13" i="20"/>
  <c r="AO13" i="20"/>
  <c r="AL13" i="20"/>
  <c r="AI13" i="20"/>
  <c r="AF13" i="20"/>
  <c r="AC13" i="20"/>
  <c r="Z13" i="20"/>
  <c r="W13" i="20"/>
  <c r="R13" i="20"/>
  <c r="P13" i="20"/>
  <c r="N13" i="20"/>
  <c r="L13" i="20"/>
  <c r="J13" i="20"/>
  <c r="H13" i="20"/>
  <c r="AW11" i="20"/>
  <c r="AU11" i="20"/>
  <c r="AS11" i="20"/>
  <c r="AQ11" i="20"/>
  <c r="AQ32" i="20" s="1"/>
  <c r="AQ33" i="20" s="1"/>
  <c r="AO11" i="20"/>
  <c r="AM11" i="20"/>
  <c r="AK11" i="20"/>
  <c r="AI11" i="20"/>
  <c r="AG11" i="20"/>
  <c r="AE11" i="20"/>
  <c r="AA11" i="20"/>
  <c r="AA35" i="20" s="1"/>
  <c r="Y11" i="20"/>
  <c r="W11" i="20"/>
  <c r="U11" i="20"/>
  <c r="S11" i="20"/>
  <c r="Q11" i="20"/>
  <c r="O11" i="20"/>
  <c r="M11" i="20"/>
  <c r="L11" i="20"/>
  <c r="K11" i="20"/>
  <c r="I11" i="20"/>
  <c r="G11" i="20"/>
  <c r="E11" i="20"/>
  <c r="AV11" i="20" s="1"/>
  <c r="AA10" i="18"/>
  <c r="X16" i="18"/>
  <c r="X12" i="18"/>
  <c r="R81" i="18" l="1"/>
  <c r="R82" i="18" s="1"/>
  <c r="R77" i="18" s="1"/>
  <c r="H81" i="18"/>
  <c r="H82" i="18" s="1"/>
  <c r="H77" i="18" s="1"/>
  <c r="R65" i="20"/>
  <c r="R11" i="20"/>
  <c r="AL65" i="20"/>
  <c r="AL11" i="20"/>
  <c r="AX65" i="20"/>
  <c r="AX11" i="20"/>
  <c r="AV35" i="20"/>
  <c r="AV14" i="20"/>
  <c r="AV40" i="20"/>
  <c r="AV44" i="20" s="1"/>
  <c r="Y35" i="20"/>
  <c r="Y40" i="20"/>
  <c r="Y44" i="20" s="1"/>
  <c r="AG35" i="20"/>
  <c r="AG40" i="20"/>
  <c r="AG44" i="20" s="1"/>
  <c r="AG45" i="20" s="1"/>
  <c r="AW35" i="20"/>
  <c r="AW32" i="20"/>
  <c r="AW33" i="20" s="1"/>
  <c r="AW40" i="20"/>
  <c r="AW44" i="20" s="1"/>
  <c r="AW45" i="20" s="1"/>
  <c r="N65" i="20"/>
  <c r="N11" i="20"/>
  <c r="AJ45" i="20"/>
  <c r="G40" i="20"/>
  <c r="G44" i="20" s="1"/>
  <c r="G35" i="20"/>
  <c r="G32" i="20"/>
  <c r="G33" i="20" s="1"/>
  <c r="G14" i="20"/>
  <c r="S40" i="20"/>
  <c r="S44" i="20" s="1"/>
  <c r="S32" i="20"/>
  <c r="S33" i="20" s="1"/>
  <c r="S45" i="20" s="1"/>
  <c r="S14" i="20"/>
  <c r="AI40" i="20"/>
  <c r="AI44" i="20" s="1"/>
  <c r="AI32" i="20"/>
  <c r="AI33" i="20" s="1"/>
  <c r="AI14" i="20"/>
  <c r="Y14" i="20"/>
  <c r="Y47" i="20" s="1"/>
  <c r="Y55" i="20" s="1"/>
  <c r="J11" i="20"/>
  <c r="Z65" i="20"/>
  <c r="Z11" i="20"/>
  <c r="S35" i="20"/>
  <c r="H11" i="20"/>
  <c r="M35" i="20"/>
  <c r="M40" i="20"/>
  <c r="M44" i="20" s="1"/>
  <c r="U35" i="20"/>
  <c r="U45" i="20" s="1"/>
  <c r="U47" i="20" s="1"/>
  <c r="U55" i="20" s="1"/>
  <c r="U40" i="20"/>
  <c r="U44" i="20" s="1"/>
  <c r="AC11" i="20"/>
  <c r="AK35" i="20"/>
  <c r="AK32" i="20"/>
  <c r="AK33" i="20" s="1"/>
  <c r="AK40" i="20"/>
  <c r="AK44" i="20" s="1"/>
  <c r="AS35" i="20"/>
  <c r="AS32" i="20"/>
  <c r="AS33" i="20" s="1"/>
  <c r="AS40" i="20"/>
  <c r="AS44" i="20" s="1"/>
  <c r="AS45" i="20" s="1"/>
  <c r="M14" i="20"/>
  <c r="AS14" i="20"/>
  <c r="L65" i="20"/>
  <c r="T65" i="20"/>
  <c r="T11" i="20"/>
  <c r="AF11" i="20"/>
  <c r="AF65" i="20"/>
  <c r="AR65" i="20"/>
  <c r="AR11" i="20"/>
  <c r="M32" i="20"/>
  <c r="M33" i="20" s="1"/>
  <c r="M45" i="20" s="1"/>
  <c r="AV32" i="20"/>
  <c r="AV33" i="20" s="1"/>
  <c r="J65" i="20"/>
  <c r="K40" i="20"/>
  <c r="K44" i="20" s="1"/>
  <c r="K45" i="20" s="1"/>
  <c r="K32" i="20"/>
  <c r="K33" i="20" s="1"/>
  <c r="K14" i="20"/>
  <c r="Q35" i="20"/>
  <c r="Q40" i="20"/>
  <c r="Q44" i="20" s="1"/>
  <c r="AO35" i="20"/>
  <c r="AO32" i="20"/>
  <c r="AO33" i="20" s="1"/>
  <c r="AO40" i="20"/>
  <c r="AO44" i="20" s="1"/>
  <c r="P65" i="20"/>
  <c r="P11" i="20"/>
  <c r="K35" i="20"/>
  <c r="L35" i="20"/>
  <c r="L32" i="20"/>
  <c r="L33" i="20" s="1"/>
  <c r="L45" i="20" s="1"/>
  <c r="L14" i="20"/>
  <c r="AA40" i="20"/>
  <c r="AA44" i="20" s="1"/>
  <c r="AA32" i="20"/>
  <c r="AA33" i="20" s="1"/>
  <c r="AA45" i="20" s="1"/>
  <c r="AA14" i="20"/>
  <c r="AQ40" i="20"/>
  <c r="AQ44" i="20" s="1"/>
  <c r="AQ45" i="20" s="1"/>
  <c r="AQ14" i="20"/>
  <c r="AO14" i="20"/>
  <c r="AO45" i="20"/>
  <c r="AO65" i="20"/>
  <c r="Y32" i="20"/>
  <c r="Y33" i="20" s="1"/>
  <c r="AJ35" i="20"/>
  <c r="AJ32" i="20"/>
  <c r="AJ33" i="20" s="1"/>
  <c r="AJ14" i="20"/>
  <c r="AJ47" i="20" s="1"/>
  <c r="AJ55" i="20" s="1"/>
  <c r="I35" i="20"/>
  <c r="I40" i="20"/>
  <c r="I44" i="20" s="1"/>
  <c r="O40" i="20"/>
  <c r="O44" i="20" s="1"/>
  <c r="O35" i="20"/>
  <c r="O32" i="20"/>
  <c r="O33" i="20" s="1"/>
  <c r="O45" i="20" s="1"/>
  <c r="O14" i="20"/>
  <c r="W40" i="20"/>
  <c r="W44" i="20" s="1"/>
  <c r="W35" i="20"/>
  <c r="W45" i="20" s="1"/>
  <c r="W32" i="20"/>
  <c r="W33" i="20" s="1"/>
  <c r="W14" i="20"/>
  <c r="AE40" i="20"/>
  <c r="AE44" i="20" s="1"/>
  <c r="AE35" i="20"/>
  <c r="AE45" i="20" s="1"/>
  <c r="AE32" i="20"/>
  <c r="AE33" i="20" s="1"/>
  <c r="AE14" i="20"/>
  <c r="AM40" i="20"/>
  <c r="AM44" i="20" s="1"/>
  <c r="AM35" i="20"/>
  <c r="AM45" i="20" s="1"/>
  <c r="AM14" i="20"/>
  <c r="AM32" i="20"/>
  <c r="AM33" i="20" s="1"/>
  <c r="AU40" i="20"/>
  <c r="AU44" i="20" s="1"/>
  <c r="AU32" i="20"/>
  <c r="AU33" i="20" s="1"/>
  <c r="AU45" i="20" s="1"/>
  <c r="AU35" i="20"/>
  <c r="AU14" i="20"/>
  <c r="Q14" i="20"/>
  <c r="AG14" i="20"/>
  <c r="AW14" i="20"/>
  <c r="W65" i="20"/>
  <c r="AI65" i="20"/>
  <c r="AU65" i="20"/>
  <c r="G45" i="20"/>
  <c r="Q32" i="20"/>
  <c r="Q33" i="20" s="1"/>
  <c r="AG32" i="20"/>
  <c r="AG33" i="20" s="1"/>
  <c r="AI35" i="20"/>
  <c r="AI45" i="20" s="1"/>
  <c r="L40" i="20"/>
  <c r="L44" i="20" s="1"/>
  <c r="AC65" i="20"/>
  <c r="V11" i="20"/>
  <c r="AD11" i="20"/>
  <c r="AH11" i="20"/>
  <c r="AP11" i="20"/>
  <c r="AT11" i="20"/>
  <c r="X11" i="20"/>
  <c r="AB11" i="20"/>
  <c r="AN11" i="20"/>
  <c r="I45" i="20"/>
  <c r="I47" i="20" s="1"/>
  <c r="I55" i="20" s="1"/>
  <c r="Q45" i="20"/>
  <c r="Y45" i="20"/>
  <c r="AK45" i="20"/>
  <c r="AK47" i="20" s="1"/>
  <c r="AK55" i="20" s="1"/>
  <c r="F89" i="2" l="1"/>
  <c r="F88" i="1"/>
  <c r="X17" i="18"/>
  <c r="AH40" i="20"/>
  <c r="AH44" i="20" s="1"/>
  <c r="AH35" i="20"/>
  <c r="AH32" i="20"/>
  <c r="AH33" i="20" s="1"/>
  <c r="AH45" i="20" s="1"/>
  <c r="AH14" i="20"/>
  <c r="AH47" i="20" s="1"/>
  <c r="AH55" i="20" s="1"/>
  <c r="L47" i="20"/>
  <c r="L55" i="20" s="1"/>
  <c r="M47" i="20"/>
  <c r="M55" i="20" s="1"/>
  <c r="H35" i="20"/>
  <c r="H32" i="20"/>
  <c r="H33" i="20" s="1"/>
  <c r="H45" i="20" s="1"/>
  <c r="H14" i="20"/>
  <c r="H47" i="20" s="1"/>
  <c r="H55" i="20" s="1"/>
  <c r="H40" i="20"/>
  <c r="H44" i="20" s="1"/>
  <c r="S47" i="20"/>
  <c r="S55" i="20" s="1"/>
  <c r="X35" i="20"/>
  <c r="X32" i="20"/>
  <c r="X33" i="20" s="1"/>
  <c r="X45" i="20" s="1"/>
  <c r="X14" i="20"/>
  <c r="X40" i="20"/>
  <c r="X44" i="20" s="1"/>
  <c r="AA47" i="20"/>
  <c r="AA55" i="20" s="1"/>
  <c r="P35" i="20"/>
  <c r="P32" i="20"/>
  <c r="P33" i="20" s="1"/>
  <c r="P14" i="20"/>
  <c r="P40" i="20"/>
  <c r="P44" i="20" s="1"/>
  <c r="J40" i="20"/>
  <c r="J44" i="20" s="1"/>
  <c r="J35" i="20"/>
  <c r="J32" i="20"/>
  <c r="J33" i="20" s="1"/>
  <c r="J14" i="20"/>
  <c r="AV47" i="20"/>
  <c r="AV55" i="20" s="1"/>
  <c r="AT40" i="20"/>
  <c r="AT44" i="20" s="1"/>
  <c r="AT32" i="20"/>
  <c r="AT33" i="20" s="1"/>
  <c r="AT35" i="20"/>
  <c r="AT14" i="20"/>
  <c r="V40" i="20"/>
  <c r="V44" i="20" s="1"/>
  <c r="V35" i="20"/>
  <c r="V32" i="20"/>
  <c r="V33" i="20" s="1"/>
  <c r="V45" i="20" s="1"/>
  <c r="V14" i="20"/>
  <c r="V47" i="20" s="1"/>
  <c r="V55" i="20" s="1"/>
  <c r="AU47" i="20"/>
  <c r="AU55" i="20" s="1"/>
  <c r="AE47" i="20"/>
  <c r="AE55" i="20" s="1"/>
  <c r="W47" i="20"/>
  <c r="W55" i="20" s="1"/>
  <c r="O47" i="20"/>
  <c r="O55" i="20" s="1"/>
  <c r="K47" i="20"/>
  <c r="K55" i="20" s="1"/>
  <c r="AR35" i="20"/>
  <c r="AR14" i="20"/>
  <c r="AR32" i="20"/>
  <c r="AR33" i="20" s="1"/>
  <c r="AR45" i="20" s="1"/>
  <c r="AR40" i="20"/>
  <c r="AR44" i="20" s="1"/>
  <c r="Z40" i="20"/>
  <c r="Z44" i="20" s="1"/>
  <c r="Z35" i="20"/>
  <c r="Z32" i="20"/>
  <c r="Z33" i="20" s="1"/>
  <c r="Z45" i="20" s="1"/>
  <c r="Z14" i="20"/>
  <c r="N40" i="20"/>
  <c r="N44" i="20" s="1"/>
  <c r="N35" i="20"/>
  <c r="N32" i="20"/>
  <c r="N33" i="20" s="1"/>
  <c r="N45" i="20" s="1"/>
  <c r="N14" i="20"/>
  <c r="AL40" i="20"/>
  <c r="AL44" i="20" s="1"/>
  <c r="AL35" i="20"/>
  <c r="AL14" i="20"/>
  <c r="AL32" i="20"/>
  <c r="AL33" i="20" s="1"/>
  <c r="AB35" i="20"/>
  <c r="AB32" i="20"/>
  <c r="AB33" i="20" s="1"/>
  <c r="AB45" i="20" s="1"/>
  <c r="AB14" i="20"/>
  <c r="AB47" i="20" s="1"/>
  <c r="AB55" i="20" s="1"/>
  <c r="AB40" i="20"/>
  <c r="AB44" i="20" s="1"/>
  <c r="AG47" i="20"/>
  <c r="AG55" i="20" s="1"/>
  <c r="AD40" i="20"/>
  <c r="AD44" i="20" s="1"/>
  <c r="AD35" i="20"/>
  <c r="AD32" i="20"/>
  <c r="AD33" i="20" s="1"/>
  <c r="AD14" i="20"/>
  <c r="Q47" i="20"/>
  <c r="Q55" i="20" s="1"/>
  <c r="AO47" i="20"/>
  <c r="AO55" i="20" s="1"/>
  <c r="AF35" i="20"/>
  <c r="AF32" i="20"/>
  <c r="AF33" i="20" s="1"/>
  <c r="AF14" i="20"/>
  <c r="AF40" i="20"/>
  <c r="AF44" i="20" s="1"/>
  <c r="AI47" i="20"/>
  <c r="AI55" i="20" s="1"/>
  <c r="R40" i="20"/>
  <c r="R44" i="20" s="1"/>
  <c r="R35" i="20"/>
  <c r="R32" i="20"/>
  <c r="R33" i="20" s="1"/>
  <c r="R45" i="20" s="1"/>
  <c r="R14" i="20"/>
  <c r="AN35" i="20"/>
  <c r="AN14" i="20"/>
  <c r="AN40" i="20"/>
  <c r="AN44" i="20" s="1"/>
  <c r="AN32" i="20"/>
  <c r="AN33" i="20" s="1"/>
  <c r="AP40" i="20"/>
  <c r="AP44" i="20" s="1"/>
  <c r="AP35" i="20"/>
  <c r="AP32" i="20"/>
  <c r="AP33" i="20" s="1"/>
  <c r="AP45" i="20" s="1"/>
  <c r="AP14" i="20"/>
  <c r="AW47" i="20"/>
  <c r="AW55" i="20" s="1"/>
  <c r="AM47" i="20"/>
  <c r="AM55" i="20" s="1"/>
  <c r="AQ47" i="20"/>
  <c r="AQ55" i="20" s="1"/>
  <c r="AV45" i="20"/>
  <c r="T35" i="20"/>
  <c r="T32" i="20"/>
  <c r="T33" i="20" s="1"/>
  <c r="T45" i="20" s="1"/>
  <c r="T14" i="20"/>
  <c r="T47" i="20" s="1"/>
  <c r="T55" i="20" s="1"/>
  <c r="T40" i="20"/>
  <c r="T44" i="20" s="1"/>
  <c r="AS47" i="20"/>
  <c r="AS55" i="20" s="1"/>
  <c r="AC35" i="20"/>
  <c r="AC40" i="20"/>
  <c r="AC44" i="20" s="1"/>
  <c r="AC32" i="20"/>
  <c r="AC33" i="20" s="1"/>
  <c r="AC14" i="20"/>
  <c r="G47" i="20"/>
  <c r="G55" i="20" s="1"/>
  <c r="AX40" i="20"/>
  <c r="AX44" i="20" s="1"/>
  <c r="AX35" i="20"/>
  <c r="AX32" i="20"/>
  <c r="AX33" i="20" s="1"/>
  <c r="AX14" i="20"/>
  <c r="AN47" i="20" l="1"/>
  <c r="AN55" i="20" s="1"/>
  <c r="AR47" i="20"/>
  <c r="AR55" i="20" s="1"/>
  <c r="J47" i="20"/>
  <c r="J55" i="20" s="1"/>
  <c r="AX45" i="20"/>
  <c r="AX47" i="20" s="1"/>
  <c r="AX55" i="20" s="1"/>
  <c r="AF45" i="20"/>
  <c r="AF47" i="20" s="1"/>
  <c r="AF55" i="20" s="1"/>
  <c r="AT45" i="20"/>
  <c r="AT47" i="20" s="1"/>
  <c r="AT55" i="20" s="1"/>
  <c r="J45" i="20"/>
  <c r="AC45" i="20"/>
  <c r="AC47" i="20" s="1"/>
  <c r="AC55" i="20" s="1"/>
  <c r="AP47" i="20"/>
  <c r="AP55" i="20" s="1"/>
  <c r="AN45" i="20"/>
  <c r="R47" i="20"/>
  <c r="R55" i="20" s="1"/>
  <c r="AD45" i="20"/>
  <c r="AD47" i="20" s="1"/>
  <c r="AD55" i="20" s="1"/>
  <c r="AL45" i="20"/>
  <c r="AL47" i="20" s="1"/>
  <c r="AL55" i="20" s="1"/>
  <c r="N47" i="20"/>
  <c r="N55" i="20" s="1"/>
  <c r="Z47" i="20"/>
  <c r="Z55" i="20" s="1"/>
  <c r="P45" i="20"/>
  <c r="P47" i="20" s="1"/>
  <c r="P55" i="20" s="1"/>
  <c r="X47" i="20"/>
  <c r="X55" i="20" s="1"/>
  <c r="H46" i="2" l="1"/>
  <c r="H44" i="2"/>
  <c r="H43" i="2"/>
  <c r="H39" i="2"/>
  <c r="H38" i="2"/>
  <c r="H35" i="2"/>
  <c r="H34" i="2"/>
  <c r="H33" i="2"/>
  <c r="H29" i="2"/>
  <c r="H28" i="2"/>
  <c r="H27" i="2"/>
  <c r="F78" i="1" l="1"/>
  <c r="F77" i="1"/>
  <c r="F75" i="1"/>
  <c r="F71" i="1"/>
  <c r="F70" i="1"/>
  <c r="F69" i="1"/>
  <c r="F68" i="1"/>
  <c r="F67" i="1"/>
  <c r="F64" i="1"/>
  <c r="F63" i="1"/>
  <c r="F62" i="1"/>
  <c r="F61" i="1"/>
  <c r="F60" i="1"/>
  <c r="F54" i="1"/>
  <c r="F53" i="1"/>
  <c r="F52" i="1"/>
  <c r="F51" i="1"/>
  <c r="F44" i="1"/>
  <c r="H44" i="1" s="1"/>
  <c r="F43" i="1"/>
  <c r="H43" i="1" s="1"/>
  <c r="F42" i="1"/>
  <c r="H42" i="1" s="1"/>
  <c r="F38" i="1"/>
  <c r="H38" i="1" s="1"/>
  <c r="F39" i="1"/>
  <c r="F37" i="1"/>
  <c r="H37" i="1" s="1"/>
  <c r="F32" i="1"/>
  <c r="H32" i="1" s="1"/>
  <c r="F33" i="1"/>
  <c r="F34" i="1"/>
  <c r="H34" i="1" s="1"/>
  <c r="F31" i="1"/>
  <c r="H31" i="1" s="1"/>
  <c r="F24" i="1"/>
  <c r="F25" i="1"/>
  <c r="H25" i="1" s="1"/>
  <c r="F26" i="1"/>
  <c r="F27" i="1"/>
  <c r="H27" i="1" s="1"/>
  <c r="F23" i="1"/>
  <c r="H23" i="1" s="1"/>
  <c r="F18" i="1"/>
  <c r="F15" i="1"/>
  <c r="F16" i="1"/>
  <c r="F14" i="1"/>
  <c r="F10" i="1"/>
  <c r="F8" i="1"/>
  <c r="F9" i="1"/>
  <c r="F7" i="1"/>
  <c r="C14" i="7" l="1"/>
  <c r="C13" i="7"/>
  <c r="C12" i="7"/>
  <c r="E12" i="7" s="1"/>
  <c r="H71" i="16"/>
  <c r="H70" i="16"/>
  <c r="J64" i="16"/>
  <c r="H64" i="16"/>
  <c r="J63" i="16"/>
  <c r="F59" i="16"/>
  <c r="A58" i="16"/>
  <c r="E55" i="16"/>
  <c r="A55" i="16"/>
  <c r="F40" i="16"/>
  <c r="G39" i="16" s="1"/>
  <c r="F30" i="16"/>
  <c r="F24" i="16"/>
  <c r="F13" i="16"/>
  <c r="F15" i="16" s="1"/>
  <c r="G5" i="7"/>
  <c r="D12" i="7" s="1"/>
  <c r="F5" i="7"/>
  <c r="D14" i="7" s="1"/>
  <c r="E5" i="7"/>
  <c r="D13" i="7" s="1"/>
  <c r="D5" i="7"/>
  <c r="C5" i="7"/>
  <c r="H13" i="7" s="1"/>
  <c r="H17" i="7" s="1"/>
  <c r="G4" i="7"/>
  <c r="F4" i="7"/>
  <c r="E4" i="7"/>
  <c r="D4" i="7"/>
  <c r="C4" i="7"/>
  <c r="K4" i="7" s="1"/>
  <c r="E57" i="13"/>
  <c r="E59" i="13" s="1"/>
  <c r="E56" i="13"/>
  <c r="H56" i="13" s="1"/>
  <c r="E55" i="13"/>
  <c r="H55" i="13" s="1"/>
  <c r="E54" i="13"/>
  <c r="H54" i="13" s="1"/>
  <c r="E53" i="13"/>
  <c r="H53" i="13" s="1"/>
  <c r="E52" i="13"/>
  <c r="H52" i="13" s="1"/>
  <c r="E51" i="13"/>
  <c r="H51" i="13" s="1"/>
  <c r="E50" i="13"/>
  <c r="H50" i="13" s="1"/>
  <c r="E49" i="13"/>
  <c r="H49" i="13" s="1"/>
  <c r="E48" i="13"/>
  <c r="H48" i="13" s="1"/>
  <c r="E47" i="13"/>
  <c r="H47" i="13" s="1"/>
  <c r="E46" i="13"/>
  <c r="H46" i="13" s="1"/>
  <c r="E45" i="13"/>
  <c r="H45" i="13" s="1"/>
  <c r="E58" i="12"/>
  <c r="E57" i="12"/>
  <c r="E59" i="12" s="1"/>
  <c r="H56" i="12"/>
  <c r="E56" i="12"/>
  <c r="H55" i="12"/>
  <c r="E55" i="12"/>
  <c r="H54" i="12"/>
  <c r="E54" i="12"/>
  <c r="H53" i="12"/>
  <c r="E53" i="12"/>
  <c r="H52" i="12"/>
  <c r="E52" i="12"/>
  <c r="H51" i="12"/>
  <c r="E51" i="12"/>
  <c r="H50" i="12"/>
  <c r="E50" i="12"/>
  <c r="H49" i="12"/>
  <c r="E49" i="12"/>
  <c r="H48" i="12"/>
  <c r="E48" i="12"/>
  <c r="H47" i="12"/>
  <c r="E47" i="12"/>
  <c r="H46" i="12"/>
  <c r="E46" i="12"/>
  <c r="H45" i="12"/>
  <c r="E45" i="12"/>
  <c r="E57" i="11"/>
  <c r="E59" i="11" s="1"/>
  <c r="E56" i="11"/>
  <c r="H56" i="11" s="1"/>
  <c r="E55" i="11"/>
  <c r="H55" i="11" s="1"/>
  <c r="E54" i="11"/>
  <c r="H54" i="11" s="1"/>
  <c r="E53" i="11"/>
  <c r="H53" i="11" s="1"/>
  <c r="E52" i="11"/>
  <c r="H52" i="11" s="1"/>
  <c r="E51" i="11"/>
  <c r="H51" i="11" s="1"/>
  <c r="E50" i="11"/>
  <c r="H50" i="11" s="1"/>
  <c r="E49" i="11"/>
  <c r="H49" i="11" s="1"/>
  <c r="E48" i="11"/>
  <c r="H48" i="11" s="1"/>
  <c r="E47" i="11"/>
  <c r="H47" i="11" s="1"/>
  <c r="E46" i="11"/>
  <c r="H46" i="11" s="1"/>
  <c r="E45" i="11"/>
  <c r="H45" i="11" s="1"/>
  <c r="E58" i="10"/>
  <c r="E57" i="10"/>
  <c r="E59" i="10" s="1"/>
  <c r="H56" i="10"/>
  <c r="E56" i="10"/>
  <c r="H55" i="10"/>
  <c r="E55" i="10"/>
  <c r="H54" i="10"/>
  <c r="E54" i="10"/>
  <c r="H53" i="10"/>
  <c r="E53" i="10"/>
  <c r="H52" i="10"/>
  <c r="E52" i="10"/>
  <c r="H51" i="10"/>
  <c r="E51" i="10"/>
  <c r="H50" i="10"/>
  <c r="E50" i="10"/>
  <c r="H49" i="10"/>
  <c r="E49" i="10"/>
  <c r="H48" i="10"/>
  <c r="E48" i="10"/>
  <c r="H47" i="10"/>
  <c r="E47" i="10"/>
  <c r="H46" i="10"/>
  <c r="E46" i="10"/>
  <c r="H45" i="10"/>
  <c r="E45" i="10"/>
  <c r="B87" i="8"/>
  <c r="B89" i="8" s="1"/>
  <c r="B86" i="8"/>
  <c r="B85" i="8"/>
  <c r="E85" i="8" s="1"/>
  <c r="B84" i="8"/>
  <c r="B83" i="8"/>
  <c r="E83" i="8" s="1"/>
  <c r="B82" i="8"/>
  <c r="B81" i="8"/>
  <c r="E81" i="8" s="1"/>
  <c r="B80" i="8"/>
  <c r="B79" i="8"/>
  <c r="E79" i="8" s="1"/>
  <c r="B78" i="8"/>
  <c r="B77" i="8"/>
  <c r="E77" i="8" s="1"/>
  <c r="B76" i="8"/>
  <c r="B75" i="8"/>
  <c r="E75" i="8" s="1"/>
  <c r="B74" i="8"/>
  <c r="I24" i="5"/>
  <c r="G24" i="5"/>
  <c r="G23" i="5"/>
  <c r="I23" i="5" s="1"/>
  <c r="G22" i="5"/>
  <c r="G21" i="5"/>
  <c r="I21" i="5" s="1"/>
  <c r="F26" i="5"/>
  <c r="D23" i="6" s="1"/>
  <c r="F22" i="5"/>
  <c r="F23" i="5"/>
  <c r="F24" i="5"/>
  <c r="F21" i="5"/>
  <c r="I12" i="5"/>
  <c r="G12" i="5"/>
  <c r="G11" i="5"/>
  <c r="I11" i="5" s="1"/>
  <c r="G10" i="5"/>
  <c r="G9" i="5"/>
  <c r="I9" i="5" s="1"/>
  <c r="I13" i="5"/>
  <c r="F12" i="5"/>
  <c r="F11" i="5"/>
  <c r="F10" i="5"/>
  <c r="F9" i="5"/>
  <c r="F18" i="4"/>
  <c r="E18" i="4"/>
  <c r="D18" i="4"/>
  <c r="C18" i="4"/>
  <c r="F17" i="4"/>
  <c r="E17" i="4"/>
  <c r="D17" i="4"/>
  <c r="C17" i="4"/>
  <c r="F17" i="3"/>
  <c r="E17" i="3"/>
  <c r="D17" i="3"/>
  <c r="C17" i="3"/>
  <c r="F18" i="3"/>
  <c r="E18" i="3"/>
  <c r="D18" i="3"/>
  <c r="C18" i="3"/>
  <c r="F71" i="2"/>
  <c r="F65" i="2"/>
  <c r="F47" i="2"/>
  <c r="F36" i="2"/>
  <c r="F30" i="2"/>
  <c r="F24" i="2"/>
  <c r="F17" i="2"/>
  <c r="F65" i="1"/>
  <c r="F28" i="1"/>
  <c r="F72" i="1"/>
  <c r="F45" i="1"/>
  <c r="F35" i="1"/>
  <c r="F17" i="1"/>
  <c r="F19" i="1" s="1"/>
  <c r="E13" i="7" l="1"/>
  <c r="E15" i="7" s="1"/>
  <c r="I5" i="7" s="1"/>
  <c r="C15" i="7"/>
  <c r="E14" i="7"/>
  <c r="K5" i="7"/>
  <c r="I17" i="7"/>
  <c r="F72" i="2"/>
  <c r="F74" i="2" s="1"/>
  <c r="F46" i="1"/>
  <c r="F48" i="1" s="1"/>
  <c r="F56" i="1" s="1"/>
  <c r="I4" i="7"/>
  <c r="J4" i="7" s="1"/>
  <c r="G38" i="16"/>
  <c r="G23" i="16"/>
  <c r="F41" i="16"/>
  <c r="F43" i="16" s="1"/>
  <c r="F51" i="16" s="1"/>
  <c r="G22" i="16"/>
  <c r="G20" i="16"/>
  <c r="G21" i="16"/>
  <c r="G19" i="16"/>
  <c r="G28" i="16"/>
  <c r="G29" i="16"/>
  <c r="G27" i="16"/>
  <c r="H65" i="16"/>
  <c r="J65" i="16"/>
  <c r="K65" i="16" s="1"/>
  <c r="F67" i="16"/>
  <c r="G63" i="16" s="1"/>
  <c r="H72" i="16"/>
  <c r="F74" i="16"/>
  <c r="G73" i="16" s="1"/>
  <c r="H63" i="16"/>
  <c r="G64" i="16"/>
  <c r="G37" i="16"/>
  <c r="G40" i="16" s="1"/>
  <c r="E58" i="11"/>
  <c r="E58" i="13"/>
  <c r="E74" i="8"/>
  <c r="E78" i="8"/>
  <c r="E82" i="8"/>
  <c r="E86" i="8"/>
  <c r="B88" i="8"/>
  <c r="E76" i="8"/>
  <c r="E80" i="8"/>
  <c r="E84" i="8"/>
  <c r="F14" i="5"/>
  <c r="D22" i="6" s="1"/>
  <c r="F48" i="2"/>
  <c r="F50" i="2" s="1"/>
  <c r="F58" i="2" s="1"/>
  <c r="F73" i="1"/>
  <c r="F76" i="1" s="1"/>
  <c r="H76" i="1" s="1"/>
  <c r="I13" i="7" l="1"/>
  <c r="J5" i="7"/>
  <c r="H22" i="5"/>
  <c r="J17" i="7"/>
  <c r="F81" i="2"/>
  <c r="F90" i="2" s="1"/>
  <c r="F91" i="2" s="1"/>
  <c r="H74" i="2"/>
  <c r="F80" i="1"/>
  <c r="F89" i="1" s="1"/>
  <c r="F90" i="1" s="1"/>
  <c r="F82" i="1" s="1"/>
  <c r="H82" i="1" s="1"/>
  <c r="K12" i="1" s="1"/>
  <c r="O12" i="1" s="1"/>
  <c r="G30" i="16"/>
  <c r="G71" i="16"/>
  <c r="G62" i="16"/>
  <c r="F75" i="16"/>
  <c r="F78" i="16" s="1"/>
  <c r="G66" i="16"/>
  <c r="G24" i="16"/>
  <c r="G72" i="16"/>
  <c r="G69" i="16"/>
  <c r="G70" i="16"/>
  <c r="K63" i="16"/>
  <c r="G65" i="16"/>
  <c r="G67" i="16" s="1"/>
  <c r="K64" i="16"/>
  <c r="F88" i="2"/>
  <c r="K17" i="1" l="1"/>
  <c r="O17" i="1" s="1"/>
  <c r="E5" i="6" s="1"/>
  <c r="D5" i="6"/>
  <c r="H10" i="5"/>
  <c r="J13" i="7"/>
  <c r="C14" i="6"/>
  <c r="F83" i="2"/>
  <c r="H83" i="2" s="1"/>
  <c r="K12" i="2" s="1"/>
  <c r="F87" i="1"/>
  <c r="C5" i="6"/>
  <c r="G74" i="16"/>
  <c r="O12" i="2" l="1"/>
  <c r="D14" i="6" s="1"/>
  <c r="I22" i="5"/>
  <c r="K17" i="2" l="1"/>
  <c r="O17" i="2" s="1"/>
  <c r="E14" i="6" s="1"/>
  <c r="I26" i="5"/>
  <c r="C23" i="6" s="1"/>
  <c r="I10" i="5" l="1"/>
  <c r="I14" i="5" l="1"/>
  <c r="C22" i="6" s="1"/>
</calcChain>
</file>

<file path=xl/comments1.xml><?xml version="1.0" encoding="utf-8"?>
<comments xmlns="http://schemas.openxmlformats.org/spreadsheetml/2006/main">
  <authors>
    <author>Author</author>
  </authors>
  <commentList>
    <comment ref="I3" authorId="0" shapeId="0">
      <text>
        <r>
          <rPr>
            <b/>
            <sz val="9"/>
            <color indexed="81"/>
            <rFont val="Tahoma"/>
            <family val="2"/>
          </rPr>
          <t>Author:</t>
        </r>
        <r>
          <rPr>
            <sz val="9"/>
            <color indexed="81"/>
            <rFont val="Tahoma"/>
            <family val="2"/>
          </rPr>
          <t xml:space="preserve">
Electric only. 
A customized weighted index, based on Avista's 2016 relative shares of Net Plant for Generation, Transmission, and Distribution, and the respective PPI-Utilities components.</t>
        </r>
      </text>
    </comment>
    <comment ref="J3" authorId="0" shapeId="0">
      <text>
        <r>
          <rPr>
            <b/>
            <sz val="9"/>
            <color indexed="81"/>
            <rFont val="Tahoma"/>
            <family val="2"/>
          </rPr>
          <t>Author:</t>
        </r>
        <r>
          <rPr>
            <sz val="9"/>
            <color indexed="81"/>
            <rFont val="Tahoma"/>
            <family val="2"/>
          </rPr>
          <t xml:space="preserve">
Electric only. 
50% PPI-Custom, 50% ECI</t>
        </r>
      </text>
    </comment>
  </commentList>
</comments>
</file>

<file path=xl/comments2.xml><?xml version="1.0" encoding="utf-8"?>
<comments xmlns="http://schemas.openxmlformats.org/spreadsheetml/2006/main">
  <authors>
    <author>gzhkw6</author>
  </authors>
  <commentList>
    <comment ref="T61" authorId="0" shapeId="0">
      <text>
        <r>
          <rPr>
            <b/>
            <sz val="9"/>
            <color indexed="81"/>
            <rFont val="Tahoma"/>
            <family val="2"/>
          </rPr>
          <t>gzhkw6:</t>
        </r>
        <r>
          <rPr>
            <sz val="9"/>
            <color indexed="81"/>
            <rFont val="Tahoma"/>
            <family val="2"/>
          </rPr>
          <t xml:space="preserve">
eliminated in rev norm adj, not changed for cb</t>
        </r>
      </text>
    </comment>
  </commentList>
</comments>
</file>

<file path=xl/comments3.xml><?xml version="1.0" encoding="utf-8"?>
<comments xmlns="http://schemas.openxmlformats.org/spreadsheetml/2006/main">
  <authors>
    <author>Author</author>
  </authors>
  <commentList>
    <comment ref="F77" authorId="0" shapeId="0">
      <text>
        <r>
          <rPr>
            <b/>
            <sz val="8"/>
            <color indexed="81"/>
            <rFont val="Tahoma"/>
            <family val="2"/>
          </rPr>
          <t>Author:</t>
        </r>
        <r>
          <rPr>
            <sz val="8"/>
            <color indexed="81"/>
            <rFont val="Tahoma"/>
            <family val="2"/>
          </rPr>
          <t xml:space="preserve">
Segregated Deferred Taxes and Deferred Debits and Credits as if it had been shown that way prior to 2011</t>
        </r>
      </text>
    </comment>
  </commentList>
</comments>
</file>

<file path=xl/comments4.xml><?xml version="1.0" encoding="utf-8"?>
<comments xmlns="http://schemas.openxmlformats.org/spreadsheetml/2006/main">
  <authors>
    <author>Author</author>
  </authors>
  <commentList>
    <comment ref="F77" authorId="0" shapeId="0">
      <text>
        <r>
          <rPr>
            <b/>
            <sz val="8"/>
            <color indexed="81"/>
            <rFont val="Tahoma"/>
            <family val="2"/>
          </rPr>
          <t>Author:</t>
        </r>
        <r>
          <rPr>
            <sz val="8"/>
            <color indexed="81"/>
            <rFont val="Tahoma"/>
            <family val="2"/>
          </rPr>
          <t xml:space="preserve">
Segregated Deferred Taxes and Deferred Debits and Credits as if it had been shown that way prior to 2011</t>
        </r>
      </text>
    </comment>
  </commentList>
</comments>
</file>

<file path=xl/sharedStrings.xml><?xml version="1.0" encoding="utf-8"?>
<sst xmlns="http://schemas.openxmlformats.org/spreadsheetml/2006/main" count="1680" uniqueCount="439">
  <si>
    <t>Avista Utilities</t>
  </si>
  <si>
    <t>Washington Electric</t>
  </si>
  <si>
    <t>Escalation of Modified Historical Test Year</t>
  </si>
  <si>
    <t>Twelve Months Ended December 31, 2016</t>
  </si>
  <si>
    <t>TOTAL</t>
  </si>
  <si>
    <t xml:space="preserve"> </t>
  </si>
  <si>
    <t>Line</t>
  </si>
  <si>
    <t>No.</t>
  </si>
  <si>
    <t>DESCRIPTION</t>
  </si>
  <si>
    <t xml:space="preserve">Adjustment Number </t>
  </si>
  <si>
    <t>Workpaper Reference</t>
  </si>
  <si>
    <t xml:space="preserve">REVENUES  </t>
  </si>
  <si>
    <t xml:space="preserve">Total General Business  </t>
  </si>
  <si>
    <t xml:space="preserve">Interdepartmental Sales  </t>
  </si>
  <si>
    <t xml:space="preserve">Sales for Resale  </t>
  </si>
  <si>
    <t xml:space="preserve">Total Sales of Electricity  </t>
  </si>
  <si>
    <t xml:space="preserve">Other Revenue  </t>
  </si>
  <si>
    <t xml:space="preserve">Total Electric Revenue  </t>
  </si>
  <si>
    <t xml:space="preserve">EXPENSES  </t>
  </si>
  <si>
    <t xml:space="preserve">Production and Transmission  </t>
  </si>
  <si>
    <t xml:space="preserve">Operating Expenses  </t>
  </si>
  <si>
    <t xml:space="preserve">Purchased Power  </t>
  </si>
  <si>
    <t xml:space="preserve">Depreciation/Amortization  </t>
  </si>
  <si>
    <t>Regulatory Amortization</t>
  </si>
  <si>
    <t xml:space="preserve">Taxes  </t>
  </si>
  <si>
    <t xml:space="preserve">Total Production &amp; Transmission  </t>
  </si>
  <si>
    <t xml:space="preserve">Distribution  </t>
  </si>
  <si>
    <t>Depreciation/Amortization</t>
  </si>
  <si>
    <t xml:space="preserve">Total Distribution  </t>
  </si>
  <si>
    <t xml:space="preserve">Customer Accounting  </t>
  </si>
  <si>
    <t xml:space="preserve">Customer Service &amp; Information  </t>
  </si>
  <si>
    <t xml:space="preserve">Sales Expenses  </t>
  </si>
  <si>
    <t xml:space="preserve">Administrative &amp; General  </t>
  </si>
  <si>
    <t xml:space="preserve">Total Admin. &amp; General  </t>
  </si>
  <si>
    <t xml:space="preserve">Total Electric Expenses  </t>
  </si>
  <si>
    <t xml:space="preserve">OPERATING INCOME BEFORE FIT  </t>
  </si>
  <si>
    <t xml:space="preserve">FEDERAL INCOME TAX  </t>
  </si>
  <si>
    <t xml:space="preserve">Current Accrual </t>
  </si>
  <si>
    <t>Debt Interest</t>
  </si>
  <si>
    <t xml:space="preserve">Deferred Income Taxes  </t>
  </si>
  <si>
    <t>Amortized ITC - Noxon</t>
  </si>
  <si>
    <t xml:space="preserve">NET OPERATING INCOME  </t>
  </si>
  <si>
    <t xml:space="preserve">RATE BASE  </t>
  </si>
  <si>
    <t xml:space="preserve">PLANT IN SERVICE  </t>
  </si>
  <si>
    <t xml:space="preserve">Intangible  </t>
  </si>
  <si>
    <t xml:space="preserve">Production  </t>
  </si>
  <si>
    <t xml:space="preserve">Transmission  </t>
  </si>
  <si>
    <t xml:space="preserve">General  </t>
  </si>
  <si>
    <t xml:space="preserve">Total Plant in Service  </t>
  </si>
  <si>
    <t>ACCUMULATED DEPRECIATION/AMORT</t>
  </si>
  <si>
    <t>Total Accumulated Depreciation</t>
  </si>
  <si>
    <t xml:space="preserve">NET PLANT </t>
  </si>
  <si>
    <t xml:space="preserve">DEFERRED TAXES  </t>
  </si>
  <si>
    <t>Net Plant After DFIT</t>
  </si>
  <si>
    <t>DEFERRED DEBITS AND CREDITS &amp; OTHER</t>
  </si>
  <si>
    <t xml:space="preserve">WORKING CAPITAL </t>
  </si>
  <si>
    <t xml:space="preserve">TOTAL RATE BASE  </t>
  </si>
  <si>
    <t xml:space="preserve">RATE OF RETURN  </t>
  </si>
  <si>
    <t xml:space="preserve">REVENUE REQUIREMENT </t>
  </si>
  <si>
    <t>Remove</t>
  </si>
  <si>
    <t>Return on rate base:</t>
  </si>
  <si>
    <t>NOI Requirement</t>
  </si>
  <si>
    <t>Revenue Requirement</t>
  </si>
  <si>
    <t>Auth. ROR</t>
  </si>
  <si>
    <t>Revenue Conversion Factor</t>
  </si>
  <si>
    <t>Year 1</t>
  </si>
  <si>
    <t>Escalation</t>
  </si>
  <si>
    <t>Thousands of Dollars</t>
  </si>
  <si>
    <t>Sub-Total</t>
  </si>
  <si>
    <t>Adjsutment Number</t>
  </si>
  <si>
    <t>REVENUES</t>
  </si>
  <si>
    <t>Total General Business</t>
  </si>
  <si>
    <t>Total Transportation</t>
  </si>
  <si>
    <t>Other Revenues</t>
  </si>
  <si>
    <t>Total Gas Revenues</t>
  </si>
  <si>
    <t>EXPENSES</t>
  </si>
  <si>
    <t>Production Expenses</t>
  </si>
  <si>
    <t>City Gate Purchases</t>
  </si>
  <si>
    <t>Purchased Gas Expense</t>
  </si>
  <si>
    <t>Net Nat Gas Storage Trans</t>
  </si>
  <si>
    <t>Total Production</t>
  </si>
  <si>
    <t>Underground Storage</t>
  </si>
  <si>
    <t>Operating Expenses</t>
  </si>
  <si>
    <t>Taxes</t>
  </si>
  <si>
    <t>Total Underground Storage</t>
  </si>
  <si>
    <t>Distribution</t>
  </si>
  <si>
    <t>Total Distribution</t>
  </si>
  <si>
    <t>Customer Accounting</t>
  </si>
  <si>
    <t>Customer Service &amp; Information</t>
  </si>
  <si>
    <t>Sales Expenses</t>
  </si>
  <si>
    <t>Administrative &amp; General</t>
  </si>
  <si>
    <t>Regulatory Amortizations</t>
  </si>
  <si>
    <t>Total Admin. &amp; General</t>
  </si>
  <si>
    <t>Total Gas Expense</t>
  </si>
  <si>
    <t>OPERATING INCOME BEFORE FIT</t>
  </si>
  <si>
    <t>FEDERAL INCOME TAX</t>
  </si>
  <si>
    <t>Current Accrual</t>
  </si>
  <si>
    <t>Deferred FIT</t>
  </si>
  <si>
    <t>Amort ITC</t>
  </si>
  <si>
    <t>NET OPERATING INCOME</t>
  </si>
  <si>
    <t>RATE BASE</t>
  </si>
  <si>
    <t>PLANT IN SERVICE</t>
  </si>
  <si>
    <t>Distribution Plant</t>
  </si>
  <si>
    <t>General Plant</t>
  </si>
  <si>
    <t>Total Plant in Service</t>
  </si>
  <si>
    <t>Total Accumulated Depreciation/Amortization</t>
  </si>
  <si>
    <t>NET PLANT</t>
  </si>
  <si>
    <t>DEFERRED TAXES</t>
  </si>
  <si>
    <t>GAS INVENTORY</t>
  </si>
  <si>
    <t>GAIN ON SALE OF BUILDING</t>
  </si>
  <si>
    <t>OTHER</t>
  </si>
  <si>
    <t>TOTAL RATE BASE</t>
  </si>
  <si>
    <t>RATE OF RETURN</t>
  </si>
  <si>
    <t>REVENUE REQUIREMENT</t>
  </si>
  <si>
    <t>Adjustment Number</t>
  </si>
  <si>
    <t>Year</t>
  </si>
  <si>
    <t>Adjusted Operating Expenses</t>
  </si>
  <si>
    <t>Total Depreciation/Amortization</t>
  </si>
  <si>
    <t>Adjusted Taxes Other than Income</t>
  </si>
  <si>
    <t>Net Plant After Deferred Income Taxes</t>
  </si>
  <si>
    <t>From EMA-8</t>
  </si>
  <si>
    <t>2007-16 Lin Reg Rate</t>
  </si>
  <si>
    <t>Adjusted R-Square</t>
  </si>
  <si>
    <t>SUMMARY OUTPUT - Adj Operating Expenses</t>
  </si>
  <si>
    <t>Regression Statistics</t>
  </si>
  <si>
    <t>Multiple R</t>
  </si>
  <si>
    <t>R Square</t>
  </si>
  <si>
    <t>Adjusted R Square</t>
  </si>
  <si>
    <t>Standard Error</t>
  </si>
  <si>
    <t>Observations</t>
  </si>
  <si>
    <t>ANOVA</t>
  </si>
  <si>
    <t>df</t>
  </si>
  <si>
    <t>SS</t>
  </si>
  <si>
    <t>MS</t>
  </si>
  <si>
    <t>F</t>
  </si>
  <si>
    <t>Significance F</t>
  </si>
  <si>
    <t>Regression</t>
  </si>
  <si>
    <t>Residual</t>
  </si>
  <si>
    <t>Total</t>
  </si>
  <si>
    <t>Coefficients</t>
  </si>
  <si>
    <t>t Stat</t>
  </si>
  <si>
    <t>P-value</t>
  </si>
  <si>
    <t>Lower 95%</t>
  </si>
  <si>
    <t>Upper 95%</t>
  </si>
  <si>
    <t>Lower 95.0%</t>
  </si>
  <si>
    <t>Upper 95.0%</t>
  </si>
  <si>
    <t>Intercept</t>
  </si>
  <si>
    <t>SUMMARY OUTPUT - Depr/Amort</t>
  </si>
  <si>
    <t>SUMMARY OUTPUT - Taxes OTI</t>
  </si>
  <si>
    <t>SUMMARY OUTPUT</t>
  </si>
  <si>
    <t>SUMMARY OUTPUT - Net Plant ADFIT</t>
  </si>
  <si>
    <t>Development of Regression-based Escalation Rates</t>
  </si>
  <si>
    <t>SUMMARY OUTPUT - Adjusted Operating Expense</t>
  </si>
  <si>
    <t>SUMMARY OUTPUT - Total Depr/Amort</t>
  </si>
  <si>
    <t>SUMMARY OUTPUT - Operating Exp, 2013-16</t>
  </si>
  <si>
    <t>X Variable 1</t>
  </si>
  <si>
    <t>From EMA-4</t>
  </si>
  <si>
    <t>Washington Natural Gas</t>
  </si>
  <si>
    <t>Avista</t>
  </si>
  <si>
    <t>Component</t>
  </si>
  <si>
    <t>Share</t>
  </si>
  <si>
    <t>AVA Growth Rate</t>
  </si>
  <si>
    <t>AVA Weighted Avg Escal</t>
  </si>
  <si>
    <t>Depreciation</t>
  </si>
  <si>
    <t>O&amp;M</t>
  </si>
  <si>
    <t>Taxes OTI</t>
  </si>
  <si>
    <t>Net plant After ADFIT</t>
  </si>
  <si>
    <t>Revenues</t>
  </si>
  <si>
    <t>ESCALATOR</t>
  </si>
  <si>
    <t>UTC Regr</t>
  </si>
  <si>
    <t>UTC Indices</t>
  </si>
  <si>
    <t>-</t>
  </si>
  <si>
    <t>Washington Electric Service</t>
  </si>
  <si>
    <t>Washington UTC</t>
  </si>
  <si>
    <t>UTC Weighted Avg Escal</t>
  </si>
  <si>
    <t>Net plant ADFIT</t>
  </si>
  <si>
    <t>Washington Natural Gas Service</t>
  </si>
  <si>
    <t>Washington State</t>
  </si>
  <si>
    <t>Development of Composite Revenue Escalators</t>
  </si>
  <si>
    <t>Year 2</t>
  </si>
  <si>
    <t>Year 3</t>
  </si>
  <si>
    <t>Staff</t>
  </si>
  <si>
    <t>AVA Source</t>
  </si>
  <si>
    <t>Proposed Rev. Reqmt. Increases - Electric</t>
  </si>
  <si>
    <t>Proposed Rev. Reqmt. Increase - Natural Gas</t>
  </si>
  <si>
    <t>Shading indicates values used in Staff's composite escalation factor.</t>
  </si>
  <si>
    <t>2004-16</t>
  </si>
  <si>
    <t>2007-16</t>
  </si>
  <si>
    <t>Nat Gas O&amp;M Escalator</t>
  </si>
  <si>
    <t>Electric O&amp;M Escalator</t>
  </si>
  <si>
    <t>PPI-Custom</t>
  </si>
  <si>
    <t>PPI-Gen</t>
  </si>
  <si>
    <t>PPI-Distr</t>
  </si>
  <si>
    <t>PPI-Trans</t>
  </si>
  <si>
    <t>PPI-Util</t>
  </si>
  <si>
    <t>ECI</t>
  </si>
  <si>
    <t>FRED Graph Observations</t>
  </si>
  <si>
    <t>Federal Reserve Economic Data</t>
  </si>
  <si>
    <t>Link: https://fred.stlouisfed.org</t>
  </si>
  <si>
    <t>Help: https://fred.stlouisfed.org/help-faq</t>
  </si>
  <si>
    <t>Economic Research Division</t>
  </si>
  <si>
    <t>Federal Reserve Bank of St. Louis</t>
  </si>
  <si>
    <t>CIS2014400000000I</t>
  </si>
  <si>
    <t>Employment Cost Index: Total compensation for Private industry workers in Utilities, Index Dec 2005=100, Quarterly, Seasonally Adjusted</t>
  </si>
  <si>
    <t>Frequency: Quarterly</t>
  </si>
  <si>
    <t>observation_date</t>
  </si>
  <si>
    <t>Rate</t>
  </si>
  <si>
    <t>2003-16</t>
  </si>
  <si>
    <t>2005-16</t>
  </si>
  <si>
    <t>2006-16</t>
  </si>
  <si>
    <t>2008-16</t>
  </si>
  <si>
    <t>2009-16</t>
  </si>
  <si>
    <t>2010-16</t>
  </si>
  <si>
    <t>2011-16</t>
  </si>
  <si>
    <t>2012-16</t>
  </si>
  <si>
    <t>2013-16</t>
  </si>
  <si>
    <t>2014-16</t>
  </si>
  <si>
    <t>2015-16</t>
  </si>
  <si>
    <t>2007-16 lin reg</t>
  </si>
  <si>
    <t>2004-16 lin reg</t>
  </si>
  <si>
    <t>SUMMARY OUTPUT 2007-16</t>
  </si>
  <si>
    <t>SUMMARY OUTPUT 2004-16</t>
  </si>
  <si>
    <t>PCU221221</t>
  </si>
  <si>
    <t>Producer Price Index by Industry: Utilities, Index Dec 2003=100, Monthly, Not Seasonally Adjusted</t>
  </si>
  <si>
    <t>Frequency: Monthly</t>
  </si>
  <si>
    <t>Averages</t>
  </si>
  <si>
    <t>Avg</t>
  </si>
  <si>
    <t>2007-16 rate</t>
  </si>
  <si>
    <t>2004-16 rate</t>
  </si>
  <si>
    <t>PCU221121221121</t>
  </si>
  <si>
    <t>Producer Price Index by Industry: Electric Bulk Power Transmission and Control, Index Dec 2003=100, Monthly, Not Seasonally Adjusted</t>
  </si>
  <si>
    <t>PCU221122221122</t>
  </si>
  <si>
    <t>Producer Price Index by Industry: Electric Power Distribution, Index Dec 2003=100, Monthly, Not Seasonally Adjusted</t>
  </si>
  <si>
    <t>PCU2211102211104</t>
  </si>
  <si>
    <t>Producer Price Index by Industry: Electric Power Generation: Utilities, Index Dec 2003=100, Monthly, Not Seasonally Adjusted</t>
  </si>
  <si>
    <t>PCU221210221210</t>
  </si>
  <si>
    <t>Producer Price Index by Industry: Natural Gas Distribution, Index Dec 2003=100, Monthly, Not Seasonally Adjusted</t>
  </si>
  <si>
    <t>ELECTRIC COST AND REVENUE TREND CALCULATIONS 2013-2016</t>
  </si>
  <si>
    <t>Commission Basis Results of Operations</t>
  </si>
  <si>
    <t xml:space="preserve">AVISTA UTILITIES  </t>
  </si>
  <si>
    <t xml:space="preserve">(000'S OF DOLLARS)  </t>
  </si>
  <si>
    <t>2016 Pct</t>
  </si>
  <si>
    <t xml:space="preserve">Taxes </t>
  </si>
  <si>
    <t>Levelized Settlement Exchange Power</t>
  </si>
  <si>
    <t>(1) Corrected excise tax error in 2013-2015.</t>
  </si>
  <si>
    <t>P / T / D only</t>
  </si>
  <si>
    <t>P/T/D only share of NET PLANT</t>
  </si>
  <si>
    <t xml:space="preserve">DEFERRED DEBITS AND CREDITS </t>
  </si>
  <si>
    <t>na</t>
  </si>
  <si>
    <t xml:space="preserve">WASHINGTON ELECTRIC RESULTS  </t>
  </si>
  <si>
    <t>Electric Data for Escalators</t>
  </si>
  <si>
    <t>Line No.</t>
  </si>
  <si>
    <t>Exclude Power Supply and Adder Schedule Expenses (DSM Tariff Rider and Residential Exchange Credit) from O&amp;M</t>
  </si>
  <si>
    <t>Production/Transmission</t>
  </si>
  <si>
    <t>CBR Ln 7</t>
  </si>
  <si>
    <t>Purchased Power</t>
  </si>
  <si>
    <t>CBR Ln 8</t>
  </si>
  <si>
    <t>CBR Ln 13</t>
  </si>
  <si>
    <t>CBR Ln 17</t>
  </si>
  <si>
    <t>Customer Service and Information</t>
  </si>
  <si>
    <t>CBR Ln 18</t>
  </si>
  <si>
    <t>Sales</t>
  </si>
  <si>
    <t>CBR Ln 19</t>
  </si>
  <si>
    <t>Adminisrtative and General</t>
  </si>
  <si>
    <t>CBR Ln 20</t>
  </si>
  <si>
    <t>Total Operating &amp; Maintenance Expenses</t>
  </si>
  <si>
    <t>Deduct Power Supply Expenses</t>
  </si>
  <si>
    <t>Deduct DSM Tariff Rider Expenses</t>
  </si>
  <si>
    <t>Deduct Res X Credit Expenses</t>
  </si>
  <si>
    <t>CS2/Colstrip 2012 Deferral/Amort</t>
  </si>
  <si>
    <t>Remove Wind Storm</t>
  </si>
  <si>
    <t>CBR Ln 9</t>
  </si>
  <si>
    <t>CBR Ln 14</t>
  </si>
  <si>
    <t>CBR Ln 21</t>
  </si>
  <si>
    <t>Exclude Adder Schedule amortizations (Residential Exchange Credit) from Regulatory Amortizations</t>
  </si>
  <si>
    <t>CBR Ln 10</t>
  </si>
  <si>
    <t>Deduct Res X Credit amortization</t>
  </si>
  <si>
    <t>Adjusted Regulatory Amortizations</t>
  </si>
  <si>
    <t>Exclude Adder Schedule excise taxes (DSM Tariff Rider and Residential Exchange Credit) from Taxes Other Than Income Tax</t>
  </si>
  <si>
    <t>CBR Ln 11</t>
  </si>
  <si>
    <t>CBR Ln 15</t>
  </si>
  <si>
    <t>CBR Ln 22</t>
  </si>
  <si>
    <t>Total Taxes Other Than Income Tax</t>
  </si>
  <si>
    <t>Deduct DSM Tariff Rider Excise Tax</t>
  </si>
  <si>
    <t>Deduct Res X Credit Excise Tax</t>
  </si>
  <si>
    <t>Adjusted Taxes Other Than Income Tax</t>
  </si>
  <si>
    <t>(1) Planned (Per Rate Period Study)</t>
  </si>
  <si>
    <t>2018</t>
  </si>
  <si>
    <t>2019</t>
  </si>
  <si>
    <t>2020</t>
  </si>
  <si>
    <t>Net Plant After Deferred Income Tax</t>
  </si>
  <si>
    <t>CBR Ln 46</t>
  </si>
  <si>
    <t>Total Rate Base</t>
  </si>
  <si>
    <t>CBR Ln 49</t>
  </si>
  <si>
    <t>Exclude Power Supply and Transmission Wheeling from Other Operating Revenue</t>
  </si>
  <si>
    <t>Other Operating Revenue</t>
  </si>
  <si>
    <t>CBR Ln 5</t>
  </si>
  <si>
    <t>Deduct Decoupling Deferred Revenue and Provision for Rate Refund</t>
  </si>
  <si>
    <t>Deduct Power Supply Other Revenue</t>
  </si>
  <si>
    <t>Deduct Transmission Other Revenue</t>
  </si>
  <si>
    <t>Adjusted Other Revenue</t>
  </si>
  <si>
    <t>ADJUSTED OTHER REVENUES NOT USED</t>
  </si>
  <si>
    <t>ANNUAL GROWTH RATES</t>
  </si>
  <si>
    <t xml:space="preserve">Electric K-Factor Growth  Rate Analysis </t>
  </si>
  <si>
    <t>Rate Year 1</t>
  </si>
  <si>
    <t>Rate Years 2 &amp; 3</t>
  </si>
  <si>
    <t>Annual Growth Rates</t>
  </si>
  <si>
    <t>2001-2002</t>
  </si>
  <si>
    <t>2002-2003</t>
  </si>
  <si>
    <t>2003-2004</t>
  </si>
  <si>
    <t>2004-2005</t>
  </si>
  <si>
    <t>2005-2006</t>
  </si>
  <si>
    <t>2006-2007</t>
  </si>
  <si>
    <t>2007-2008</t>
  </si>
  <si>
    <t>2008-2009</t>
  </si>
  <si>
    <t>2009-2010</t>
  </si>
  <si>
    <t>2010-2011</t>
  </si>
  <si>
    <t>2011-2012</t>
  </si>
  <si>
    <t>2012-2013</t>
  </si>
  <si>
    <t>2013-2014</t>
  </si>
  <si>
    <t>2018-2019</t>
  </si>
  <si>
    <t>2019-2020</t>
  </si>
  <si>
    <t>Compound Growth Rates to 2016</t>
  </si>
  <si>
    <t>2001-2014</t>
  </si>
  <si>
    <t>2002-2014</t>
  </si>
  <si>
    <t>2003-2014</t>
  </si>
  <si>
    <t>2004-2014</t>
  </si>
  <si>
    <t>2005-2014</t>
  </si>
  <si>
    <t>2007-2016</t>
  </si>
  <si>
    <t>2008-2016</t>
  </si>
  <si>
    <t>2009-2016</t>
  </si>
  <si>
    <t>2010-2016</t>
  </si>
  <si>
    <t>2011-2016</t>
  </si>
  <si>
    <t>2012-2016</t>
  </si>
  <si>
    <t>2013-2016</t>
  </si>
  <si>
    <t>2018-2020</t>
  </si>
  <si>
    <r>
      <t xml:space="preserve">10% efficiency deduction </t>
    </r>
    <r>
      <rPr>
        <b/>
        <sz val="9"/>
        <rFont val="Times New Roman"/>
        <family val="1"/>
      </rPr>
      <t>(1)</t>
    </r>
  </si>
  <si>
    <t>7A</t>
  </si>
  <si>
    <t>(2)</t>
  </si>
  <si>
    <t>Rate base</t>
  </si>
  <si>
    <t>2.333-year Growth Rate (12.2016 AMA to 04.2019 AMA)</t>
  </si>
  <si>
    <t>2014-2016</t>
  </si>
  <si>
    <t>2 years</t>
  </si>
  <si>
    <t>13A</t>
  </si>
  <si>
    <t>Adjusted Operating Expenses (Avista)</t>
  </si>
  <si>
    <t>Adjusted Depreciation/Amortization</t>
  </si>
  <si>
    <t>Portion</t>
  </si>
  <si>
    <t>10% Eff Adjustment</t>
  </si>
  <si>
    <t>Rate Base Reduction (1)</t>
  </si>
  <si>
    <t>Total K Factor %</t>
  </si>
  <si>
    <t>(1) This efficiency adjustment is on top of the already reduced O&amp;M growth in 2017 and beyond compared to past planned growth in O&amp;M. As noted in the Company's prior 2016 case (Docket UE-160226, Exhibit No. (EMA-1T), page 35, line 2, the previous growth trend in O&amp;M per the Company's forecast from 2015 to 2017 had expected to be 4.24% annually for electric operations. The Company has recently reduced its expected O&amp;M annual increases for the period 2017-2020 to 2.71% anually, a significant reduction, and one more in-line with recent years 2013-2016 average growth of 2.84% for electric operations.</t>
  </si>
  <si>
    <t>(2) Reduction in net plant compared to previous years trend warrants a growth rate reduction for the 2-Year period 2019-2020.  This is based on planned transfers to plant and impacts of A/D &amp; ADFIT for those years. Reductions in net plant in 2019 and 2020 results from: 1) timing of transfers to plant (less in 2019-2020); 2) the continuing impact of repairs and bonus depreciation on ADFIT through 2020; and 3) carrying forward A/D on all plant from December 31, 2016 on an AMA basis to each rate year, increases A/D, reducing the net plant adjustment amount in each year.</t>
  </si>
  <si>
    <t>This index is not used.</t>
  </si>
  <si>
    <t>Electric</t>
  </si>
  <si>
    <t>Natural Gas</t>
  </si>
  <si>
    <t xml:space="preserve">Non-Energy </t>
  </si>
  <si>
    <t xml:space="preserve">EOP Pro Forma </t>
  </si>
  <si>
    <t>PF-SubTtl</t>
  </si>
  <si>
    <t>From JH-2</t>
  </si>
  <si>
    <t>EOP</t>
  </si>
  <si>
    <t>Pro Forma</t>
  </si>
  <si>
    <t>JH-2</t>
  </si>
  <si>
    <t>From JH-3</t>
  </si>
  <si>
    <t>JH-3</t>
  </si>
  <si>
    <t>Base</t>
  </si>
  <si>
    <t>Proposed Capital Structure*</t>
  </si>
  <si>
    <t>Capital</t>
  </si>
  <si>
    <t>Weighted</t>
  </si>
  <si>
    <t>Structure</t>
  </si>
  <si>
    <t>Cost</t>
  </si>
  <si>
    <t>Common</t>
  </si>
  <si>
    <t>* Based on rate year estimated capital structure and cost of debt.</t>
  </si>
  <si>
    <t>Tax Gross-up</t>
  </si>
  <si>
    <t>Tax on equity return:</t>
  </si>
  <si>
    <t>Total % to apply to Net Plant:</t>
  </si>
  <si>
    <t>AVISTA UTILITIES</t>
  </si>
  <si>
    <t xml:space="preserve">WASHINGTON NATURAL GAS RESULTS </t>
  </si>
  <si>
    <t xml:space="preserve">(000'S OF DOLLARS)   </t>
  </si>
  <si>
    <t>Deduct Gas Excise Tax</t>
  </si>
  <si>
    <t>COMMISSION BASIS REPORTS INPUT</t>
  </si>
  <si>
    <t>ADDED</t>
  </si>
  <si>
    <t>2004*</t>
  </si>
  <si>
    <t>2006*</t>
  </si>
  <si>
    <t xml:space="preserve">       2007       </t>
  </si>
  <si>
    <t xml:space="preserve">       2008       </t>
  </si>
  <si>
    <t xml:space="preserve">       2009       </t>
  </si>
  <si>
    <t xml:space="preserve">       2010       </t>
  </si>
  <si>
    <t xml:space="preserve">       2011       </t>
  </si>
  <si>
    <t xml:space="preserve">       2012       </t>
  </si>
  <si>
    <t xml:space="preserve">       2013  **     </t>
  </si>
  <si>
    <t xml:space="preserve">       2014  **     </t>
  </si>
  <si>
    <t xml:space="preserve">       2015  **     </t>
  </si>
  <si>
    <t>2016**</t>
  </si>
  <si>
    <t>Decoup.</t>
  </si>
  <si>
    <t>(Note 1)</t>
  </si>
  <si>
    <t>DSM</t>
  </si>
  <si>
    <t>Gas Cost</t>
  </si>
  <si>
    <t>Amort.</t>
  </si>
  <si>
    <t>Note 1:  Washington gas 12ME December 2013 conversion factor amounts.</t>
  </si>
  <si>
    <t xml:space="preserve">* </t>
  </si>
  <si>
    <t>In the 2004 and 2006 CBR's the DSM was removed in the revenue normalization adjustment.</t>
  </si>
  <si>
    <t>**</t>
  </si>
  <si>
    <t xml:space="preserve">2013 Commission Basis Report included Eliminate Adder Schedule adjustment that removed the DSM Tariff Rider and the Decoupling Rebate revenues and expenses, also consolidated all PGA related gas costs into "City Gate Purchases" </t>
  </si>
  <si>
    <t>Sales For Resale Revenue</t>
  </si>
  <si>
    <t>Non PGA Gas Expense</t>
  </si>
  <si>
    <t>check</t>
  </si>
  <si>
    <t>Reference</t>
  </si>
  <si>
    <t>Year 2 and Year 3 Escalators</t>
  </si>
  <si>
    <t>Short-Term Debt</t>
  </si>
  <si>
    <t>Long-Term Debt</t>
  </si>
  <si>
    <t>JH-3 &amp; EMA WPs</t>
  </si>
  <si>
    <t>Relative Share of Net Plant, 2016 CBR</t>
  </si>
  <si>
    <t>2004-16 PPI Rate of Growth</t>
  </si>
  <si>
    <t>[A]</t>
  </si>
  <si>
    <t>[B]</t>
  </si>
  <si>
    <t>Contribution to PPI-Custom</t>
  </si>
  <si>
    <t>[C] = [A]*[B]</t>
  </si>
  <si>
    <t>[C] = ( [A] + [B] ) / 2</t>
  </si>
  <si>
    <t>*</t>
  </si>
  <si>
    <t>=</t>
  </si>
  <si>
    <t>Calculation of Year Two and Year Three Revenue Increases</t>
  </si>
  <si>
    <t>Year One</t>
  </si>
  <si>
    <t>Year Two</t>
  </si>
  <si>
    <t>mutiplied by</t>
  </si>
  <si>
    <t>multiplied by</t>
  </si>
  <si>
    <t>Composite</t>
  </si>
  <si>
    <t xml:space="preserve">Revenue </t>
  </si>
  <si>
    <t>Escalator</t>
  </si>
  <si>
    <t>Revenue</t>
  </si>
  <si>
    <t>equals</t>
  </si>
  <si>
    <t>Increase</t>
  </si>
  <si>
    <t>Year Three</t>
  </si>
  <si>
    <t>x</t>
  </si>
  <si>
    <t>Isolate Year 1</t>
  </si>
  <si>
    <t>* Note: Line 42 figure in "Isolate Escalation Base" column is the after-tax return on net plant.</t>
  </si>
  <si>
    <t>* Note: Line 46 figure in "Isolate Escalation Base" column is the after-tax return on net plant.</t>
  </si>
  <si>
    <t>EMA-1T pg 14</t>
  </si>
  <si>
    <t>Cumulative Electric Revenue Increases</t>
  </si>
  <si>
    <t>Cumulative Natural Gas Revenue Increases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</si>
</sst>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0.000%"/>
    <numFmt numFmtId="167" formatCode="yyyy\-mm\-dd"/>
    <numFmt numFmtId="168" formatCode="0.0"/>
    <numFmt numFmtId="169" formatCode="_(* #,##0_);_(* \(#,##0\);_(* &quot;-&quot;??_);_(@_)"/>
    <numFmt numFmtId="170" formatCode="&quot;$&quot;#,##0"/>
    <numFmt numFmtId="171" formatCode="#,##0.000000"/>
  </numFmts>
  <fonts count="32">
    <font>
      <sz val="11"/>
      <color theme="1"/>
      <name val="Calibri"/>
      <family val="2"/>
      <scheme val="minor"/>
    </font>
    <font>
      <sz val="11"/>
      <color theme="1"/>
      <name val="Calibri"/>
      <family val="2"/>
      <scheme val="minor"/>
    </font>
    <font>
      <b/>
      <sz val="11"/>
      <color theme="1"/>
      <name val="Calibri"/>
      <family val="2"/>
      <scheme val="minor"/>
    </font>
    <font>
      <sz val="10"/>
      <name val="Geneva"/>
      <family val="2"/>
    </font>
    <font>
      <b/>
      <sz val="9"/>
      <name val="Times New Roman"/>
      <family val="1"/>
    </font>
    <font>
      <sz val="10"/>
      <name val="Arial"/>
      <family val="2"/>
    </font>
    <font>
      <sz val="9"/>
      <name val="Times New Roman"/>
      <family val="1"/>
    </font>
    <font>
      <i/>
      <sz val="11"/>
      <color theme="1"/>
      <name val="Calibri"/>
      <family val="2"/>
      <scheme val="minor"/>
    </font>
    <font>
      <sz val="9"/>
      <color indexed="81"/>
      <name val="Tahoma"/>
      <family val="2"/>
    </font>
    <font>
      <b/>
      <sz val="9"/>
      <color indexed="81"/>
      <name val="Tahoma"/>
      <family val="2"/>
    </font>
    <font>
      <sz val="10"/>
      <name val="Geneva"/>
    </font>
    <font>
      <b/>
      <sz val="10"/>
      <name val="Arial"/>
      <family val="2"/>
    </font>
    <font>
      <i/>
      <sz val="10"/>
      <name val="Arial"/>
      <family val="2"/>
    </font>
    <font>
      <b/>
      <u/>
      <sz val="11"/>
      <color theme="1"/>
      <name val="Calibri"/>
      <family val="2"/>
      <scheme val="minor"/>
    </font>
    <font>
      <i/>
      <sz val="11"/>
      <color theme="1"/>
      <name val="Calibri"/>
      <family val="2"/>
    </font>
    <font>
      <b/>
      <sz val="16"/>
      <name val="Times New Roman"/>
      <family val="1"/>
    </font>
    <font>
      <b/>
      <sz val="12"/>
      <name val="Times New Roman"/>
      <family val="1"/>
    </font>
    <font>
      <b/>
      <sz val="14"/>
      <name val="Times New Roman"/>
      <family val="1"/>
    </font>
    <font>
      <sz val="12"/>
      <name val="Times New Roman"/>
      <family val="1"/>
    </font>
    <font>
      <b/>
      <sz val="8"/>
      <color indexed="81"/>
      <name val="Tahoma"/>
      <family val="2"/>
    </font>
    <font>
      <sz val="8"/>
      <color indexed="81"/>
      <name val="Tahoma"/>
      <family val="2"/>
    </font>
    <font>
      <b/>
      <sz val="9"/>
      <color rgb="FFFF0000"/>
      <name val="Times New Roman"/>
      <family val="1"/>
    </font>
    <font>
      <sz val="10"/>
      <color theme="1"/>
      <name val="Arial"/>
      <family val="2"/>
    </font>
    <font>
      <sz val="9"/>
      <color theme="1"/>
      <name val="Times New Roman"/>
      <family val="1"/>
    </font>
    <font>
      <b/>
      <sz val="9"/>
      <color theme="1"/>
      <name val="Times New Roman"/>
      <family val="1"/>
    </font>
    <font>
      <b/>
      <u/>
      <sz val="9"/>
      <name val="Times New Roman"/>
      <family val="1"/>
    </font>
    <font>
      <u/>
      <sz val="9"/>
      <color theme="1"/>
      <name val="Times New Roman"/>
      <family val="1"/>
    </font>
    <font>
      <b/>
      <sz val="10"/>
      <name val="Times New Roman"/>
      <family val="1"/>
    </font>
    <font>
      <sz val="9"/>
      <name val="Arial"/>
      <family val="2"/>
    </font>
    <font>
      <b/>
      <sz val="9"/>
      <name val="Arial"/>
      <family val="2"/>
    </font>
    <font>
      <sz val="12"/>
      <color indexed="12"/>
      <name val="Times New Roman"/>
      <family val="1"/>
    </font>
    <font>
      <u/>
      <sz val="10"/>
      <name val="Arial"/>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34998626667073579"/>
        <bgColor indexed="64"/>
      </patternFill>
    </fill>
    <fill>
      <patternFill patternType="solid">
        <fgColor indexed="46"/>
        <bgColor indexed="64"/>
      </patternFill>
    </fill>
    <fill>
      <patternFill patternType="solid">
        <fgColor theme="0"/>
        <bgColor indexed="64"/>
      </patternFill>
    </fill>
    <fill>
      <patternFill patternType="solid">
        <fgColor theme="9" tint="0.59999389629810485"/>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double">
        <color indexed="64"/>
      </bottom>
      <diagonal/>
    </border>
  </borders>
  <cellStyleXfs count="1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0" fontId="5" fillId="0" borderId="0"/>
    <xf numFmtId="0" fontId="5" fillId="0" borderId="0"/>
    <xf numFmtId="43" fontId="5" fillId="0" borderId="0" applyFont="0" applyFill="0" applyBorder="0" applyAlignment="0" applyProtection="0"/>
    <xf numFmtId="0" fontId="22" fillId="0" borderId="0"/>
    <xf numFmtId="9" fontId="5" fillId="0" borderId="0" applyFont="0" applyFill="0" applyBorder="0" applyAlignment="0" applyProtection="0"/>
    <xf numFmtId="0" fontId="10"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cellStyleXfs>
  <cellXfs count="394">
    <xf numFmtId="0" fontId="0" fillId="0" borderId="0" xfId="0"/>
    <xf numFmtId="0" fontId="0" fillId="0" borderId="0" xfId="0" applyAlignment="1">
      <alignment horizontal="center"/>
    </xf>
    <xf numFmtId="0" fontId="0" fillId="0" borderId="0" xfId="0" applyAlignment="1"/>
    <xf numFmtId="0" fontId="7" fillId="0" borderId="0" xfId="0" applyFont="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10" fontId="0" fillId="0" borderId="0" xfId="2" applyNumberFormat="1" applyFont="1" applyAlignment="1">
      <alignment horizontal="center"/>
    </xf>
    <xf numFmtId="0" fontId="0" fillId="0" borderId="0" xfId="0" applyAlignment="1">
      <alignment horizontal="right"/>
    </xf>
    <xf numFmtId="0" fontId="0" fillId="0" borderId="4" xfId="0"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44" fontId="0" fillId="0" borderId="0" xfId="0" applyNumberFormat="1" applyAlignment="1">
      <alignment horizontal="center"/>
    </xf>
    <xf numFmtId="165" fontId="0" fillId="0" borderId="0" xfId="0" applyNumberFormat="1" applyAlignment="1">
      <alignment horizontal="center"/>
    </xf>
    <xf numFmtId="44" fontId="0" fillId="0" borderId="0" xfId="0" applyNumberFormat="1"/>
    <xf numFmtId="165" fontId="0" fillId="0" borderId="0" xfId="0" applyNumberFormat="1"/>
    <xf numFmtId="165" fontId="0" fillId="0" borderId="0" xfId="0" applyNumberFormat="1" applyAlignment="1">
      <alignment horizontal="right"/>
    </xf>
    <xf numFmtId="165" fontId="0" fillId="0" borderId="4" xfId="0" applyNumberFormat="1" applyBorder="1" applyAlignment="1">
      <alignment horizontal="right"/>
    </xf>
    <xf numFmtId="10" fontId="0" fillId="3" borderId="0" xfId="0" applyNumberFormat="1" applyFill="1" applyAlignment="1">
      <alignment horizontal="center"/>
    </xf>
    <xf numFmtId="165" fontId="0" fillId="0" borderId="4" xfId="0" applyNumberFormat="1" applyBorder="1"/>
    <xf numFmtId="0" fontId="5" fillId="0" borderId="0" xfId="0" applyFont="1"/>
    <xf numFmtId="0" fontId="11" fillId="0" borderId="0" xfId="0" applyFont="1"/>
    <xf numFmtId="1" fontId="0" fillId="0" borderId="0" xfId="0" applyNumberFormat="1"/>
    <xf numFmtId="0" fontId="2" fillId="0" borderId="0" xfId="0" applyFont="1"/>
    <xf numFmtId="0" fontId="2" fillId="0" borderId="0" xfId="0" applyFont="1" applyAlignment="1">
      <alignment horizontal="center"/>
    </xf>
    <xf numFmtId="0" fontId="12" fillId="0" borderId="14" xfId="0" applyFont="1" applyFill="1" applyBorder="1" applyAlignment="1">
      <alignment horizontal="centerContinuous"/>
    </xf>
    <xf numFmtId="0" fontId="0" fillId="0" borderId="0" xfId="0" applyFill="1" applyBorder="1" applyAlignment="1"/>
    <xf numFmtId="0" fontId="0" fillId="0" borderId="15" xfId="0" applyFill="1" applyBorder="1" applyAlignment="1"/>
    <xf numFmtId="0" fontId="12" fillId="0" borderId="14" xfId="0" applyFont="1" applyFill="1" applyBorder="1" applyAlignment="1">
      <alignment horizontal="center"/>
    </xf>
    <xf numFmtId="9" fontId="0" fillId="0" borderId="0" xfId="2" applyFont="1"/>
    <xf numFmtId="10" fontId="0" fillId="0" borderId="0" xfId="2" applyNumberFormat="1" applyFont="1"/>
    <xf numFmtId="0" fontId="2" fillId="0" borderId="10" xfId="0" applyFont="1" applyBorder="1"/>
    <xf numFmtId="10" fontId="0" fillId="0" borderId="10" xfId="2" applyNumberFormat="1" applyFont="1" applyBorder="1"/>
    <xf numFmtId="0" fontId="0" fillId="0" borderId="10" xfId="0" applyBorder="1"/>
    <xf numFmtId="10" fontId="0" fillId="0" borderId="0" xfId="0" applyNumberFormat="1"/>
    <xf numFmtId="0" fontId="11" fillId="0" borderId="10" xfId="0" applyFont="1" applyBorder="1" applyAlignment="1">
      <alignment horizontal="center"/>
    </xf>
    <xf numFmtId="10" fontId="0" fillId="3" borderId="0" xfId="0" applyNumberFormat="1" applyFill="1"/>
    <xf numFmtId="0" fontId="2" fillId="0" borderId="10" xfId="0" applyFont="1" applyBorder="1" applyAlignment="1">
      <alignment horizontal="center"/>
    </xf>
    <xf numFmtId="165" fontId="0" fillId="0" borderId="10" xfId="1" applyNumberFormat="1" applyFont="1" applyBorder="1"/>
    <xf numFmtId="0" fontId="0" fillId="0" borderId="10" xfId="0" applyBorder="1" applyAlignment="1">
      <alignment horizontal="center"/>
    </xf>
    <xf numFmtId="10" fontId="0" fillId="0" borderId="0" xfId="0" applyNumberFormat="1" applyFill="1"/>
    <xf numFmtId="0" fontId="5" fillId="0" borderId="0" xfId="4"/>
    <xf numFmtId="167" fontId="5" fillId="0" borderId="0" xfId="4" applyNumberFormat="1" applyFont="1" applyFill="1" applyBorder="1" applyAlignment="1" applyProtection="1"/>
    <xf numFmtId="168" fontId="5" fillId="0" borderId="0" xfId="4" applyNumberFormat="1" applyFont="1" applyFill="1" applyBorder="1" applyAlignment="1" applyProtection="1"/>
    <xf numFmtId="168" fontId="5" fillId="0" borderId="0" xfId="4" applyNumberFormat="1"/>
    <xf numFmtId="10" fontId="5" fillId="0" borderId="0" xfId="2" applyNumberFormat="1" applyFont="1"/>
    <xf numFmtId="0" fontId="7" fillId="0" borderId="14" xfId="0" applyFont="1" applyFill="1" applyBorder="1" applyAlignment="1">
      <alignment horizontal="centerContinuous"/>
    </xf>
    <xf numFmtId="0" fontId="7" fillId="0" borderId="14" xfId="0" applyFont="1" applyFill="1" applyBorder="1" applyAlignment="1">
      <alignment horizontal="center"/>
    </xf>
    <xf numFmtId="0" fontId="5" fillId="0" borderId="0" xfId="4" applyAlignment="1">
      <alignment horizontal="center"/>
    </xf>
    <xf numFmtId="3" fontId="16" fillId="0" borderId="0" xfId="6" applyNumberFormat="1" applyFont="1" applyFill="1" applyBorder="1" applyAlignment="1"/>
    <xf numFmtId="3" fontId="17" fillId="0" borderId="0" xfId="6" applyNumberFormat="1" applyFont="1" applyFill="1" applyBorder="1" applyAlignment="1"/>
    <xf numFmtId="3" fontId="18" fillId="0" borderId="0" xfId="6" applyNumberFormat="1" applyFont="1" applyFill="1" applyBorder="1" applyAlignment="1"/>
    <xf numFmtId="3" fontId="4" fillId="0" borderId="0" xfId="6" applyNumberFormat="1" applyFont="1" applyFill="1"/>
    <xf numFmtId="3" fontId="6" fillId="0" borderId="0" xfId="6" applyNumberFormat="1" applyFont="1" applyFill="1"/>
    <xf numFmtId="3" fontId="6" fillId="0" borderId="0" xfId="6" applyNumberFormat="1" applyFont="1" applyFill="1" applyBorder="1"/>
    <xf numFmtId="3" fontId="6" fillId="0" borderId="0" xfId="6" applyNumberFormat="1" applyFont="1" applyFill="1" applyBorder="1" applyAlignment="1"/>
    <xf numFmtId="3" fontId="6" fillId="0" borderId="0" xfId="6" applyNumberFormat="1" applyFont="1" applyFill="1" applyBorder="1" applyAlignment="1">
      <alignment horizontal="center"/>
    </xf>
    <xf numFmtId="3" fontId="6" fillId="0" borderId="0" xfId="6" applyNumberFormat="1" applyFont="1" applyFill="1" applyAlignment="1">
      <alignment horizontal="center"/>
    </xf>
    <xf numFmtId="0" fontId="4" fillId="0" borderId="0" xfId="7" applyNumberFormat="1" applyFont="1" applyFill="1" applyBorder="1" applyAlignment="1">
      <alignment horizontal="center"/>
    </xf>
    <xf numFmtId="5" fontId="6" fillId="0" borderId="0" xfId="6" applyNumberFormat="1" applyFont="1" applyFill="1" applyBorder="1" applyProtection="1">
      <protection locked="0"/>
    </xf>
    <xf numFmtId="37" fontId="6" fillId="0" borderId="0" xfId="6" applyNumberFormat="1" applyFont="1" applyFill="1" applyBorder="1" applyProtection="1">
      <protection locked="0"/>
    </xf>
    <xf numFmtId="37" fontId="6" fillId="0" borderId="5" xfId="6" applyNumberFormat="1" applyFont="1" applyFill="1" applyBorder="1" applyProtection="1">
      <protection locked="0"/>
    </xf>
    <xf numFmtId="37" fontId="6" fillId="0" borderId="0" xfId="6" applyNumberFormat="1" applyFont="1" applyFill="1" applyBorder="1"/>
    <xf numFmtId="37" fontId="6" fillId="0" borderId="5" xfId="6" applyNumberFormat="1" applyFont="1" applyFill="1" applyBorder="1"/>
    <xf numFmtId="9" fontId="6" fillId="0" borderId="5" xfId="2" applyFont="1" applyFill="1" applyBorder="1"/>
    <xf numFmtId="169" fontId="4" fillId="0" borderId="0" xfId="7" applyNumberFormat="1" applyFont="1" applyFill="1" applyBorder="1" applyAlignment="1">
      <alignment horizontal="center"/>
    </xf>
    <xf numFmtId="170" fontId="6" fillId="0" borderId="0" xfId="6" applyNumberFormat="1" applyFont="1" applyFill="1"/>
    <xf numFmtId="5" fontId="6" fillId="0" borderId="17" xfId="6" applyNumberFormat="1" applyFont="1" applyFill="1" applyBorder="1"/>
    <xf numFmtId="3" fontId="6" fillId="0" borderId="0" xfId="6" applyNumberFormat="1" applyFont="1" applyFill="1" applyAlignment="1">
      <alignment vertical="top"/>
    </xf>
    <xf numFmtId="5" fontId="6" fillId="0" borderId="0" xfId="6" applyNumberFormat="1" applyFont="1" applyFill="1" applyBorder="1"/>
    <xf numFmtId="3" fontId="4" fillId="0" borderId="0" xfId="6" applyNumberFormat="1" applyFont="1" applyFill="1" applyAlignment="1">
      <alignment horizontal="left"/>
    </xf>
    <xf numFmtId="37" fontId="0" fillId="0" borderId="0" xfId="0" applyNumberFormat="1"/>
    <xf numFmtId="37" fontId="6" fillId="0" borderId="0" xfId="6" applyNumberFormat="1" applyFont="1" applyFill="1" applyBorder="1" applyAlignment="1" applyProtection="1">
      <alignment horizontal="center"/>
      <protection locked="0"/>
    </xf>
    <xf numFmtId="9" fontId="6" fillId="0" borderId="0" xfId="2" applyFont="1" applyFill="1" applyBorder="1" applyAlignment="1" applyProtection="1">
      <alignment horizontal="center"/>
      <protection locked="0"/>
    </xf>
    <xf numFmtId="37" fontId="4" fillId="0" borderId="5" xfId="6" applyNumberFormat="1" applyFont="1" applyFill="1" applyBorder="1" applyProtection="1">
      <protection locked="0"/>
    </xf>
    <xf numFmtId="9" fontId="0" fillId="3" borderId="0" xfId="2" applyFont="1" applyFill="1"/>
    <xf numFmtId="3" fontId="15" fillId="0" borderId="0" xfId="6" applyNumberFormat="1" applyFont="1" applyFill="1" applyBorder="1" applyAlignment="1">
      <alignment horizontal="center"/>
    </xf>
    <xf numFmtId="3" fontId="21" fillId="0" borderId="0" xfId="6" applyNumberFormat="1" applyFont="1" applyFill="1" applyBorder="1"/>
    <xf numFmtId="0" fontId="5" fillId="0" borderId="0" xfId="8" applyFont="1" applyFill="1" applyAlignment="1">
      <alignment horizontal="center"/>
    </xf>
    <xf numFmtId="169" fontId="6" fillId="0" borderId="0" xfId="7" applyNumberFormat="1" applyFont="1" applyFill="1" applyBorder="1" applyAlignment="1">
      <alignment horizontal="center"/>
    </xf>
    <xf numFmtId="10" fontId="6" fillId="0" borderId="0" xfId="6" applyNumberFormat="1" applyFont="1" applyFill="1" applyBorder="1" applyProtection="1">
      <protection locked="0"/>
    </xf>
    <xf numFmtId="37" fontId="4" fillId="0" borderId="0" xfId="6" applyNumberFormat="1" applyFont="1" applyFill="1" applyBorder="1"/>
    <xf numFmtId="3" fontId="4" fillId="0" borderId="0" xfId="6" applyNumberFormat="1" applyFont="1" applyFill="1" applyAlignment="1">
      <alignment horizontal="center"/>
    </xf>
    <xf numFmtId="9" fontId="6" fillId="0" borderId="0" xfId="2" applyFont="1" applyFill="1"/>
    <xf numFmtId="3" fontId="6" fillId="0" borderId="0" xfId="6" applyNumberFormat="1" applyFont="1" applyFill="1" applyAlignment="1">
      <alignment vertical="center"/>
    </xf>
    <xf numFmtId="37" fontId="6" fillId="0" borderId="4" xfId="6" applyNumberFormat="1" applyFont="1" applyFill="1" applyBorder="1" applyAlignment="1" applyProtection="1">
      <alignment horizontal="center"/>
      <protection locked="0"/>
    </xf>
    <xf numFmtId="37" fontId="6" fillId="0" borderId="4" xfId="6" applyNumberFormat="1" applyFont="1" applyFill="1" applyBorder="1" applyProtection="1">
      <protection locked="0"/>
    </xf>
    <xf numFmtId="3" fontId="4" fillId="0" borderId="0" xfId="6" applyNumberFormat="1" applyFont="1" applyFill="1" applyAlignment="1">
      <alignment vertical="top"/>
    </xf>
    <xf numFmtId="3" fontId="4" fillId="0" borderId="0" xfId="6" applyNumberFormat="1" applyFont="1" applyFill="1" applyAlignment="1"/>
    <xf numFmtId="10" fontId="16" fillId="0" borderId="0" xfId="9" applyNumberFormat="1" applyFont="1" applyFill="1" applyBorder="1" applyAlignment="1"/>
    <xf numFmtId="10" fontId="16" fillId="0" borderId="0" xfId="9" applyNumberFormat="1" applyFont="1" applyFill="1" applyBorder="1" applyAlignment="1">
      <alignment horizontal="center"/>
    </xf>
    <xf numFmtId="3" fontId="6" fillId="0" borderId="0" xfId="6" applyNumberFormat="1" applyFont="1" applyFill="1" applyAlignment="1">
      <alignment horizontal="center" wrapText="1"/>
    </xf>
    <xf numFmtId="3" fontId="6" fillId="0" borderId="0" xfId="6" applyNumberFormat="1" applyFont="1" applyFill="1" applyAlignment="1">
      <alignment horizontal="right"/>
    </xf>
    <xf numFmtId="10" fontId="6" fillId="0" borderId="0" xfId="9" applyNumberFormat="1" applyFont="1" applyFill="1"/>
    <xf numFmtId="3" fontId="6" fillId="0" borderId="0" xfId="6" applyNumberFormat="1" applyFont="1" applyFill="1" applyAlignment="1">
      <alignment horizontal="left"/>
    </xf>
    <xf numFmtId="37" fontId="4" fillId="0" borderId="17" xfId="6" applyNumberFormat="1" applyFont="1" applyFill="1" applyBorder="1" applyProtection="1">
      <protection locked="0"/>
    </xf>
    <xf numFmtId="3" fontId="6" fillId="0" borderId="0" xfId="6" quotePrefix="1" applyNumberFormat="1" applyFont="1" applyFill="1" applyBorder="1" applyAlignment="1">
      <alignment horizontal="center"/>
    </xf>
    <xf numFmtId="10" fontId="6" fillId="0" borderId="0" xfId="9" applyNumberFormat="1" applyFont="1" applyFill="1" applyBorder="1" applyProtection="1">
      <protection locked="0"/>
    </xf>
    <xf numFmtId="0" fontId="23" fillId="0" borderId="0" xfId="10" applyFont="1" applyBorder="1" applyAlignment="1">
      <alignment horizontal="center"/>
    </xf>
    <xf numFmtId="10" fontId="6" fillId="0" borderId="0" xfId="9" applyNumberFormat="1" applyFont="1" applyFill="1" applyBorder="1"/>
    <xf numFmtId="3" fontId="4" fillId="0" borderId="0" xfId="6" quotePrefix="1" applyNumberFormat="1" applyFont="1" applyFill="1" applyBorder="1" applyAlignment="1">
      <alignment horizontal="center"/>
    </xf>
    <xf numFmtId="37" fontId="4" fillId="0" borderId="0" xfId="6" applyNumberFormat="1" applyFont="1" applyFill="1" applyBorder="1" applyProtection="1">
      <protection locked="0"/>
    </xf>
    <xf numFmtId="3" fontId="6" fillId="0" borderId="0" xfId="6" quotePrefix="1" applyNumberFormat="1" applyFont="1" applyFill="1"/>
    <xf numFmtId="0" fontId="23" fillId="0" borderId="0" xfId="10" applyFont="1" applyFill="1" applyBorder="1" applyAlignment="1">
      <alignment horizontal="center"/>
    </xf>
    <xf numFmtId="3" fontId="4" fillId="0" borderId="19" xfId="6" quotePrefix="1" applyNumberFormat="1" applyFont="1" applyFill="1" applyBorder="1" applyAlignment="1">
      <alignment horizontal="center"/>
    </xf>
    <xf numFmtId="37" fontId="4" fillId="0" borderId="20" xfId="6" applyNumberFormat="1" applyFont="1" applyFill="1" applyBorder="1" applyProtection="1">
      <protection locked="0"/>
    </xf>
    <xf numFmtId="37" fontId="4" fillId="0" borderId="21" xfId="6" applyNumberFormat="1" applyFont="1" applyFill="1" applyBorder="1" applyProtection="1">
      <protection locked="0"/>
    </xf>
    <xf numFmtId="10" fontId="6" fillId="0" borderId="0" xfId="9" applyNumberFormat="1" applyFont="1" applyFill="1" applyBorder="1" applyAlignment="1">
      <alignment horizontal="center"/>
    </xf>
    <xf numFmtId="169" fontId="6" fillId="2" borderId="0" xfId="7" applyNumberFormat="1" applyFont="1" applyFill="1" applyBorder="1" applyAlignment="1">
      <alignment horizontal="center"/>
    </xf>
    <xf numFmtId="169" fontId="6" fillId="2" borderId="0" xfId="7" applyNumberFormat="1" applyFont="1" applyFill="1" applyBorder="1" applyAlignment="1">
      <alignment horizontal="center" vertical="center"/>
    </xf>
    <xf numFmtId="0" fontId="24" fillId="0" borderId="0" xfId="10" applyNumberFormat="1" applyFont="1" applyAlignment="1">
      <alignment horizontal="left"/>
    </xf>
    <xf numFmtId="0" fontId="23" fillId="0" borderId="0" xfId="10" applyNumberFormat="1" applyFont="1" applyFill="1" applyAlignment="1">
      <alignment horizontal="center"/>
    </xf>
    <xf numFmtId="3" fontId="25" fillId="0" borderId="4" xfId="6" applyNumberFormat="1" applyFont="1" applyFill="1" applyBorder="1" applyAlignment="1">
      <alignment horizontal="center"/>
    </xf>
    <xf numFmtId="0" fontId="26" fillId="0" borderId="0" xfId="10" applyNumberFormat="1" applyFont="1" applyAlignment="1">
      <alignment horizontal="center"/>
    </xf>
    <xf numFmtId="0" fontId="27" fillId="0" borderId="4" xfId="6" applyFont="1" applyBorder="1"/>
    <xf numFmtId="0" fontId="23" fillId="0" borderId="4" xfId="10" applyFont="1" applyBorder="1"/>
    <xf numFmtId="3" fontId="24" fillId="0" borderId="4" xfId="10" applyNumberFormat="1" applyFont="1" applyBorder="1"/>
    <xf numFmtId="0" fontId="4" fillId="0" borderId="4" xfId="6" applyFont="1" applyBorder="1" applyAlignment="1">
      <alignment horizontal="center"/>
    </xf>
    <xf numFmtId="0" fontId="4" fillId="0" borderId="4" xfId="6" applyFont="1" applyFill="1" applyBorder="1" applyAlignment="1">
      <alignment horizontal="center"/>
    </xf>
    <xf numFmtId="0" fontId="4" fillId="0" borderId="0" xfId="6" applyFont="1" applyFill="1" applyBorder="1" applyAlignment="1">
      <alignment horizontal="center"/>
    </xf>
    <xf numFmtId="0" fontId="23" fillId="0" borderId="0" xfId="10" applyNumberFormat="1" applyFont="1" applyAlignment="1">
      <alignment horizontal="center"/>
    </xf>
    <xf numFmtId="0" fontId="5" fillId="0" borderId="0" xfId="6"/>
    <xf numFmtId="0" fontId="6" fillId="0" borderId="0" xfId="6" applyFont="1"/>
    <xf numFmtId="3" fontId="24" fillId="0" borderId="0" xfId="10" applyNumberFormat="1" applyFont="1"/>
    <xf numFmtId="3" fontId="24" fillId="0" borderId="0" xfId="10" applyNumberFormat="1" applyFont="1" applyFill="1"/>
    <xf numFmtId="3" fontId="24" fillId="0" borderId="0" xfId="10" applyNumberFormat="1" applyFont="1" applyFill="1" applyBorder="1"/>
    <xf numFmtId="0" fontId="23" fillId="0" borderId="0" xfId="10" applyFont="1" applyFill="1"/>
    <xf numFmtId="10" fontId="6" fillId="0" borderId="0" xfId="6" applyNumberFormat="1" applyFont="1"/>
    <xf numFmtId="10" fontId="6" fillId="0" borderId="0" xfId="6" applyNumberFormat="1" applyFont="1" applyFill="1"/>
    <xf numFmtId="10" fontId="6" fillId="0" borderId="0" xfId="6" applyNumberFormat="1" applyFont="1" applyFill="1" applyBorder="1"/>
    <xf numFmtId="0" fontId="5" fillId="0" borderId="0" xfId="6" applyFont="1"/>
    <xf numFmtId="0" fontId="6" fillId="0" borderId="0" xfId="6" applyFont="1" applyFill="1" applyBorder="1"/>
    <xf numFmtId="0" fontId="6" fillId="0" borderId="0" xfId="6" applyFont="1" applyFill="1" applyBorder="1" applyAlignment="1">
      <alignment horizontal="right"/>
    </xf>
    <xf numFmtId="0" fontId="23" fillId="0" borderId="0" xfId="10" applyFont="1"/>
    <xf numFmtId="3" fontId="24" fillId="0" borderId="0" xfId="10" applyNumberFormat="1" applyFont="1" applyAlignment="1">
      <alignment horizontal="center"/>
    </xf>
    <xf numFmtId="0" fontId="4" fillId="5" borderId="4" xfId="6" applyFont="1" applyFill="1" applyBorder="1" applyAlignment="1">
      <alignment horizontal="center"/>
    </xf>
    <xf numFmtId="0" fontId="28" fillId="0" borderId="0" xfId="6" applyFont="1"/>
    <xf numFmtId="0" fontId="28" fillId="0" borderId="0" xfId="6" applyFont="1" applyFill="1"/>
    <xf numFmtId="0" fontId="28" fillId="0" borderId="0" xfId="6" applyFont="1" applyFill="1" applyAlignment="1">
      <alignment horizontal="center" wrapText="1"/>
    </xf>
    <xf numFmtId="3" fontId="6" fillId="5" borderId="0" xfId="6" applyNumberFormat="1" applyFont="1" applyFill="1" applyAlignment="1">
      <alignment horizontal="center"/>
    </xf>
    <xf numFmtId="10" fontId="28" fillId="0" borderId="0" xfId="6" applyNumberFormat="1" applyFont="1" applyBorder="1"/>
    <xf numFmtId="10" fontId="28" fillId="0" borderId="0" xfId="6" applyNumberFormat="1" applyFont="1" applyFill="1" applyBorder="1"/>
    <xf numFmtId="10" fontId="29" fillId="0" borderId="0" xfId="6" applyNumberFormat="1" applyFont="1" applyFill="1" applyBorder="1"/>
    <xf numFmtId="10" fontId="28" fillId="5" borderId="0" xfId="6" applyNumberFormat="1" applyFont="1" applyFill="1" applyBorder="1"/>
    <xf numFmtId="10" fontId="6" fillId="5" borderId="0" xfId="9" applyNumberFormat="1" applyFont="1" applyFill="1"/>
    <xf numFmtId="10" fontId="6" fillId="0" borderId="0" xfId="9" applyNumberFormat="1" applyFont="1" applyFill="1" applyAlignment="1"/>
    <xf numFmtId="10" fontId="23" fillId="0" borderId="0" xfId="10" applyNumberFormat="1" applyFont="1"/>
    <xf numFmtId="10" fontId="23" fillId="0" borderId="0" xfId="10" applyNumberFormat="1" applyFont="1" applyFill="1"/>
    <xf numFmtId="10" fontId="23" fillId="5" borderId="0" xfId="10" applyNumberFormat="1" applyFont="1" applyFill="1"/>
    <xf numFmtId="0" fontId="5" fillId="0" borderId="0" xfId="6" applyFill="1"/>
    <xf numFmtId="10" fontId="28" fillId="0" borderId="0" xfId="6" applyNumberFormat="1" applyFont="1"/>
    <xf numFmtId="10" fontId="28" fillId="0" borderId="0" xfId="6" applyNumberFormat="1" applyFont="1" applyFill="1"/>
    <xf numFmtId="10" fontId="28" fillId="5" borderId="0" xfId="6" applyNumberFormat="1" applyFont="1" applyFill="1"/>
    <xf numFmtId="10" fontId="29" fillId="0" borderId="0" xfId="6" quotePrefix="1" applyNumberFormat="1" applyFont="1" applyFill="1" applyAlignment="1">
      <alignment horizontal="center"/>
    </xf>
    <xf numFmtId="10" fontId="28" fillId="4" borderId="0" xfId="6" applyNumberFormat="1" applyFont="1" applyFill="1"/>
    <xf numFmtId="10" fontId="23" fillId="4" borderId="0" xfId="10" applyNumberFormat="1" applyFont="1" applyFill="1"/>
    <xf numFmtId="3" fontId="24" fillId="0" borderId="0" xfId="10" applyNumberFormat="1" applyFont="1" applyBorder="1"/>
    <xf numFmtId="3" fontId="24" fillId="0" borderId="0" xfId="10" applyNumberFormat="1" applyFont="1" applyFill="1" applyBorder="1" applyAlignment="1">
      <alignment horizontal="center"/>
    </xf>
    <xf numFmtId="3" fontId="6" fillId="5" borderId="0" xfId="6" applyNumberFormat="1" applyFont="1" applyFill="1"/>
    <xf numFmtId="3" fontId="6" fillId="4" borderId="0" xfId="6" applyNumberFormat="1" applyFont="1" applyFill="1"/>
    <xf numFmtId="0" fontId="4" fillId="4" borderId="4" xfId="6" applyFont="1" applyFill="1" applyBorder="1" applyAlignment="1">
      <alignment horizontal="center"/>
    </xf>
    <xf numFmtId="3" fontId="23" fillId="0" borderId="0" xfId="10" applyNumberFormat="1" applyFont="1"/>
    <xf numFmtId="3" fontId="23" fillId="0" borderId="0" xfId="10" applyNumberFormat="1" applyFont="1" applyFill="1"/>
    <xf numFmtId="3" fontId="23" fillId="0" borderId="0" xfId="10" applyNumberFormat="1" applyFont="1" applyFill="1" applyBorder="1"/>
    <xf numFmtId="3" fontId="6" fillId="4" borderId="0" xfId="6" applyNumberFormat="1" applyFont="1" applyFill="1" applyAlignment="1">
      <alignment horizontal="center"/>
    </xf>
    <xf numFmtId="10" fontId="23" fillId="0" borderId="0" xfId="9" applyNumberFormat="1" applyFont="1"/>
    <xf numFmtId="10" fontId="23" fillId="0" borderId="0" xfId="9" applyNumberFormat="1" applyFont="1" applyFill="1"/>
    <xf numFmtId="10" fontId="24" fillId="0" borderId="0" xfId="9" applyNumberFormat="1" applyFont="1" applyFill="1" applyBorder="1"/>
    <xf numFmtId="10" fontId="23" fillId="5" borderId="0" xfId="9" applyNumberFormat="1" applyFont="1" applyFill="1"/>
    <xf numFmtId="10" fontId="23" fillId="4" borderId="0" xfId="9" applyNumberFormat="1" applyFont="1" applyFill="1"/>
    <xf numFmtId="10" fontId="23" fillId="0" borderId="0" xfId="9" applyNumberFormat="1" applyFont="1" applyFill="1" applyBorder="1"/>
    <xf numFmtId="0" fontId="24" fillId="0" borderId="0" xfId="10" applyFont="1" applyFill="1"/>
    <xf numFmtId="10" fontId="6" fillId="4" borderId="0" xfId="9" applyNumberFormat="1" applyFont="1" applyFill="1"/>
    <xf numFmtId="10" fontId="23" fillId="0" borderId="0" xfId="10" applyNumberFormat="1" applyFont="1" applyFill="1" applyBorder="1"/>
    <xf numFmtId="3" fontId="23" fillId="5" borderId="0" xfId="10" applyNumberFormat="1" applyFont="1" applyFill="1"/>
    <xf numFmtId="3" fontId="23" fillId="4" borderId="0" xfId="10" applyNumberFormat="1" applyFont="1" applyFill="1"/>
    <xf numFmtId="10" fontId="23" fillId="0" borderId="0" xfId="9" applyNumberFormat="1" applyFont="1" applyBorder="1"/>
    <xf numFmtId="0" fontId="4" fillId="0" borderId="0" xfId="6" applyFont="1"/>
    <xf numFmtId="10" fontId="28" fillId="0" borderId="22" xfId="6" applyNumberFormat="1" applyFont="1" applyBorder="1"/>
    <xf numFmtId="10" fontId="23" fillId="0" borderId="22" xfId="9" applyNumberFormat="1" applyFont="1" applyBorder="1"/>
    <xf numFmtId="10" fontId="23" fillId="6" borderId="0" xfId="9" applyNumberFormat="1" applyFont="1" applyFill="1"/>
    <xf numFmtId="10" fontId="23" fillId="0" borderId="22" xfId="10" applyNumberFormat="1" applyFont="1" applyBorder="1"/>
    <xf numFmtId="3" fontId="6" fillId="6" borderId="0" xfId="6" applyNumberFormat="1" applyFont="1" applyFill="1"/>
    <xf numFmtId="10" fontId="23" fillId="0" borderId="23" xfId="9" applyNumberFormat="1" applyFont="1" applyBorder="1"/>
    <xf numFmtId="3" fontId="6" fillId="0" borderId="24" xfId="6" applyNumberFormat="1" applyFont="1" applyFill="1" applyBorder="1"/>
    <xf numFmtId="3" fontId="6" fillId="0" borderId="25" xfId="6" applyNumberFormat="1" applyFont="1" applyFill="1" applyBorder="1"/>
    <xf numFmtId="0" fontId="4" fillId="5" borderId="18" xfId="6" applyFont="1" applyFill="1" applyBorder="1" applyAlignment="1">
      <alignment horizontal="center"/>
    </xf>
    <xf numFmtId="0" fontId="4" fillId="5" borderId="26" xfId="6" applyFont="1" applyFill="1" applyBorder="1" applyAlignment="1">
      <alignment horizontal="center"/>
    </xf>
    <xf numFmtId="3" fontId="6" fillId="0" borderId="27" xfId="11" applyNumberFormat="1" applyFont="1" applyFill="1" applyBorder="1"/>
    <xf numFmtId="10" fontId="6" fillId="0" borderId="0" xfId="12" applyNumberFormat="1" applyFont="1" applyFill="1" applyBorder="1"/>
    <xf numFmtId="10" fontId="6" fillId="0" borderId="19" xfId="9" applyNumberFormat="1" applyFont="1" applyFill="1" applyBorder="1"/>
    <xf numFmtId="10" fontId="6" fillId="0" borderId="22" xfId="9" applyNumberFormat="1" applyFont="1" applyFill="1" applyBorder="1"/>
    <xf numFmtId="10" fontId="6" fillId="5" borderId="22" xfId="9" applyNumberFormat="1" applyFont="1" applyFill="1" applyBorder="1"/>
    <xf numFmtId="3" fontId="6" fillId="0" borderId="27" xfId="6" applyNumberFormat="1" applyFont="1" applyFill="1" applyBorder="1"/>
    <xf numFmtId="10" fontId="6" fillId="0" borderId="4" xfId="9" applyNumberFormat="1" applyFont="1" applyFill="1" applyBorder="1"/>
    <xf numFmtId="10" fontId="6" fillId="0" borderId="28" xfId="9" applyNumberFormat="1" applyFont="1" applyFill="1" applyBorder="1"/>
    <xf numFmtId="3" fontId="6" fillId="0" borderId="19" xfId="6" applyNumberFormat="1" applyFont="1" applyFill="1" applyBorder="1"/>
    <xf numFmtId="10" fontId="6" fillId="5" borderId="19" xfId="9" applyNumberFormat="1" applyFont="1" applyFill="1" applyBorder="1"/>
    <xf numFmtId="3" fontId="6" fillId="0" borderId="29" xfId="6" applyNumberFormat="1" applyFont="1" applyFill="1" applyBorder="1"/>
    <xf numFmtId="3" fontId="6" fillId="0" borderId="15" xfId="6" applyNumberFormat="1" applyFont="1" applyFill="1" applyBorder="1"/>
    <xf numFmtId="3" fontId="6" fillId="0" borderId="30" xfId="6" applyNumberFormat="1" applyFont="1" applyFill="1" applyBorder="1"/>
    <xf numFmtId="10" fontId="6" fillId="0" borderId="31" xfId="9" applyNumberFormat="1" applyFont="1" applyFill="1" applyBorder="1"/>
    <xf numFmtId="3" fontId="4" fillId="0" borderId="0" xfId="6" applyNumberFormat="1" applyFont="1" applyFill="1" applyAlignment="1">
      <alignment vertical="top" wrapText="1"/>
    </xf>
    <xf numFmtId="3" fontId="6" fillId="0" borderId="0" xfId="6" quotePrefix="1" applyNumberFormat="1" applyFont="1" applyFill="1" applyBorder="1" applyAlignment="1">
      <alignment vertical="top"/>
    </xf>
    <xf numFmtId="3" fontId="6" fillId="7" borderId="0" xfId="6" applyNumberFormat="1" applyFont="1" applyFill="1" applyBorder="1"/>
    <xf numFmtId="0" fontId="5" fillId="3" borderId="0" xfId="4" applyFill="1"/>
    <xf numFmtId="10" fontId="0" fillId="0" borderId="10" xfId="0" applyNumberFormat="1" applyBorder="1"/>
    <xf numFmtId="0" fontId="0" fillId="0" borderId="0" xfId="0" applyBorder="1"/>
    <xf numFmtId="0" fontId="24" fillId="0" borderId="0" xfId="10" applyFont="1" applyFill="1" applyAlignment="1">
      <alignment horizontal="center"/>
    </xf>
    <xf numFmtId="0" fontId="0" fillId="0" borderId="0" xfId="0" applyBorder="1" applyAlignment="1">
      <alignment horizontal="center"/>
    </xf>
    <xf numFmtId="0" fontId="2" fillId="0" borderId="0" xfId="0" applyFont="1" applyBorder="1" applyAlignment="1">
      <alignment horizontal="center"/>
    </xf>
    <xf numFmtId="165" fontId="0" fillId="0" borderId="0" xfId="0" applyNumberFormat="1" applyBorder="1" applyAlignment="1">
      <alignment horizontal="center"/>
    </xf>
    <xf numFmtId="165" fontId="0" fillId="0" borderId="0" xfId="0" applyNumberFormat="1" applyBorder="1" applyAlignment="1">
      <alignment horizontal="right"/>
    </xf>
    <xf numFmtId="165" fontId="0" fillId="0" borderId="0" xfId="0" applyNumberFormat="1" applyBorder="1"/>
    <xf numFmtId="0" fontId="16" fillId="8" borderId="33" xfId="0" applyFont="1" applyFill="1" applyBorder="1" applyAlignment="1">
      <alignment horizontal="left"/>
    </xf>
    <xf numFmtId="0" fontId="16" fillId="8" borderId="14" xfId="0" applyFont="1" applyFill="1" applyBorder="1" applyAlignment="1">
      <alignment horizontal="center"/>
    </xf>
    <xf numFmtId="0" fontId="16" fillId="8" borderId="18" xfId="0" applyFont="1" applyFill="1" applyBorder="1" applyAlignment="1">
      <alignment horizontal="center"/>
    </xf>
    <xf numFmtId="37" fontId="18" fillId="8" borderId="27" xfId="3" applyNumberFormat="1" applyFont="1" applyFill="1" applyBorder="1"/>
    <xf numFmtId="37" fontId="18" fillId="8" borderId="0" xfId="3" applyNumberFormat="1" applyFont="1" applyFill="1" applyBorder="1"/>
    <xf numFmtId="0" fontId="16" fillId="8" borderId="0" xfId="0" applyFont="1" applyFill="1" applyBorder="1" applyAlignment="1">
      <alignment horizontal="center"/>
    </xf>
    <xf numFmtId="37" fontId="30" fillId="8" borderId="0" xfId="3" applyNumberFormat="1" applyFont="1" applyFill="1" applyBorder="1"/>
    <xf numFmtId="0" fontId="16" fillId="8" borderId="19" xfId="0" applyFont="1" applyFill="1" applyBorder="1" applyAlignment="1">
      <alignment horizontal="center"/>
    </xf>
    <xf numFmtId="0" fontId="18" fillId="8" borderId="0" xfId="0" applyFont="1" applyFill="1" applyBorder="1"/>
    <xf numFmtId="0" fontId="16" fillId="8" borderId="4" xfId="0" applyFont="1" applyFill="1" applyBorder="1" applyAlignment="1">
      <alignment horizontal="center"/>
    </xf>
    <xf numFmtId="0" fontId="16" fillId="8" borderId="28" xfId="0" applyFont="1" applyFill="1" applyBorder="1" applyAlignment="1">
      <alignment horizontal="center"/>
    </xf>
    <xf numFmtId="37" fontId="18" fillId="8" borderId="19" xfId="3" applyNumberFormat="1" applyFont="1" applyFill="1" applyBorder="1"/>
    <xf numFmtId="5" fontId="18" fillId="8" borderId="0" xfId="0" applyNumberFormat="1" applyFont="1" applyFill="1" applyBorder="1"/>
    <xf numFmtId="164" fontId="18" fillId="8" borderId="0" xfId="9" applyNumberFormat="1" applyFont="1" applyFill="1" applyBorder="1"/>
    <xf numFmtId="10" fontId="18" fillId="8" borderId="19" xfId="9" applyNumberFormat="1" applyFont="1" applyFill="1" applyBorder="1"/>
    <xf numFmtId="169" fontId="18" fillId="8" borderId="0" xfId="7" applyNumberFormat="1" applyFont="1" applyFill="1" applyBorder="1"/>
    <xf numFmtId="166" fontId="18" fillId="8" borderId="0" xfId="9" applyNumberFormat="1" applyFont="1" applyFill="1" applyBorder="1"/>
    <xf numFmtId="166" fontId="30" fillId="8" borderId="0" xfId="9" applyNumberFormat="1" applyFont="1" applyFill="1" applyBorder="1"/>
    <xf numFmtId="10" fontId="18" fillId="8" borderId="17" xfId="9" applyNumberFormat="1" applyFont="1" applyFill="1" applyBorder="1"/>
    <xf numFmtId="10" fontId="18" fillId="8" borderId="34" xfId="9" applyNumberFormat="1" applyFont="1" applyFill="1" applyBorder="1"/>
    <xf numFmtId="37" fontId="18" fillId="8" borderId="29" xfId="3" applyNumberFormat="1" applyFont="1" applyFill="1" applyBorder="1"/>
    <xf numFmtId="0" fontId="18" fillId="8" borderId="15" xfId="0" applyFont="1" applyFill="1" applyBorder="1"/>
    <xf numFmtId="169" fontId="18" fillId="8" borderId="15" xfId="7" applyNumberFormat="1" applyFont="1" applyFill="1" applyBorder="1"/>
    <xf numFmtId="10" fontId="18" fillId="8" borderId="15" xfId="9" applyNumberFormat="1" applyFont="1" applyFill="1" applyBorder="1"/>
    <xf numFmtId="10" fontId="30" fillId="8" borderId="15" xfId="9" applyNumberFormat="1" applyFont="1" applyFill="1" applyBorder="1"/>
    <xf numFmtId="10" fontId="18" fillId="8" borderId="30" xfId="9" applyNumberFormat="1" applyFont="1" applyFill="1" applyBorder="1"/>
    <xf numFmtId="37" fontId="18" fillId="0" borderId="0" xfId="3" applyNumberFormat="1" applyFont="1" applyFill="1"/>
    <xf numFmtId="0" fontId="18" fillId="0" borderId="0" xfId="0" applyFont="1"/>
    <xf numFmtId="0" fontId="30" fillId="0" borderId="0" xfId="0" applyFont="1"/>
    <xf numFmtId="10" fontId="18" fillId="0" borderId="19" xfId="9" applyNumberFormat="1" applyFont="1" applyFill="1" applyBorder="1"/>
    <xf numFmtId="37" fontId="23" fillId="0" borderId="0" xfId="10" applyNumberFormat="1" applyFont="1"/>
    <xf numFmtId="0" fontId="24" fillId="0" borderId="0" xfId="10" applyFont="1" applyAlignment="1">
      <alignment horizontal="center"/>
    </xf>
    <xf numFmtId="0" fontId="24" fillId="0" borderId="0" xfId="10" applyNumberFormat="1" applyFont="1" applyAlignment="1">
      <alignment horizontal="center"/>
    </xf>
    <xf numFmtId="0" fontId="24" fillId="0" borderId="1" xfId="10" applyNumberFormat="1" applyFont="1" applyBorder="1" applyAlignment="1">
      <alignment horizontal="center"/>
    </xf>
    <xf numFmtId="0" fontId="24" fillId="0" borderId="7" xfId="10" applyFont="1" applyBorder="1" applyAlignment="1">
      <alignment horizontal="center"/>
    </xf>
    <xf numFmtId="0" fontId="24" fillId="0" borderId="5" xfId="10" applyFont="1" applyBorder="1" applyAlignment="1">
      <alignment horizontal="center"/>
    </xf>
    <xf numFmtId="0" fontId="23" fillId="0" borderId="32" xfId="10" applyFont="1" applyBorder="1"/>
    <xf numFmtId="0" fontId="24" fillId="0" borderId="2" xfId="10" applyNumberFormat="1" applyFont="1" applyBorder="1" applyAlignment="1">
      <alignment horizontal="center"/>
    </xf>
    <xf numFmtId="0" fontId="24" fillId="0" borderId="8" xfId="10" applyFont="1" applyBorder="1" applyAlignment="1">
      <alignment horizontal="center"/>
    </xf>
    <xf numFmtId="0" fontId="24" fillId="0" borderId="0" xfId="10" applyFont="1" applyBorder="1" applyAlignment="1">
      <alignment horizontal="center"/>
    </xf>
    <xf numFmtId="0" fontId="23" fillId="0" borderId="12" xfId="10" applyFont="1" applyBorder="1"/>
    <xf numFmtId="0" fontId="24" fillId="0" borderId="3" xfId="10" applyNumberFormat="1" applyFont="1" applyBorder="1" applyAlignment="1">
      <alignment horizontal="center"/>
    </xf>
    <xf numFmtId="0" fontId="24" fillId="0" borderId="9" xfId="10" applyFont="1" applyBorder="1" applyAlignment="1">
      <alignment horizontal="center"/>
    </xf>
    <xf numFmtId="0" fontId="24" fillId="0" borderId="4" xfId="10" applyFont="1" applyBorder="1" applyAlignment="1">
      <alignment horizontal="center"/>
    </xf>
    <xf numFmtId="0" fontId="24" fillId="0" borderId="13" xfId="10" applyFont="1" applyBorder="1" applyAlignment="1">
      <alignment horizontal="center"/>
    </xf>
    <xf numFmtId="5" fontId="23" fillId="0" borderId="0" xfId="10" applyNumberFormat="1" applyFont="1"/>
    <xf numFmtId="0" fontId="23" fillId="0" borderId="0" xfId="10" applyNumberFormat="1" applyFont="1" applyAlignment="1">
      <alignment horizontal="left"/>
    </xf>
    <xf numFmtId="0" fontId="5" fillId="0" borderId="0" xfId="6" applyFill="1" applyBorder="1"/>
    <xf numFmtId="0" fontId="5" fillId="0" borderId="0" xfId="6" applyBorder="1"/>
    <xf numFmtId="0" fontId="5" fillId="0" borderId="8" xfId="6" applyBorder="1"/>
    <xf numFmtId="0" fontId="5" fillId="0" borderId="12" xfId="6" applyBorder="1"/>
    <xf numFmtId="0" fontId="24" fillId="4" borderId="0" xfId="10" applyFont="1" applyFill="1" applyAlignment="1">
      <alignment horizontal="center"/>
    </xf>
    <xf numFmtId="0" fontId="5" fillId="0" borderId="8" xfId="6" applyFill="1" applyBorder="1"/>
    <xf numFmtId="0" fontId="31" fillId="0" borderId="8" xfId="6" quotePrefix="1" applyFont="1" applyBorder="1" applyAlignment="1">
      <alignment horizontal="centerContinuous"/>
    </xf>
    <xf numFmtId="0" fontId="31" fillId="0" borderId="0" xfId="6" quotePrefix="1" applyFont="1" applyBorder="1" applyAlignment="1">
      <alignment horizontal="centerContinuous"/>
    </xf>
    <xf numFmtId="0" fontId="31" fillId="0" borderId="8" xfId="6" applyFont="1" applyBorder="1" applyAlignment="1">
      <alignment horizontal="centerContinuous"/>
    </xf>
    <xf numFmtId="0" fontId="31" fillId="0" borderId="0" xfId="6" applyFont="1" applyBorder="1" applyAlignment="1">
      <alignment horizontal="centerContinuous"/>
    </xf>
    <xf numFmtId="0" fontId="5" fillId="0" borderId="12" xfId="6" applyBorder="1" applyAlignment="1">
      <alignment horizontal="centerContinuous"/>
    </xf>
    <xf numFmtId="0" fontId="5" fillId="0" borderId="0" xfId="6" applyBorder="1" applyAlignment="1">
      <alignment horizontal="centerContinuous"/>
    </xf>
    <xf numFmtId="0" fontId="5" fillId="0" borderId="0" xfId="6" applyAlignment="1">
      <alignment horizontal="centerContinuous"/>
    </xf>
    <xf numFmtId="0" fontId="5" fillId="0" borderId="8" xfId="6" applyBorder="1" applyAlignment="1">
      <alignment horizontal="center"/>
    </xf>
    <xf numFmtId="0" fontId="5" fillId="0" borderId="0" xfId="6" applyBorder="1" applyAlignment="1">
      <alignment horizontal="center"/>
    </xf>
    <xf numFmtId="0" fontId="5" fillId="0" borderId="0" xfId="6" applyFont="1" applyBorder="1" applyAlignment="1">
      <alignment horizontal="center"/>
    </xf>
    <xf numFmtId="0" fontId="5" fillId="0" borderId="12" xfId="6" applyFont="1" applyBorder="1" applyAlignment="1">
      <alignment horizontal="center"/>
    </xf>
    <xf numFmtId="0" fontId="5" fillId="0" borderId="0" xfId="6" applyFont="1" applyAlignment="1">
      <alignment horizontal="center"/>
    </xf>
    <xf numFmtId="0" fontId="5" fillId="0" borderId="12" xfId="6" applyFill="1" applyBorder="1"/>
    <xf numFmtId="0" fontId="5" fillId="0" borderId="8" xfId="6" applyFill="1" applyBorder="1" applyAlignment="1">
      <alignment horizontal="center"/>
    </xf>
    <xf numFmtId="0" fontId="5" fillId="0" borderId="0" xfId="6" applyFont="1" applyFill="1" applyBorder="1" applyAlignment="1">
      <alignment horizontal="center"/>
    </xf>
    <xf numFmtId="0" fontId="5" fillId="0" borderId="8" xfId="6" applyFont="1" applyBorder="1" applyAlignment="1">
      <alignment horizontal="center"/>
    </xf>
    <xf numFmtId="0" fontId="5" fillId="0" borderId="12" xfId="6" applyFont="1" applyFill="1" applyBorder="1" applyAlignment="1">
      <alignment horizontal="center"/>
    </xf>
    <xf numFmtId="0" fontId="5" fillId="0" borderId="8" xfId="6" applyFont="1" applyFill="1" applyBorder="1" applyAlignment="1">
      <alignment horizontal="center"/>
    </xf>
    <xf numFmtId="0" fontId="5" fillId="0" borderId="0" xfId="6" applyFill="1" applyAlignment="1">
      <alignment horizontal="center"/>
    </xf>
    <xf numFmtId="0" fontId="31" fillId="0" borderId="8" xfId="6" applyFont="1" applyBorder="1" applyAlignment="1">
      <alignment horizontal="center"/>
    </xf>
    <xf numFmtId="0" fontId="31" fillId="0" borderId="0" xfId="6" applyFont="1" applyBorder="1" applyAlignment="1">
      <alignment horizontal="center"/>
    </xf>
    <xf numFmtId="0" fontId="31" fillId="0" borderId="12" xfId="6" applyFont="1" applyBorder="1" applyAlignment="1">
      <alignment horizontal="center"/>
    </xf>
    <xf numFmtId="0" fontId="31" fillId="0" borderId="12" xfId="6" applyFont="1" applyFill="1" applyBorder="1" applyAlignment="1">
      <alignment horizontal="center"/>
    </xf>
    <xf numFmtId="0" fontId="31" fillId="0" borderId="8" xfId="6" applyFont="1" applyFill="1" applyBorder="1" applyAlignment="1">
      <alignment horizontal="center"/>
    </xf>
    <xf numFmtId="0" fontId="31" fillId="0" borderId="0" xfId="6" applyFont="1" applyFill="1" applyBorder="1" applyAlignment="1">
      <alignment horizontal="center"/>
    </xf>
    <xf numFmtId="171" fontId="5" fillId="0" borderId="0" xfId="6" applyNumberFormat="1" applyFill="1"/>
    <xf numFmtId="3" fontId="5" fillId="0" borderId="8" xfId="6" applyNumberFormat="1" applyBorder="1"/>
    <xf numFmtId="3" fontId="5" fillId="0" borderId="0" xfId="6" applyNumberFormat="1" applyBorder="1"/>
    <xf numFmtId="3" fontId="5" fillId="0" borderId="0" xfId="6" applyNumberFormat="1"/>
    <xf numFmtId="3" fontId="5" fillId="0" borderId="12" xfId="6" applyNumberFormat="1" applyBorder="1"/>
    <xf numFmtId="3" fontId="5" fillId="0" borderId="12" xfId="6" applyNumberFormat="1" applyFill="1" applyBorder="1"/>
    <xf numFmtId="3" fontId="5" fillId="0" borderId="8" xfId="6" applyNumberFormat="1" applyFill="1" applyBorder="1"/>
    <xf numFmtId="3" fontId="5" fillId="0" borderId="0" xfId="6" applyNumberFormat="1" applyFill="1" applyBorder="1"/>
    <xf numFmtId="3" fontId="5" fillId="0" borderId="9" xfId="6" applyNumberFormat="1" applyBorder="1"/>
    <xf numFmtId="3" fontId="5" fillId="0" borderId="4" xfId="6" applyNumberFormat="1" applyBorder="1"/>
    <xf numFmtId="3" fontId="5" fillId="0" borderId="13" xfId="6" applyNumberFormat="1" applyBorder="1"/>
    <xf numFmtId="3" fontId="5" fillId="0" borderId="13" xfId="6" applyNumberFormat="1" applyFill="1" applyBorder="1"/>
    <xf numFmtId="3" fontId="5" fillId="0" borderId="9" xfId="6" applyNumberFormat="1" applyFill="1" applyBorder="1"/>
    <xf numFmtId="3" fontId="5" fillId="0" borderId="4" xfId="6" applyNumberFormat="1" applyFill="1" applyBorder="1"/>
    <xf numFmtId="3" fontId="5" fillId="0" borderId="5" xfId="6" applyNumberFormat="1" applyBorder="1"/>
    <xf numFmtId="3" fontId="5" fillId="0" borderId="32" xfId="6" applyNumberFormat="1" applyBorder="1"/>
    <xf numFmtId="3" fontId="5" fillId="0" borderId="32" xfId="6" applyNumberFormat="1" applyFill="1" applyBorder="1"/>
    <xf numFmtId="3" fontId="5" fillId="0" borderId="11" xfId="6" applyNumberFormat="1" applyBorder="1"/>
    <xf numFmtId="3" fontId="5" fillId="0" borderId="6" xfId="6" applyNumberFormat="1" applyBorder="1"/>
    <xf numFmtId="3" fontId="5" fillId="0" borderId="16" xfId="6" applyNumberFormat="1" applyBorder="1"/>
    <xf numFmtId="3" fontId="5" fillId="0" borderId="16" xfId="6" applyNumberFormat="1" applyFill="1" applyBorder="1"/>
    <xf numFmtId="3" fontId="5" fillId="0" borderId="11" xfId="6" applyNumberFormat="1" applyFill="1" applyBorder="1"/>
    <xf numFmtId="3" fontId="5" fillId="0" borderId="6" xfId="6" applyNumberFormat="1" applyFill="1" applyBorder="1"/>
    <xf numFmtId="169" fontId="0" fillId="0" borderId="0" xfId="13" applyNumberFormat="1" applyFont="1"/>
    <xf numFmtId="169" fontId="0" fillId="0" borderId="0" xfId="13" applyNumberFormat="1" applyFont="1" applyFill="1"/>
    <xf numFmtId="41" fontId="5" fillId="0" borderId="0" xfId="6" applyNumberFormat="1"/>
    <xf numFmtId="41" fontId="5" fillId="0" borderId="0" xfId="6" applyNumberFormat="1" applyFill="1"/>
    <xf numFmtId="3" fontId="5" fillId="3" borderId="13" xfId="6" applyNumberFormat="1" applyFill="1" applyBorder="1"/>
    <xf numFmtId="10" fontId="0" fillId="0" borderId="0" xfId="0" applyNumberFormat="1" applyFill="1" applyAlignment="1">
      <alignment horizontal="center"/>
    </xf>
    <xf numFmtId="0" fontId="0" fillId="0" borderId="15" xfId="0" applyBorder="1"/>
    <xf numFmtId="10" fontId="18" fillId="0" borderId="0" xfId="9" applyNumberFormat="1" applyFont="1" applyFill="1" applyBorder="1" applyAlignment="1">
      <alignment horizontal="center"/>
    </xf>
    <xf numFmtId="10" fontId="18" fillId="8" borderId="0" xfId="9" applyNumberFormat="1" applyFont="1" applyFill="1" applyBorder="1" applyAlignment="1">
      <alignment horizontal="center"/>
    </xf>
    <xf numFmtId="0" fontId="0" fillId="0" borderId="0" xfId="0" applyFont="1"/>
    <xf numFmtId="0" fontId="5" fillId="0" borderId="10" xfId="0" applyFont="1" applyBorder="1"/>
    <xf numFmtId="0" fontId="11" fillId="0" borderId="10" xfId="0" applyFont="1" applyBorder="1"/>
    <xf numFmtId="0" fontId="2" fillId="0" borderId="10" xfId="0" applyFont="1" applyBorder="1" applyAlignment="1">
      <alignment horizontal="center" vertical="center" wrapText="1"/>
    </xf>
    <xf numFmtId="9" fontId="0" fillId="0" borderId="10" xfId="0" applyNumberFormat="1" applyBorder="1"/>
    <xf numFmtId="3" fontId="0" fillId="0" borderId="10" xfId="0" applyNumberFormat="1" applyBorder="1"/>
    <xf numFmtId="10" fontId="0" fillId="0" borderId="10" xfId="0" applyNumberFormat="1" applyBorder="1" applyAlignment="1">
      <alignment horizontal="center"/>
    </xf>
    <xf numFmtId="10" fontId="0" fillId="0" borderId="10" xfId="2" applyNumberFormat="1" applyFont="1" applyBorder="1" applyAlignment="1">
      <alignment horizontal="center"/>
    </xf>
    <xf numFmtId="0" fontId="2" fillId="0" borderId="10" xfId="0" applyFont="1" applyBorder="1" applyAlignment="1">
      <alignment horizontal="center" vertical="center"/>
    </xf>
    <xf numFmtId="2" fontId="0" fillId="0" borderId="10" xfId="0" applyNumberFormat="1" applyBorder="1" applyAlignment="1">
      <alignment horizontal="center"/>
    </xf>
    <xf numFmtId="165" fontId="0" fillId="0" borderId="10" xfId="0" applyNumberFormat="1" applyBorder="1" applyAlignment="1">
      <alignment horizontal="center"/>
    </xf>
    <xf numFmtId="165" fontId="0" fillId="0" borderId="10" xfId="1" applyNumberFormat="1" applyFont="1" applyBorder="1" applyAlignment="1">
      <alignment horizontal="center"/>
    </xf>
    <xf numFmtId="10" fontId="0" fillId="0" borderId="1" xfId="2" applyNumberFormat="1" applyFont="1" applyBorder="1"/>
    <xf numFmtId="0" fontId="0" fillId="0" borderId="5" xfId="0" applyBorder="1"/>
    <xf numFmtId="0" fontId="0" fillId="0" borderId="5" xfId="0" applyBorder="1" applyAlignment="1">
      <alignment horizontal="center"/>
    </xf>
    <xf numFmtId="165" fontId="0" fillId="0" borderId="5" xfId="0" applyNumberFormat="1" applyBorder="1"/>
    <xf numFmtId="0" fontId="0" fillId="0" borderId="27" xfId="0" applyBorder="1"/>
    <xf numFmtId="0" fontId="0" fillId="0" borderId="19" xfId="0" applyBorder="1"/>
    <xf numFmtId="0" fontId="0" fillId="0" borderId="29" xfId="0" applyBorder="1"/>
    <xf numFmtId="0" fontId="0" fillId="0" borderId="30" xfId="0" applyBorder="1"/>
    <xf numFmtId="0" fontId="0" fillId="0" borderId="27" xfId="0"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1" xfId="0" applyFill="1" applyBorder="1" applyAlignment="1">
      <alignment horizontal="center"/>
    </xf>
    <xf numFmtId="0" fontId="0" fillId="0" borderId="2" xfId="0" applyFill="1" applyBorder="1" applyAlignment="1">
      <alignment horizontal="center"/>
    </xf>
    <xf numFmtId="165" fontId="0" fillId="0" borderId="0" xfId="0" applyNumberFormat="1" applyFill="1" applyBorder="1"/>
    <xf numFmtId="0" fontId="0" fillId="0" borderId="0" xfId="0" applyFill="1"/>
    <xf numFmtId="10" fontId="0" fillId="0" borderId="0" xfId="0" applyNumberFormat="1" applyBorder="1" applyAlignment="1">
      <alignment horizontal="center"/>
    </xf>
    <xf numFmtId="165" fontId="0" fillId="0" borderId="0" xfId="0" applyNumberFormat="1" applyFill="1"/>
    <xf numFmtId="165" fontId="0" fillId="0" borderId="0" xfId="0" applyNumberFormat="1" applyBorder="1" applyAlignment="1">
      <alignment horizontal="left"/>
    </xf>
    <xf numFmtId="165" fontId="0" fillId="0" borderId="0" xfId="0" applyNumberFormat="1" applyAlignment="1">
      <alignment horizontal="left"/>
    </xf>
    <xf numFmtId="165" fontId="0" fillId="9" borderId="0" xfId="0" applyNumberFormat="1" applyFill="1" applyBorder="1" applyAlignment="1">
      <alignment horizontal="center"/>
    </xf>
    <xf numFmtId="10" fontId="0" fillId="9" borderId="10" xfId="0" applyNumberFormat="1" applyFill="1" applyBorder="1" applyAlignment="1">
      <alignment horizontal="center"/>
    </xf>
    <xf numFmtId="10" fontId="0" fillId="9" borderId="10" xfId="2" applyNumberFormat="1" applyFont="1" applyFill="1" applyBorder="1" applyAlignment="1">
      <alignment horizontal="center"/>
    </xf>
    <xf numFmtId="10" fontId="0" fillId="9" borderId="0" xfId="0" applyNumberFormat="1" applyFill="1"/>
    <xf numFmtId="0" fontId="13" fillId="0" borderId="10" xfId="0" applyFont="1" applyBorder="1" applyAlignment="1">
      <alignment horizontal="center"/>
    </xf>
    <xf numFmtId="0" fontId="2" fillId="0" borderId="33" xfId="0" applyFont="1" applyBorder="1" applyAlignment="1">
      <alignment horizontal="center"/>
    </xf>
    <xf numFmtId="0" fontId="2" fillId="0" borderId="14" xfId="0" applyFont="1" applyBorder="1" applyAlignment="1">
      <alignment horizontal="center"/>
    </xf>
    <xf numFmtId="0" fontId="2" fillId="0" borderId="18" xfId="0" applyFont="1" applyBorder="1" applyAlignment="1">
      <alignment horizontal="center"/>
    </xf>
    <xf numFmtId="0" fontId="14" fillId="0" borderId="0" xfId="0" applyFont="1" applyBorder="1" applyAlignment="1">
      <alignment horizontal="center"/>
    </xf>
    <xf numFmtId="0" fontId="11" fillId="0" borderId="2" xfId="0" applyFont="1" applyBorder="1" applyAlignment="1">
      <alignment horizontal="center"/>
    </xf>
    <xf numFmtId="0" fontId="0" fillId="0" borderId="11" xfId="0" applyBorder="1" applyAlignment="1">
      <alignment horizontal="center"/>
    </xf>
    <xf numFmtId="0" fontId="0" fillId="0" borderId="6" xfId="0" applyBorder="1" applyAlignment="1">
      <alignment horizontal="center"/>
    </xf>
    <xf numFmtId="0" fontId="0" fillId="0" borderId="16" xfId="0"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32" xfId="0" applyFont="1"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4" fillId="0" borderId="5" xfId="0" applyFont="1" applyBorder="1" applyAlignment="1">
      <alignment horizontal="center"/>
    </xf>
    <xf numFmtId="0" fontId="0" fillId="0" borderId="0" xfId="0" applyAlignment="1">
      <alignment horizontal="center"/>
    </xf>
    <xf numFmtId="0" fontId="13" fillId="0" borderId="0" xfId="0" applyFont="1" applyBorder="1" applyAlignment="1">
      <alignment horizontal="center"/>
    </xf>
    <xf numFmtId="0" fontId="13" fillId="0" borderId="0" xfId="0" applyFont="1" applyAlignment="1">
      <alignment horizontal="center"/>
    </xf>
    <xf numFmtId="0" fontId="31" fillId="0" borderId="8" xfId="6" quotePrefix="1" applyFont="1" applyBorder="1" applyAlignment="1">
      <alignment horizontal="center"/>
    </xf>
    <xf numFmtId="0" fontId="31" fillId="0" borderId="0" xfId="6" quotePrefix="1" applyFont="1" applyBorder="1" applyAlignment="1">
      <alignment horizontal="center"/>
    </xf>
    <xf numFmtId="0" fontId="31" fillId="0" borderId="12" xfId="6" quotePrefix="1" applyFont="1" applyBorder="1" applyAlignment="1">
      <alignment horizontal="center"/>
    </xf>
    <xf numFmtId="0" fontId="31" fillId="0" borderId="8" xfId="6" quotePrefix="1" applyFont="1" applyFill="1" applyBorder="1" applyAlignment="1">
      <alignment horizontal="center"/>
    </xf>
    <xf numFmtId="0" fontId="31" fillId="0" borderId="0" xfId="6" quotePrefix="1" applyFont="1" applyFill="1" applyBorder="1" applyAlignment="1">
      <alignment horizontal="center"/>
    </xf>
    <xf numFmtId="0" fontId="31" fillId="0" borderId="12" xfId="6" quotePrefix="1" applyFont="1" applyFill="1" applyBorder="1" applyAlignment="1">
      <alignment horizontal="center"/>
    </xf>
    <xf numFmtId="0" fontId="5" fillId="0" borderId="0" xfId="4" applyAlignment="1">
      <alignment horizontal="center"/>
    </xf>
    <xf numFmtId="3" fontId="15" fillId="0" borderId="0" xfId="5" applyNumberFormat="1" applyFont="1" applyFill="1" applyBorder="1" applyAlignment="1">
      <alignment horizontal="center"/>
    </xf>
    <xf numFmtId="3" fontId="15" fillId="0" borderId="0" xfId="6" applyNumberFormat="1" applyFont="1" applyFill="1" applyBorder="1" applyAlignment="1">
      <alignment horizontal="center"/>
    </xf>
    <xf numFmtId="3" fontId="4" fillId="0" borderId="0" xfId="6" applyNumberFormat="1" applyFont="1" applyFill="1" applyAlignment="1">
      <alignment horizontal="left" vertical="top" wrapText="1"/>
    </xf>
    <xf numFmtId="3" fontId="4" fillId="0" borderId="0" xfId="6" quotePrefix="1" applyNumberFormat="1" applyFont="1" applyFill="1" applyAlignment="1">
      <alignment horizontal="left" vertical="top" wrapText="1"/>
    </xf>
    <xf numFmtId="3" fontId="6" fillId="0" borderId="0" xfId="6" applyNumberFormat="1" applyFont="1" applyFill="1" applyBorder="1" applyAlignment="1">
      <alignment horizontal="center"/>
    </xf>
    <xf numFmtId="3" fontId="6" fillId="0" borderId="14" xfId="6" applyNumberFormat="1" applyFont="1" applyFill="1" applyBorder="1" applyAlignment="1">
      <alignment horizontal="center"/>
    </xf>
    <xf numFmtId="3" fontId="6" fillId="0" borderId="18" xfId="6" applyNumberFormat="1" applyFont="1" applyFill="1" applyBorder="1" applyAlignment="1">
      <alignment horizontal="center"/>
    </xf>
  </cellXfs>
  <cellStyles count="15">
    <cellStyle name="Comma 16" xfId="13"/>
    <cellStyle name="Comma 2" xfId="7"/>
    <cellStyle name="Currency" xfId="1" builtinId="4"/>
    <cellStyle name="Normal" xfId="0" builtinId="0"/>
    <cellStyle name="Normal 2" xfId="4"/>
    <cellStyle name="Normal 2 10 3 8 2 2" xfId="11"/>
    <cellStyle name="Normal 2 2" xfId="6"/>
    <cellStyle name="Normal 2 3" xfId="5"/>
    <cellStyle name="Normal 8" xfId="8"/>
    <cellStyle name="Normal_WAElec6_97" xfId="3"/>
    <cellStyle name="Normal_WAGas6_97 2" xfId="10"/>
    <cellStyle name="Percent" xfId="2" builtinId="5"/>
    <cellStyle name="Percent 10" xfId="14"/>
    <cellStyle name="Percent 2" xfId="9"/>
    <cellStyle name="Percent 2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Proposed</a:t>
            </a:r>
            <a:r>
              <a:rPr lang="en-US" baseline="0"/>
              <a:t> Revenue Requirement Increases - Electric</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Charts!$B$5</c:f>
              <c:strCache>
                <c:ptCount val="1"/>
                <c:pt idx="0">
                  <c:v>Staff</c:v>
                </c:pt>
              </c:strCache>
            </c:strRef>
          </c:tx>
          <c:spPr>
            <a:solidFill>
              <a:schemeClr val="accent1"/>
            </a:solidFill>
            <a:ln>
              <a:noFill/>
            </a:ln>
            <a:effectLst/>
          </c:spPr>
          <c:invertIfNegative val="0"/>
          <c:cat>
            <c:strRef>
              <c:f>Charts!$C$4:$E$4</c:f>
              <c:strCache>
                <c:ptCount val="3"/>
                <c:pt idx="0">
                  <c:v>Year 1</c:v>
                </c:pt>
                <c:pt idx="1">
                  <c:v>Year 2</c:v>
                </c:pt>
                <c:pt idx="2">
                  <c:v>Year 3</c:v>
                </c:pt>
              </c:strCache>
            </c:strRef>
          </c:cat>
          <c:val>
            <c:numRef>
              <c:f>Charts!$C$5:$E$5</c:f>
              <c:numCache>
                <c:formatCode>_("$"* #,##0_);_("$"* \(#,##0\);_("$"* "-"??_);_(@_)</c:formatCode>
                <c:ptCount val="3"/>
                <c:pt idx="0">
                  <c:v>10034.114766363398</c:v>
                </c:pt>
                <c:pt idx="1">
                  <c:v>11450.296898569823</c:v>
                </c:pt>
                <c:pt idx="2">
                  <c:v>11715.53416686162</c:v>
                </c:pt>
              </c:numCache>
            </c:numRef>
          </c:val>
        </c:ser>
        <c:ser>
          <c:idx val="1"/>
          <c:order val="1"/>
          <c:tx>
            <c:strRef>
              <c:f>Charts!$B$6</c:f>
              <c:strCache>
                <c:ptCount val="1"/>
                <c:pt idx="0">
                  <c:v>Avista</c:v>
                </c:pt>
              </c:strCache>
            </c:strRef>
          </c:tx>
          <c:spPr>
            <a:solidFill>
              <a:schemeClr val="accent2"/>
            </a:solidFill>
            <a:ln>
              <a:noFill/>
            </a:ln>
            <a:effectLst/>
          </c:spPr>
          <c:invertIfNegative val="0"/>
          <c:cat>
            <c:strRef>
              <c:f>Charts!$C$4:$E$4</c:f>
              <c:strCache>
                <c:ptCount val="3"/>
                <c:pt idx="0">
                  <c:v>Year 1</c:v>
                </c:pt>
                <c:pt idx="1">
                  <c:v>Year 2</c:v>
                </c:pt>
                <c:pt idx="2">
                  <c:v>Year 3</c:v>
                </c:pt>
              </c:strCache>
            </c:strRef>
          </c:cat>
          <c:val>
            <c:numRef>
              <c:f>Charts!$C$6:$E$6</c:f>
              <c:numCache>
                <c:formatCode>_("$"* #,##0_);_("$"* \(#,##0\);_("$"* "-"??_);_(@_)</c:formatCode>
                <c:ptCount val="3"/>
                <c:pt idx="0">
                  <c:v>61356</c:v>
                </c:pt>
                <c:pt idx="1">
                  <c:v>13983</c:v>
                </c:pt>
                <c:pt idx="2">
                  <c:v>14432</c:v>
                </c:pt>
              </c:numCache>
            </c:numRef>
          </c:val>
        </c:ser>
        <c:dLbls>
          <c:showLegendKey val="0"/>
          <c:showVal val="0"/>
          <c:showCatName val="0"/>
          <c:showSerName val="0"/>
          <c:showPercent val="0"/>
          <c:showBubbleSize val="0"/>
        </c:dLbls>
        <c:gapWidth val="219"/>
        <c:overlap val="-27"/>
        <c:axId val="334055872"/>
        <c:axId val="334056264"/>
      </c:barChart>
      <c:catAx>
        <c:axId val="33405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56264"/>
        <c:crosses val="autoZero"/>
        <c:auto val="1"/>
        <c:lblAlgn val="ctr"/>
        <c:lblOffset val="100"/>
        <c:noMultiLvlLbl val="0"/>
      </c:catAx>
      <c:valAx>
        <c:axId val="33405626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558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'PPI Gen'!$B$11</c:f>
              <c:strCache>
                <c:ptCount val="1"/>
                <c:pt idx="0">
                  <c:v>PCU2211102211104</c:v>
                </c:pt>
              </c:strCache>
            </c:strRef>
          </c:tx>
          <c:spPr>
            <a:ln w="28575" cap="rnd">
              <a:noFill/>
              <a:round/>
            </a:ln>
            <a:effectLst/>
          </c:spPr>
          <c:marker>
            <c:symbol val="circle"/>
            <c:size val="5"/>
            <c:spPr>
              <a:solidFill>
                <a:schemeClr val="accent1"/>
              </a:solidFill>
              <a:ln w="9525">
                <a:solidFill>
                  <a:schemeClr val="accent1"/>
                </a:solidFill>
              </a:ln>
              <a:effectLst/>
            </c:spPr>
          </c:marker>
          <c:xVal>
            <c:numRef>
              <c:f>'PPI Gen'!$A$12:$A$176</c:f>
              <c:numCache>
                <c:formatCode>yyyy\-mm\-dd</c:formatCode>
                <c:ptCount val="165"/>
                <c:pt idx="0">
                  <c:v>37956</c:v>
                </c:pt>
                <c:pt idx="1">
                  <c:v>37987</c:v>
                </c:pt>
                <c:pt idx="2">
                  <c:v>38018</c:v>
                </c:pt>
                <c:pt idx="3">
                  <c:v>38047</c:v>
                </c:pt>
                <c:pt idx="4">
                  <c:v>38078</c:v>
                </c:pt>
                <c:pt idx="5">
                  <c:v>38108</c:v>
                </c:pt>
                <c:pt idx="6">
                  <c:v>38139</c:v>
                </c:pt>
                <c:pt idx="7">
                  <c:v>38169</c:v>
                </c:pt>
                <c:pt idx="8">
                  <c:v>38200</c:v>
                </c:pt>
                <c:pt idx="9">
                  <c:v>38231</c:v>
                </c:pt>
                <c:pt idx="10">
                  <c:v>38261</c:v>
                </c:pt>
                <c:pt idx="11">
                  <c:v>38292</c:v>
                </c:pt>
                <c:pt idx="12">
                  <c:v>38322</c:v>
                </c:pt>
                <c:pt idx="13">
                  <c:v>38353</c:v>
                </c:pt>
                <c:pt idx="14">
                  <c:v>38384</c:v>
                </c:pt>
                <c:pt idx="15">
                  <c:v>38412</c:v>
                </c:pt>
                <c:pt idx="16">
                  <c:v>38443</c:v>
                </c:pt>
                <c:pt idx="17">
                  <c:v>38473</c:v>
                </c:pt>
                <c:pt idx="18">
                  <c:v>38504</c:v>
                </c:pt>
                <c:pt idx="19">
                  <c:v>38534</c:v>
                </c:pt>
                <c:pt idx="20">
                  <c:v>38565</c:v>
                </c:pt>
                <c:pt idx="21">
                  <c:v>38596</c:v>
                </c:pt>
                <c:pt idx="22">
                  <c:v>38626</c:v>
                </c:pt>
                <c:pt idx="23">
                  <c:v>38657</c:v>
                </c:pt>
                <c:pt idx="24">
                  <c:v>38687</c:v>
                </c:pt>
                <c:pt idx="25">
                  <c:v>38718</c:v>
                </c:pt>
                <c:pt idx="26">
                  <c:v>38749</c:v>
                </c:pt>
                <c:pt idx="27">
                  <c:v>38777</c:v>
                </c:pt>
                <c:pt idx="28">
                  <c:v>38808</c:v>
                </c:pt>
                <c:pt idx="29">
                  <c:v>38838</c:v>
                </c:pt>
                <c:pt idx="30">
                  <c:v>38869</c:v>
                </c:pt>
                <c:pt idx="31">
                  <c:v>38899</c:v>
                </c:pt>
                <c:pt idx="32">
                  <c:v>38930</c:v>
                </c:pt>
                <c:pt idx="33">
                  <c:v>38961</c:v>
                </c:pt>
                <c:pt idx="34">
                  <c:v>38991</c:v>
                </c:pt>
                <c:pt idx="35">
                  <c:v>39022</c:v>
                </c:pt>
                <c:pt idx="36">
                  <c:v>39052</c:v>
                </c:pt>
                <c:pt idx="37">
                  <c:v>39083</c:v>
                </c:pt>
                <c:pt idx="38">
                  <c:v>39114</c:v>
                </c:pt>
                <c:pt idx="39">
                  <c:v>39142</c:v>
                </c:pt>
                <c:pt idx="40">
                  <c:v>39173</c:v>
                </c:pt>
                <c:pt idx="41">
                  <c:v>39203</c:v>
                </c:pt>
                <c:pt idx="42">
                  <c:v>39234</c:v>
                </c:pt>
                <c:pt idx="43">
                  <c:v>39264</c:v>
                </c:pt>
                <c:pt idx="44">
                  <c:v>39295</c:v>
                </c:pt>
                <c:pt idx="45">
                  <c:v>39326</c:v>
                </c:pt>
                <c:pt idx="46">
                  <c:v>39356</c:v>
                </c:pt>
                <c:pt idx="47">
                  <c:v>39387</c:v>
                </c:pt>
                <c:pt idx="48">
                  <c:v>39417</c:v>
                </c:pt>
                <c:pt idx="49">
                  <c:v>39448</c:v>
                </c:pt>
                <c:pt idx="50">
                  <c:v>39479</c:v>
                </c:pt>
                <c:pt idx="51">
                  <c:v>39508</c:v>
                </c:pt>
                <c:pt idx="52">
                  <c:v>39539</c:v>
                </c:pt>
                <c:pt idx="53">
                  <c:v>39569</c:v>
                </c:pt>
                <c:pt idx="54">
                  <c:v>39600</c:v>
                </c:pt>
                <c:pt idx="55">
                  <c:v>39630</c:v>
                </c:pt>
                <c:pt idx="56">
                  <c:v>39661</c:v>
                </c:pt>
                <c:pt idx="57">
                  <c:v>39692</c:v>
                </c:pt>
                <c:pt idx="58">
                  <c:v>39722</c:v>
                </c:pt>
                <c:pt idx="59">
                  <c:v>39753</c:v>
                </c:pt>
                <c:pt idx="60">
                  <c:v>39783</c:v>
                </c:pt>
                <c:pt idx="61">
                  <c:v>39814</c:v>
                </c:pt>
                <c:pt idx="62">
                  <c:v>39845</c:v>
                </c:pt>
                <c:pt idx="63">
                  <c:v>39873</c:v>
                </c:pt>
                <c:pt idx="64">
                  <c:v>39904</c:v>
                </c:pt>
                <c:pt idx="65">
                  <c:v>39934</c:v>
                </c:pt>
                <c:pt idx="66">
                  <c:v>39965</c:v>
                </c:pt>
                <c:pt idx="67">
                  <c:v>39995</c:v>
                </c:pt>
                <c:pt idx="68">
                  <c:v>40026</c:v>
                </c:pt>
                <c:pt idx="69">
                  <c:v>40057</c:v>
                </c:pt>
                <c:pt idx="70">
                  <c:v>40087</c:v>
                </c:pt>
                <c:pt idx="71">
                  <c:v>40118</c:v>
                </c:pt>
                <c:pt idx="72">
                  <c:v>40148</c:v>
                </c:pt>
                <c:pt idx="73">
                  <c:v>40179</c:v>
                </c:pt>
                <c:pt idx="74">
                  <c:v>40210</c:v>
                </c:pt>
                <c:pt idx="75">
                  <c:v>40238</c:v>
                </c:pt>
                <c:pt idx="76">
                  <c:v>40269</c:v>
                </c:pt>
                <c:pt idx="77">
                  <c:v>40299</c:v>
                </c:pt>
                <c:pt idx="78">
                  <c:v>40330</c:v>
                </c:pt>
                <c:pt idx="79">
                  <c:v>40360</c:v>
                </c:pt>
                <c:pt idx="80">
                  <c:v>40391</c:v>
                </c:pt>
                <c:pt idx="81">
                  <c:v>40422</c:v>
                </c:pt>
                <c:pt idx="82">
                  <c:v>40452</c:v>
                </c:pt>
                <c:pt idx="83">
                  <c:v>40483</c:v>
                </c:pt>
                <c:pt idx="84">
                  <c:v>40513</c:v>
                </c:pt>
                <c:pt idx="85">
                  <c:v>40544</c:v>
                </c:pt>
                <c:pt idx="86">
                  <c:v>40575</c:v>
                </c:pt>
                <c:pt idx="87">
                  <c:v>40603</c:v>
                </c:pt>
                <c:pt idx="88">
                  <c:v>40634</c:v>
                </c:pt>
                <c:pt idx="89">
                  <c:v>40664</c:v>
                </c:pt>
                <c:pt idx="90">
                  <c:v>40695</c:v>
                </c:pt>
                <c:pt idx="91">
                  <c:v>40725</c:v>
                </c:pt>
                <c:pt idx="92">
                  <c:v>40756</c:v>
                </c:pt>
                <c:pt idx="93">
                  <c:v>40787</c:v>
                </c:pt>
                <c:pt idx="94">
                  <c:v>40817</c:v>
                </c:pt>
                <c:pt idx="95">
                  <c:v>40848</c:v>
                </c:pt>
                <c:pt idx="96">
                  <c:v>40878</c:v>
                </c:pt>
                <c:pt idx="97">
                  <c:v>40909</c:v>
                </c:pt>
                <c:pt idx="98">
                  <c:v>40940</c:v>
                </c:pt>
                <c:pt idx="99">
                  <c:v>40969</c:v>
                </c:pt>
                <c:pt idx="100">
                  <c:v>41000</c:v>
                </c:pt>
                <c:pt idx="101">
                  <c:v>41030</c:v>
                </c:pt>
                <c:pt idx="102">
                  <c:v>41061</c:v>
                </c:pt>
                <c:pt idx="103">
                  <c:v>41091</c:v>
                </c:pt>
                <c:pt idx="104">
                  <c:v>41122</c:v>
                </c:pt>
                <c:pt idx="105">
                  <c:v>41153</c:v>
                </c:pt>
                <c:pt idx="106">
                  <c:v>41183</c:v>
                </c:pt>
                <c:pt idx="107">
                  <c:v>41214</c:v>
                </c:pt>
                <c:pt idx="108">
                  <c:v>41244</c:v>
                </c:pt>
                <c:pt idx="109">
                  <c:v>41275</c:v>
                </c:pt>
                <c:pt idx="110">
                  <c:v>41306</c:v>
                </c:pt>
                <c:pt idx="111">
                  <c:v>41334</c:v>
                </c:pt>
                <c:pt idx="112">
                  <c:v>41365</c:v>
                </c:pt>
                <c:pt idx="113">
                  <c:v>41395</c:v>
                </c:pt>
                <c:pt idx="114">
                  <c:v>41426</c:v>
                </c:pt>
                <c:pt idx="115">
                  <c:v>41456</c:v>
                </c:pt>
                <c:pt idx="116">
                  <c:v>41487</c:v>
                </c:pt>
                <c:pt idx="117">
                  <c:v>41518</c:v>
                </c:pt>
                <c:pt idx="118">
                  <c:v>41548</c:v>
                </c:pt>
                <c:pt idx="119">
                  <c:v>41579</c:v>
                </c:pt>
                <c:pt idx="120">
                  <c:v>41609</c:v>
                </c:pt>
                <c:pt idx="121">
                  <c:v>41640</c:v>
                </c:pt>
                <c:pt idx="122">
                  <c:v>41671</c:v>
                </c:pt>
                <c:pt idx="123">
                  <c:v>41699</c:v>
                </c:pt>
                <c:pt idx="124">
                  <c:v>41730</c:v>
                </c:pt>
                <c:pt idx="125">
                  <c:v>41760</c:v>
                </c:pt>
                <c:pt idx="126">
                  <c:v>41791</c:v>
                </c:pt>
                <c:pt idx="127">
                  <c:v>41821</c:v>
                </c:pt>
                <c:pt idx="128">
                  <c:v>41852</c:v>
                </c:pt>
                <c:pt idx="129">
                  <c:v>41883</c:v>
                </c:pt>
                <c:pt idx="130">
                  <c:v>41913</c:v>
                </c:pt>
                <c:pt idx="131">
                  <c:v>41944</c:v>
                </c:pt>
                <c:pt idx="132">
                  <c:v>41974</c:v>
                </c:pt>
                <c:pt idx="133">
                  <c:v>42005</c:v>
                </c:pt>
                <c:pt idx="134">
                  <c:v>42036</c:v>
                </c:pt>
                <c:pt idx="135">
                  <c:v>42064</c:v>
                </c:pt>
                <c:pt idx="136">
                  <c:v>42095</c:v>
                </c:pt>
                <c:pt idx="137">
                  <c:v>42125</c:v>
                </c:pt>
                <c:pt idx="138">
                  <c:v>42156</c:v>
                </c:pt>
                <c:pt idx="139">
                  <c:v>42186</c:v>
                </c:pt>
                <c:pt idx="140">
                  <c:v>42217</c:v>
                </c:pt>
                <c:pt idx="141">
                  <c:v>42248</c:v>
                </c:pt>
                <c:pt idx="142">
                  <c:v>42278</c:v>
                </c:pt>
                <c:pt idx="143">
                  <c:v>42309</c:v>
                </c:pt>
                <c:pt idx="144">
                  <c:v>42339</c:v>
                </c:pt>
                <c:pt idx="145">
                  <c:v>42370</c:v>
                </c:pt>
                <c:pt idx="146">
                  <c:v>42401</c:v>
                </c:pt>
                <c:pt idx="147">
                  <c:v>42430</c:v>
                </c:pt>
                <c:pt idx="148">
                  <c:v>42461</c:v>
                </c:pt>
                <c:pt idx="149">
                  <c:v>42491</c:v>
                </c:pt>
                <c:pt idx="150">
                  <c:v>42522</c:v>
                </c:pt>
                <c:pt idx="151">
                  <c:v>42552</c:v>
                </c:pt>
                <c:pt idx="152">
                  <c:v>42583</c:v>
                </c:pt>
                <c:pt idx="153">
                  <c:v>42614</c:v>
                </c:pt>
                <c:pt idx="154">
                  <c:v>42644</c:v>
                </c:pt>
                <c:pt idx="155">
                  <c:v>42675</c:v>
                </c:pt>
                <c:pt idx="156">
                  <c:v>42705</c:v>
                </c:pt>
                <c:pt idx="157">
                  <c:v>42736</c:v>
                </c:pt>
                <c:pt idx="158">
                  <c:v>42767</c:v>
                </c:pt>
                <c:pt idx="159">
                  <c:v>42795</c:v>
                </c:pt>
                <c:pt idx="160">
                  <c:v>42826</c:v>
                </c:pt>
                <c:pt idx="161">
                  <c:v>42856</c:v>
                </c:pt>
                <c:pt idx="162">
                  <c:v>42887</c:v>
                </c:pt>
                <c:pt idx="163">
                  <c:v>42917</c:v>
                </c:pt>
                <c:pt idx="164">
                  <c:v>42948</c:v>
                </c:pt>
              </c:numCache>
            </c:numRef>
          </c:xVal>
          <c:yVal>
            <c:numRef>
              <c:f>'PPI Gen'!$B$12:$B$176</c:f>
              <c:numCache>
                <c:formatCode>0.0</c:formatCode>
                <c:ptCount val="165"/>
                <c:pt idx="0">
                  <c:v>100</c:v>
                </c:pt>
                <c:pt idx="1">
                  <c:v>99.8</c:v>
                </c:pt>
                <c:pt idx="2">
                  <c:v>102.9</c:v>
                </c:pt>
                <c:pt idx="3">
                  <c:v>101.5</c:v>
                </c:pt>
                <c:pt idx="4">
                  <c:v>101.7</c:v>
                </c:pt>
                <c:pt idx="5">
                  <c:v>102.4</c:v>
                </c:pt>
                <c:pt idx="6">
                  <c:v>107</c:v>
                </c:pt>
                <c:pt idx="7">
                  <c:v>107.8</c:v>
                </c:pt>
                <c:pt idx="8">
                  <c:v>109</c:v>
                </c:pt>
                <c:pt idx="9">
                  <c:v>106.1</c:v>
                </c:pt>
                <c:pt idx="10">
                  <c:v>102.6</c:v>
                </c:pt>
                <c:pt idx="11">
                  <c:v>107</c:v>
                </c:pt>
                <c:pt idx="12">
                  <c:v>104.6</c:v>
                </c:pt>
                <c:pt idx="13">
                  <c:v>104.9</c:v>
                </c:pt>
                <c:pt idx="14">
                  <c:v>105.7</c:v>
                </c:pt>
                <c:pt idx="15">
                  <c:v>113</c:v>
                </c:pt>
                <c:pt idx="16">
                  <c:v>109.6</c:v>
                </c:pt>
                <c:pt idx="17">
                  <c:v>111</c:v>
                </c:pt>
                <c:pt idx="18">
                  <c:v>112.9</c:v>
                </c:pt>
                <c:pt idx="19">
                  <c:v>126.4</c:v>
                </c:pt>
                <c:pt idx="20">
                  <c:v>142.19999999999999</c:v>
                </c:pt>
                <c:pt idx="21">
                  <c:v>140</c:v>
                </c:pt>
                <c:pt idx="22">
                  <c:v>132.80000000000001</c:v>
                </c:pt>
                <c:pt idx="23">
                  <c:v>121.9</c:v>
                </c:pt>
                <c:pt idx="24">
                  <c:v>133.80000000000001</c:v>
                </c:pt>
                <c:pt idx="25">
                  <c:v>129</c:v>
                </c:pt>
                <c:pt idx="26">
                  <c:v>129</c:v>
                </c:pt>
                <c:pt idx="27">
                  <c:v>127.3</c:v>
                </c:pt>
                <c:pt idx="28">
                  <c:v>124.5</c:v>
                </c:pt>
                <c:pt idx="29">
                  <c:v>125.8</c:v>
                </c:pt>
                <c:pt idx="30">
                  <c:v>127.9</c:v>
                </c:pt>
                <c:pt idx="31">
                  <c:v>134.4</c:v>
                </c:pt>
                <c:pt idx="32">
                  <c:v>153.5</c:v>
                </c:pt>
                <c:pt idx="33">
                  <c:v>131.30000000000001</c:v>
                </c:pt>
                <c:pt idx="34">
                  <c:v>124.2</c:v>
                </c:pt>
                <c:pt idx="35">
                  <c:v>130.5</c:v>
                </c:pt>
                <c:pt idx="36">
                  <c:v>127.8</c:v>
                </c:pt>
                <c:pt idx="37">
                  <c:v>123.5</c:v>
                </c:pt>
                <c:pt idx="38">
                  <c:v>135.6</c:v>
                </c:pt>
                <c:pt idx="39">
                  <c:v>131.9</c:v>
                </c:pt>
                <c:pt idx="40">
                  <c:v>130.9</c:v>
                </c:pt>
                <c:pt idx="41">
                  <c:v>131.30000000000001</c:v>
                </c:pt>
                <c:pt idx="42">
                  <c:v>137.1</c:v>
                </c:pt>
                <c:pt idx="43">
                  <c:v>139.80000000000001</c:v>
                </c:pt>
                <c:pt idx="44">
                  <c:v>149.80000000000001</c:v>
                </c:pt>
                <c:pt idx="45">
                  <c:v>139</c:v>
                </c:pt>
                <c:pt idx="46">
                  <c:v>141.6</c:v>
                </c:pt>
                <c:pt idx="47">
                  <c:v>136.1</c:v>
                </c:pt>
                <c:pt idx="48">
                  <c:v>136.30000000000001</c:v>
                </c:pt>
                <c:pt idx="49">
                  <c:v>136.30000000000001</c:v>
                </c:pt>
                <c:pt idx="50">
                  <c:v>141.1</c:v>
                </c:pt>
                <c:pt idx="51">
                  <c:v>143.1</c:v>
                </c:pt>
                <c:pt idx="52">
                  <c:v>149</c:v>
                </c:pt>
                <c:pt idx="53">
                  <c:v>149.30000000000001</c:v>
                </c:pt>
                <c:pt idx="54">
                  <c:v>165.6</c:v>
                </c:pt>
                <c:pt idx="55">
                  <c:v>170.4</c:v>
                </c:pt>
                <c:pt idx="56">
                  <c:v>171.8</c:v>
                </c:pt>
                <c:pt idx="57">
                  <c:v>159</c:v>
                </c:pt>
                <c:pt idx="58">
                  <c:v>149.69999999999999</c:v>
                </c:pt>
                <c:pt idx="59">
                  <c:v>142.1</c:v>
                </c:pt>
                <c:pt idx="60">
                  <c:v>140.1</c:v>
                </c:pt>
                <c:pt idx="61">
                  <c:v>140.80000000000001</c:v>
                </c:pt>
                <c:pt idx="62">
                  <c:v>145.1</c:v>
                </c:pt>
                <c:pt idx="63">
                  <c:v>142</c:v>
                </c:pt>
                <c:pt idx="64">
                  <c:v>138.5</c:v>
                </c:pt>
                <c:pt idx="65">
                  <c:v>140.30000000000001</c:v>
                </c:pt>
                <c:pt idx="66">
                  <c:v>139.69999999999999</c:v>
                </c:pt>
                <c:pt idx="67">
                  <c:v>140.69999999999999</c:v>
                </c:pt>
                <c:pt idx="68">
                  <c:v>150</c:v>
                </c:pt>
                <c:pt idx="69">
                  <c:v>141.4</c:v>
                </c:pt>
                <c:pt idx="70">
                  <c:v>142.69999999999999</c:v>
                </c:pt>
                <c:pt idx="71">
                  <c:v>140.19999999999999</c:v>
                </c:pt>
                <c:pt idx="72">
                  <c:v>143.69999999999999</c:v>
                </c:pt>
                <c:pt idx="73">
                  <c:v>151</c:v>
                </c:pt>
                <c:pt idx="74">
                  <c:v>150.5</c:v>
                </c:pt>
                <c:pt idx="75">
                  <c:v>146.5</c:v>
                </c:pt>
                <c:pt idx="76">
                  <c:v>144.19999999999999</c:v>
                </c:pt>
                <c:pt idx="77">
                  <c:v>145.19999999999999</c:v>
                </c:pt>
                <c:pt idx="78">
                  <c:v>147.19999999999999</c:v>
                </c:pt>
                <c:pt idx="79">
                  <c:v>153.30000000000001</c:v>
                </c:pt>
                <c:pt idx="80">
                  <c:v>162.9</c:v>
                </c:pt>
                <c:pt idx="81">
                  <c:v>151.4</c:v>
                </c:pt>
                <c:pt idx="82">
                  <c:v>144.69999999999999</c:v>
                </c:pt>
                <c:pt idx="83">
                  <c:v>145.19999999999999</c:v>
                </c:pt>
                <c:pt idx="84">
                  <c:v>149.69999999999999</c:v>
                </c:pt>
                <c:pt idx="85">
                  <c:v>150.5</c:v>
                </c:pt>
                <c:pt idx="86">
                  <c:v>150.1</c:v>
                </c:pt>
                <c:pt idx="87">
                  <c:v>145.6</c:v>
                </c:pt>
                <c:pt idx="88">
                  <c:v>145.4</c:v>
                </c:pt>
                <c:pt idx="89">
                  <c:v>148.5</c:v>
                </c:pt>
                <c:pt idx="90">
                  <c:v>158.9</c:v>
                </c:pt>
                <c:pt idx="91">
                  <c:v>161.9</c:v>
                </c:pt>
                <c:pt idx="92">
                  <c:v>165.8</c:v>
                </c:pt>
                <c:pt idx="93">
                  <c:v>156.9</c:v>
                </c:pt>
                <c:pt idx="94">
                  <c:v>142.9</c:v>
                </c:pt>
                <c:pt idx="95">
                  <c:v>139.4</c:v>
                </c:pt>
                <c:pt idx="96">
                  <c:v>141.69999999999999</c:v>
                </c:pt>
                <c:pt idx="97">
                  <c:v>136</c:v>
                </c:pt>
                <c:pt idx="98">
                  <c:v>138.6</c:v>
                </c:pt>
                <c:pt idx="99">
                  <c:v>130.1</c:v>
                </c:pt>
                <c:pt idx="100">
                  <c:v>129.1</c:v>
                </c:pt>
                <c:pt idx="101">
                  <c:v>131.30000000000001</c:v>
                </c:pt>
                <c:pt idx="102">
                  <c:v>135.30000000000001</c:v>
                </c:pt>
                <c:pt idx="103">
                  <c:v>146.80000000000001</c:v>
                </c:pt>
                <c:pt idx="104">
                  <c:v>150.9</c:v>
                </c:pt>
                <c:pt idx="105">
                  <c:v>142</c:v>
                </c:pt>
                <c:pt idx="106">
                  <c:v>138.5</c:v>
                </c:pt>
                <c:pt idx="107">
                  <c:v>140.6</c:v>
                </c:pt>
                <c:pt idx="108">
                  <c:v>139.6</c:v>
                </c:pt>
                <c:pt idx="109">
                  <c:v>140.9</c:v>
                </c:pt>
                <c:pt idx="110">
                  <c:v>143.19999999999999</c:v>
                </c:pt>
                <c:pt idx="111">
                  <c:v>143.69999999999999</c:v>
                </c:pt>
                <c:pt idx="112">
                  <c:v>144.6</c:v>
                </c:pt>
                <c:pt idx="113">
                  <c:v>147.1</c:v>
                </c:pt>
                <c:pt idx="114">
                  <c:v>148.4</c:v>
                </c:pt>
                <c:pt idx="115">
                  <c:v>154.30000000000001</c:v>
                </c:pt>
                <c:pt idx="116">
                  <c:v>153.6</c:v>
                </c:pt>
                <c:pt idx="117">
                  <c:v>151.30000000000001</c:v>
                </c:pt>
                <c:pt idx="118">
                  <c:v>145.6</c:v>
                </c:pt>
                <c:pt idx="119">
                  <c:v>143</c:v>
                </c:pt>
                <c:pt idx="120">
                  <c:v>149.30000000000001</c:v>
                </c:pt>
                <c:pt idx="121">
                  <c:v>159.30000000000001</c:v>
                </c:pt>
                <c:pt idx="122">
                  <c:v>181.6</c:v>
                </c:pt>
                <c:pt idx="123">
                  <c:v>166.1</c:v>
                </c:pt>
                <c:pt idx="124">
                  <c:v>156</c:v>
                </c:pt>
                <c:pt idx="125">
                  <c:v>154.1</c:v>
                </c:pt>
                <c:pt idx="126">
                  <c:v>159.1</c:v>
                </c:pt>
                <c:pt idx="127">
                  <c:v>161.5</c:v>
                </c:pt>
                <c:pt idx="128">
                  <c:v>161.5</c:v>
                </c:pt>
                <c:pt idx="129">
                  <c:v>159.5</c:v>
                </c:pt>
                <c:pt idx="130">
                  <c:v>151.69999999999999</c:v>
                </c:pt>
                <c:pt idx="131">
                  <c:v>151.19999999999999</c:v>
                </c:pt>
                <c:pt idx="132">
                  <c:v>150</c:v>
                </c:pt>
                <c:pt idx="133">
                  <c:v>144.5</c:v>
                </c:pt>
                <c:pt idx="134">
                  <c:v>139.9</c:v>
                </c:pt>
                <c:pt idx="135">
                  <c:v>142.9</c:v>
                </c:pt>
                <c:pt idx="136">
                  <c:v>138.19999999999999</c:v>
                </c:pt>
                <c:pt idx="137">
                  <c:v>137.30000000000001</c:v>
                </c:pt>
                <c:pt idx="138">
                  <c:v>143.6</c:v>
                </c:pt>
                <c:pt idx="139">
                  <c:v>150.69999999999999</c:v>
                </c:pt>
                <c:pt idx="140">
                  <c:v>152.69999999999999</c:v>
                </c:pt>
                <c:pt idx="141">
                  <c:v>149.6</c:v>
                </c:pt>
                <c:pt idx="142">
                  <c:v>139.4</c:v>
                </c:pt>
                <c:pt idx="143">
                  <c:v>134.6</c:v>
                </c:pt>
                <c:pt idx="144">
                  <c:v>133.6</c:v>
                </c:pt>
                <c:pt idx="145">
                  <c:v>131.6</c:v>
                </c:pt>
                <c:pt idx="146">
                  <c:v>130.6</c:v>
                </c:pt>
                <c:pt idx="147">
                  <c:v>123.7</c:v>
                </c:pt>
                <c:pt idx="148">
                  <c:v>128.6</c:v>
                </c:pt>
                <c:pt idx="149">
                  <c:v>127.8</c:v>
                </c:pt>
                <c:pt idx="150">
                  <c:v>134.5</c:v>
                </c:pt>
                <c:pt idx="151">
                  <c:v>140.19999999999999</c:v>
                </c:pt>
                <c:pt idx="152">
                  <c:v>145.69999999999999</c:v>
                </c:pt>
                <c:pt idx="153">
                  <c:v>142.5</c:v>
                </c:pt>
                <c:pt idx="154">
                  <c:v>138.19999999999999</c:v>
                </c:pt>
                <c:pt idx="155">
                  <c:v>131.9</c:v>
                </c:pt>
                <c:pt idx="156">
                  <c:v>138.4</c:v>
                </c:pt>
                <c:pt idx="157">
                  <c:v>141.80000000000001</c:v>
                </c:pt>
                <c:pt idx="158">
                  <c:v>136.1</c:v>
                </c:pt>
                <c:pt idx="159">
                  <c:v>139.9</c:v>
                </c:pt>
                <c:pt idx="160">
                  <c:v>141.1</c:v>
                </c:pt>
                <c:pt idx="161">
                  <c:v>140.6</c:v>
                </c:pt>
                <c:pt idx="162">
                  <c:v>141</c:v>
                </c:pt>
                <c:pt idx="163">
                  <c:v>145.69999999999999</c:v>
                </c:pt>
                <c:pt idx="164">
                  <c:v>144.1</c:v>
                </c:pt>
              </c:numCache>
            </c:numRef>
          </c:yVal>
          <c:smooth val="0"/>
        </c:ser>
        <c:dLbls>
          <c:showLegendKey val="0"/>
          <c:showVal val="0"/>
          <c:showCatName val="0"/>
          <c:showSerName val="0"/>
          <c:showPercent val="0"/>
          <c:showBubbleSize val="0"/>
        </c:dLbls>
        <c:axId val="469977648"/>
        <c:axId val="469975296"/>
      </c:scatterChart>
      <c:valAx>
        <c:axId val="469977648"/>
        <c:scaling>
          <c:orientation val="minMax"/>
        </c:scaling>
        <c:delete val="0"/>
        <c:axPos val="b"/>
        <c:majorGridlines>
          <c:spPr>
            <a:ln w="9525" cap="flat" cmpd="sng" algn="ctr">
              <a:solidFill>
                <a:schemeClr val="tx1">
                  <a:lumMod val="15000"/>
                  <a:lumOff val="85000"/>
                </a:schemeClr>
              </a:solidFill>
              <a:round/>
            </a:ln>
            <a:effectLst/>
          </c:spPr>
        </c:majorGridlines>
        <c:numFmt formatCode="yyyy\-mm\-dd"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75296"/>
        <c:crosses val="autoZero"/>
        <c:crossBetween val="midCat"/>
      </c:valAx>
      <c:valAx>
        <c:axId val="4699752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7764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Proposed</a:t>
            </a:r>
            <a:r>
              <a:rPr lang="en-US" baseline="0"/>
              <a:t> Revenue Requirement Increases - Natural Gas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Charts!$B$14</c:f>
              <c:strCache>
                <c:ptCount val="1"/>
                <c:pt idx="0">
                  <c:v>Staff</c:v>
                </c:pt>
              </c:strCache>
            </c:strRef>
          </c:tx>
          <c:spPr>
            <a:solidFill>
              <a:schemeClr val="accent1"/>
            </a:solidFill>
            <a:ln>
              <a:noFill/>
            </a:ln>
            <a:effectLst/>
          </c:spPr>
          <c:invertIfNegative val="0"/>
          <c:cat>
            <c:strRef>
              <c:f>Charts!$C$12:$E$13</c:f>
              <c:strCache>
                <c:ptCount val="3"/>
                <c:pt idx="0">
                  <c:v>Year 1</c:v>
                </c:pt>
                <c:pt idx="1">
                  <c:v>Year 2</c:v>
                </c:pt>
                <c:pt idx="2">
                  <c:v>Year 3</c:v>
                </c:pt>
              </c:strCache>
            </c:strRef>
          </c:cat>
          <c:val>
            <c:numRef>
              <c:f>Charts!$C$14:$E$14</c:f>
              <c:numCache>
                <c:formatCode>_("$"* #,##0_);_("$"* \(#,##0\);_("$"* "-"??_);_(@_)</c:formatCode>
                <c:ptCount val="3"/>
                <c:pt idx="0">
                  <c:v>1106.7156674109913</c:v>
                </c:pt>
                <c:pt idx="1">
                  <c:v>2698.0129387873094</c:v>
                </c:pt>
                <c:pt idx="2">
                  <c:v>2784.3138747054286</c:v>
                </c:pt>
              </c:numCache>
            </c:numRef>
          </c:val>
        </c:ser>
        <c:ser>
          <c:idx val="1"/>
          <c:order val="1"/>
          <c:tx>
            <c:strRef>
              <c:f>Charts!$B$15</c:f>
              <c:strCache>
                <c:ptCount val="1"/>
                <c:pt idx="0">
                  <c:v>Avista</c:v>
                </c:pt>
              </c:strCache>
            </c:strRef>
          </c:tx>
          <c:spPr>
            <a:solidFill>
              <a:schemeClr val="accent2"/>
            </a:solidFill>
            <a:ln>
              <a:noFill/>
            </a:ln>
            <a:effectLst/>
          </c:spPr>
          <c:invertIfNegative val="0"/>
          <c:cat>
            <c:strRef>
              <c:f>Charts!$C$12:$E$13</c:f>
              <c:strCache>
                <c:ptCount val="3"/>
                <c:pt idx="0">
                  <c:v>Year 1</c:v>
                </c:pt>
                <c:pt idx="1">
                  <c:v>Year 2</c:v>
                </c:pt>
                <c:pt idx="2">
                  <c:v>Year 3</c:v>
                </c:pt>
              </c:strCache>
            </c:strRef>
          </c:cat>
          <c:val>
            <c:numRef>
              <c:f>Charts!$C$15:$E$15</c:f>
              <c:numCache>
                <c:formatCode>_("$"* #,##0_);_("$"* \(#,##0\);_("$"* "-"??_);_(@_)</c:formatCode>
                <c:ptCount val="3"/>
                <c:pt idx="0">
                  <c:v>8269</c:v>
                </c:pt>
                <c:pt idx="1">
                  <c:v>4220</c:v>
                </c:pt>
                <c:pt idx="2">
                  <c:v>4417</c:v>
                </c:pt>
              </c:numCache>
            </c:numRef>
          </c:val>
        </c:ser>
        <c:dLbls>
          <c:showLegendKey val="0"/>
          <c:showVal val="0"/>
          <c:showCatName val="0"/>
          <c:showSerName val="0"/>
          <c:showPercent val="0"/>
          <c:showBubbleSize val="0"/>
        </c:dLbls>
        <c:gapWidth val="219"/>
        <c:overlap val="-27"/>
        <c:axId val="334057048"/>
        <c:axId val="334059008"/>
      </c:barChart>
      <c:catAx>
        <c:axId val="33405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59008"/>
        <c:crosses val="autoZero"/>
        <c:auto val="1"/>
        <c:lblAlgn val="ctr"/>
        <c:lblOffset val="100"/>
        <c:noMultiLvlLbl val="0"/>
      </c:catAx>
      <c:valAx>
        <c:axId val="33405900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570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Cumulative</a:t>
            </a:r>
            <a:r>
              <a:rPr lang="en-US" baseline="0"/>
              <a:t> Impact of Proposed Revenue Requirement Increases - Electric</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Charts!$P$5</c:f>
              <c:strCache>
                <c:ptCount val="1"/>
                <c:pt idx="0">
                  <c:v>Staff</c:v>
                </c:pt>
              </c:strCache>
            </c:strRef>
          </c:tx>
          <c:spPr>
            <a:solidFill>
              <a:schemeClr val="accent1"/>
            </a:solidFill>
            <a:ln>
              <a:noFill/>
            </a:ln>
            <a:effectLst/>
          </c:spPr>
          <c:invertIfNegative val="0"/>
          <c:cat>
            <c:strRef>
              <c:f>Charts!$Q$3:$S$4</c:f>
              <c:strCache>
                <c:ptCount val="3"/>
                <c:pt idx="0">
                  <c:v>Year 1</c:v>
                </c:pt>
                <c:pt idx="1">
                  <c:v>Year 2</c:v>
                </c:pt>
                <c:pt idx="2">
                  <c:v>Year 3</c:v>
                </c:pt>
              </c:strCache>
            </c:strRef>
          </c:cat>
          <c:val>
            <c:numRef>
              <c:f>Charts!$Q$5:$S$5</c:f>
              <c:numCache>
                <c:formatCode>_("$"* #,##0_);_("$"* \(#,##0\);_("$"* "-"??_);_(@_)</c:formatCode>
                <c:ptCount val="3"/>
                <c:pt idx="0">
                  <c:v>10034.114766363398</c:v>
                </c:pt>
                <c:pt idx="1">
                  <c:v>31518.526431296617</c:v>
                </c:pt>
                <c:pt idx="2">
                  <c:v>64718.472263091462</c:v>
                </c:pt>
              </c:numCache>
            </c:numRef>
          </c:val>
        </c:ser>
        <c:ser>
          <c:idx val="1"/>
          <c:order val="1"/>
          <c:tx>
            <c:strRef>
              <c:f>Charts!$P$6</c:f>
              <c:strCache>
                <c:ptCount val="1"/>
                <c:pt idx="0">
                  <c:v>Avista</c:v>
                </c:pt>
              </c:strCache>
            </c:strRef>
          </c:tx>
          <c:spPr>
            <a:solidFill>
              <a:schemeClr val="accent2"/>
            </a:solidFill>
            <a:ln>
              <a:noFill/>
            </a:ln>
            <a:effectLst/>
          </c:spPr>
          <c:invertIfNegative val="0"/>
          <c:cat>
            <c:strRef>
              <c:f>Charts!$Q$3:$S$4</c:f>
              <c:strCache>
                <c:ptCount val="3"/>
                <c:pt idx="0">
                  <c:v>Year 1</c:v>
                </c:pt>
                <c:pt idx="1">
                  <c:v>Year 2</c:v>
                </c:pt>
                <c:pt idx="2">
                  <c:v>Year 3</c:v>
                </c:pt>
              </c:strCache>
            </c:strRef>
          </c:cat>
          <c:val>
            <c:numRef>
              <c:f>Charts!$Q$6:$S$6</c:f>
              <c:numCache>
                <c:formatCode>_("$"* #,##0_);_("$"* \(#,##0\);_("$"* "-"??_);_(@_)</c:formatCode>
                <c:ptCount val="3"/>
                <c:pt idx="0">
                  <c:v>61356</c:v>
                </c:pt>
                <c:pt idx="1">
                  <c:v>136695</c:v>
                </c:pt>
                <c:pt idx="2">
                  <c:v>226466</c:v>
                </c:pt>
              </c:numCache>
            </c:numRef>
          </c:val>
        </c:ser>
        <c:dLbls>
          <c:showLegendKey val="0"/>
          <c:showVal val="0"/>
          <c:showCatName val="0"/>
          <c:showSerName val="0"/>
          <c:showPercent val="0"/>
          <c:showBubbleSize val="0"/>
        </c:dLbls>
        <c:gapWidth val="219"/>
        <c:overlap val="-27"/>
        <c:axId val="468286504"/>
        <c:axId val="468286896"/>
      </c:barChart>
      <c:catAx>
        <c:axId val="468286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8286896"/>
        <c:crosses val="autoZero"/>
        <c:auto val="1"/>
        <c:lblAlgn val="ctr"/>
        <c:lblOffset val="100"/>
        <c:noMultiLvlLbl val="0"/>
      </c:catAx>
      <c:valAx>
        <c:axId val="46828689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82865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Cumulative Impact of Proposed Revenue Requirement</a:t>
            </a:r>
            <a:r>
              <a:rPr lang="en-US" baseline="0"/>
              <a:t> Increases - Natural Gas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Charts!$P$14</c:f>
              <c:strCache>
                <c:ptCount val="1"/>
                <c:pt idx="0">
                  <c:v>Staff</c:v>
                </c:pt>
              </c:strCache>
            </c:strRef>
          </c:tx>
          <c:spPr>
            <a:solidFill>
              <a:schemeClr val="accent1"/>
            </a:solidFill>
            <a:ln>
              <a:noFill/>
            </a:ln>
            <a:effectLst/>
          </c:spPr>
          <c:invertIfNegative val="0"/>
          <c:cat>
            <c:strRef>
              <c:f>Charts!$Q$12:$S$13</c:f>
              <c:strCache>
                <c:ptCount val="3"/>
                <c:pt idx="0">
                  <c:v>Year 1</c:v>
                </c:pt>
                <c:pt idx="1">
                  <c:v>Year 2</c:v>
                </c:pt>
                <c:pt idx="2">
                  <c:v>Year 3</c:v>
                </c:pt>
              </c:strCache>
            </c:strRef>
          </c:cat>
          <c:val>
            <c:numRef>
              <c:f>Charts!$Q$14:$S$14</c:f>
              <c:numCache>
                <c:formatCode>_("$"* #,##0_);_("$"* \(#,##0\);_("$"* "-"??_);_(@_)</c:formatCode>
                <c:ptCount val="3"/>
                <c:pt idx="0">
                  <c:v>1106.7156674109913</c:v>
                </c:pt>
                <c:pt idx="1">
                  <c:v>4911.4442736092915</c:v>
                </c:pt>
                <c:pt idx="2">
                  <c:v>11500.486754513022</c:v>
                </c:pt>
              </c:numCache>
            </c:numRef>
          </c:val>
        </c:ser>
        <c:ser>
          <c:idx val="1"/>
          <c:order val="1"/>
          <c:tx>
            <c:strRef>
              <c:f>Charts!$P$15</c:f>
              <c:strCache>
                <c:ptCount val="1"/>
                <c:pt idx="0">
                  <c:v>Avista</c:v>
                </c:pt>
              </c:strCache>
            </c:strRef>
          </c:tx>
          <c:spPr>
            <a:solidFill>
              <a:schemeClr val="accent2"/>
            </a:solidFill>
            <a:ln>
              <a:noFill/>
            </a:ln>
            <a:effectLst/>
          </c:spPr>
          <c:invertIfNegative val="0"/>
          <c:cat>
            <c:strRef>
              <c:f>Charts!$Q$12:$S$13</c:f>
              <c:strCache>
                <c:ptCount val="3"/>
                <c:pt idx="0">
                  <c:v>Year 1</c:v>
                </c:pt>
                <c:pt idx="1">
                  <c:v>Year 2</c:v>
                </c:pt>
                <c:pt idx="2">
                  <c:v>Year 3</c:v>
                </c:pt>
              </c:strCache>
            </c:strRef>
          </c:cat>
          <c:val>
            <c:numRef>
              <c:f>Charts!$Q$15:$S$15</c:f>
              <c:numCache>
                <c:formatCode>_("$"* #,##0_);_("$"* \(#,##0\);_("$"* "-"??_);_(@_)</c:formatCode>
                <c:ptCount val="3"/>
                <c:pt idx="0">
                  <c:v>8269</c:v>
                </c:pt>
                <c:pt idx="1">
                  <c:v>20758</c:v>
                </c:pt>
                <c:pt idx="2">
                  <c:v>37664</c:v>
                </c:pt>
              </c:numCache>
            </c:numRef>
          </c:val>
        </c:ser>
        <c:dLbls>
          <c:showLegendKey val="0"/>
          <c:showVal val="0"/>
          <c:showCatName val="0"/>
          <c:showSerName val="0"/>
          <c:showPercent val="0"/>
          <c:showBubbleSize val="0"/>
        </c:dLbls>
        <c:gapWidth val="219"/>
        <c:overlap val="-27"/>
        <c:axId val="475388808"/>
        <c:axId val="334057832"/>
      </c:barChart>
      <c:catAx>
        <c:axId val="475388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57832"/>
        <c:crosses val="autoZero"/>
        <c:auto val="1"/>
        <c:lblAlgn val="ctr"/>
        <c:lblOffset val="100"/>
        <c:noMultiLvlLbl val="0"/>
      </c:catAx>
      <c:valAx>
        <c:axId val="33405783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388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ECI!$B$11</c:f>
              <c:strCache>
                <c:ptCount val="1"/>
                <c:pt idx="0">
                  <c:v>CIS2014400000000I</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ECI!$A$12:$A$69</c:f>
              <c:numCache>
                <c:formatCode>yyyy\-mm\-dd</c:formatCode>
                <c:ptCount val="58"/>
                <c:pt idx="0">
                  <c:v>37622</c:v>
                </c:pt>
                <c:pt idx="1">
                  <c:v>37712</c:v>
                </c:pt>
                <c:pt idx="2">
                  <c:v>37803</c:v>
                </c:pt>
                <c:pt idx="3">
                  <c:v>37895</c:v>
                </c:pt>
                <c:pt idx="4">
                  <c:v>37987</c:v>
                </c:pt>
                <c:pt idx="5">
                  <c:v>38078</c:v>
                </c:pt>
                <c:pt idx="6">
                  <c:v>38169</c:v>
                </c:pt>
                <c:pt idx="7">
                  <c:v>38261</c:v>
                </c:pt>
                <c:pt idx="8">
                  <c:v>38353</c:v>
                </c:pt>
                <c:pt idx="9">
                  <c:v>38443</c:v>
                </c:pt>
                <c:pt idx="10">
                  <c:v>38534</c:v>
                </c:pt>
                <c:pt idx="11">
                  <c:v>38626</c:v>
                </c:pt>
                <c:pt idx="12">
                  <c:v>38718</c:v>
                </c:pt>
                <c:pt idx="13">
                  <c:v>38808</c:v>
                </c:pt>
                <c:pt idx="14">
                  <c:v>38899</c:v>
                </c:pt>
                <c:pt idx="15">
                  <c:v>38991</c:v>
                </c:pt>
                <c:pt idx="16">
                  <c:v>39083</c:v>
                </c:pt>
                <c:pt idx="17">
                  <c:v>39173</c:v>
                </c:pt>
                <c:pt idx="18">
                  <c:v>39264</c:v>
                </c:pt>
                <c:pt idx="19">
                  <c:v>39356</c:v>
                </c:pt>
                <c:pt idx="20">
                  <c:v>39448</c:v>
                </c:pt>
                <c:pt idx="21">
                  <c:v>39539</c:v>
                </c:pt>
                <c:pt idx="22">
                  <c:v>39630</c:v>
                </c:pt>
                <c:pt idx="23">
                  <c:v>39722</c:v>
                </c:pt>
                <c:pt idx="24">
                  <c:v>39814</c:v>
                </c:pt>
                <c:pt idx="25">
                  <c:v>39904</c:v>
                </c:pt>
                <c:pt idx="26">
                  <c:v>39995</c:v>
                </c:pt>
                <c:pt idx="27">
                  <c:v>40087</c:v>
                </c:pt>
                <c:pt idx="28">
                  <c:v>40179</c:v>
                </c:pt>
                <c:pt idx="29">
                  <c:v>40269</c:v>
                </c:pt>
                <c:pt idx="30">
                  <c:v>40360</c:v>
                </c:pt>
                <c:pt idx="31">
                  <c:v>40452</c:v>
                </c:pt>
                <c:pt idx="32">
                  <c:v>40544</c:v>
                </c:pt>
                <c:pt idx="33">
                  <c:v>40634</c:v>
                </c:pt>
                <c:pt idx="34">
                  <c:v>40725</c:v>
                </c:pt>
                <c:pt idx="35">
                  <c:v>40817</c:v>
                </c:pt>
                <c:pt idx="36">
                  <c:v>40909</c:v>
                </c:pt>
                <c:pt idx="37">
                  <c:v>41000</c:v>
                </c:pt>
                <c:pt idx="38">
                  <c:v>41091</c:v>
                </c:pt>
                <c:pt idx="39">
                  <c:v>41183</c:v>
                </c:pt>
                <c:pt idx="40">
                  <c:v>41275</c:v>
                </c:pt>
                <c:pt idx="41">
                  <c:v>41365</c:v>
                </c:pt>
                <c:pt idx="42">
                  <c:v>41456</c:v>
                </c:pt>
                <c:pt idx="43">
                  <c:v>41548</c:v>
                </c:pt>
                <c:pt idx="44">
                  <c:v>41640</c:v>
                </c:pt>
                <c:pt idx="45">
                  <c:v>41730</c:v>
                </c:pt>
                <c:pt idx="46">
                  <c:v>41821</c:v>
                </c:pt>
                <c:pt idx="47">
                  <c:v>41913</c:v>
                </c:pt>
                <c:pt idx="48">
                  <c:v>42005</c:v>
                </c:pt>
                <c:pt idx="49">
                  <c:v>42095</c:v>
                </c:pt>
                <c:pt idx="50">
                  <c:v>42186</c:v>
                </c:pt>
                <c:pt idx="51">
                  <c:v>42278</c:v>
                </c:pt>
                <c:pt idx="52">
                  <c:v>42370</c:v>
                </c:pt>
                <c:pt idx="53">
                  <c:v>42461</c:v>
                </c:pt>
                <c:pt idx="54">
                  <c:v>42552</c:v>
                </c:pt>
                <c:pt idx="55">
                  <c:v>42644</c:v>
                </c:pt>
                <c:pt idx="56">
                  <c:v>42736</c:v>
                </c:pt>
                <c:pt idx="57">
                  <c:v>42826</c:v>
                </c:pt>
              </c:numCache>
            </c:numRef>
          </c:xVal>
          <c:yVal>
            <c:numRef>
              <c:f>ECI!$B$12:$B$69</c:f>
              <c:numCache>
                <c:formatCode>0.0</c:formatCode>
                <c:ptCount val="58"/>
                <c:pt idx="0">
                  <c:v>87.9</c:v>
                </c:pt>
                <c:pt idx="1">
                  <c:v>88.6</c:v>
                </c:pt>
                <c:pt idx="2">
                  <c:v>89.7</c:v>
                </c:pt>
                <c:pt idx="3">
                  <c:v>90.8</c:v>
                </c:pt>
                <c:pt idx="4">
                  <c:v>92.2</c:v>
                </c:pt>
                <c:pt idx="5">
                  <c:v>94.3</c:v>
                </c:pt>
                <c:pt idx="6">
                  <c:v>95.2</c:v>
                </c:pt>
                <c:pt idx="7">
                  <c:v>95.7</c:v>
                </c:pt>
                <c:pt idx="8">
                  <c:v>98.1</c:v>
                </c:pt>
                <c:pt idx="9">
                  <c:v>98.7</c:v>
                </c:pt>
                <c:pt idx="10">
                  <c:v>99.5</c:v>
                </c:pt>
                <c:pt idx="11">
                  <c:v>100.6</c:v>
                </c:pt>
                <c:pt idx="12">
                  <c:v>107.7</c:v>
                </c:pt>
                <c:pt idx="13">
                  <c:v>108.7</c:v>
                </c:pt>
                <c:pt idx="14">
                  <c:v>110.1</c:v>
                </c:pt>
                <c:pt idx="15">
                  <c:v>111.1</c:v>
                </c:pt>
                <c:pt idx="16">
                  <c:v>102.8</c:v>
                </c:pt>
                <c:pt idx="17">
                  <c:v>104.2</c:v>
                </c:pt>
                <c:pt idx="18">
                  <c:v>104.9</c:v>
                </c:pt>
                <c:pt idx="19">
                  <c:v>106.2</c:v>
                </c:pt>
                <c:pt idx="20">
                  <c:v>106.5</c:v>
                </c:pt>
                <c:pt idx="21">
                  <c:v>107.6</c:v>
                </c:pt>
                <c:pt idx="22">
                  <c:v>108</c:v>
                </c:pt>
                <c:pt idx="23">
                  <c:v>109.5</c:v>
                </c:pt>
                <c:pt idx="24">
                  <c:v>109.6</c:v>
                </c:pt>
                <c:pt idx="25">
                  <c:v>110.4</c:v>
                </c:pt>
                <c:pt idx="26">
                  <c:v>111</c:v>
                </c:pt>
                <c:pt idx="27">
                  <c:v>112.7</c:v>
                </c:pt>
                <c:pt idx="28">
                  <c:v>115.5</c:v>
                </c:pt>
                <c:pt idx="29">
                  <c:v>116.5</c:v>
                </c:pt>
                <c:pt idx="30">
                  <c:v>117.7</c:v>
                </c:pt>
                <c:pt idx="31">
                  <c:v>118</c:v>
                </c:pt>
                <c:pt idx="32">
                  <c:v>119.4</c:v>
                </c:pt>
                <c:pt idx="33">
                  <c:v>120.4</c:v>
                </c:pt>
                <c:pt idx="34">
                  <c:v>121.5</c:v>
                </c:pt>
                <c:pt idx="35">
                  <c:v>122.2</c:v>
                </c:pt>
                <c:pt idx="36">
                  <c:v>122.9</c:v>
                </c:pt>
                <c:pt idx="37">
                  <c:v>124.7</c:v>
                </c:pt>
                <c:pt idx="38">
                  <c:v>125.3</c:v>
                </c:pt>
                <c:pt idx="39">
                  <c:v>126.3</c:v>
                </c:pt>
                <c:pt idx="40">
                  <c:v>126.5</c:v>
                </c:pt>
                <c:pt idx="41">
                  <c:v>126.9</c:v>
                </c:pt>
                <c:pt idx="42">
                  <c:v>126.3</c:v>
                </c:pt>
                <c:pt idx="43">
                  <c:v>127.5</c:v>
                </c:pt>
                <c:pt idx="44">
                  <c:v>128.30000000000001</c:v>
                </c:pt>
                <c:pt idx="45">
                  <c:v>128.9</c:v>
                </c:pt>
                <c:pt idx="46">
                  <c:v>129.80000000000001</c:v>
                </c:pt>
                <c:pt idx="47">
                  <c:v>130.6</c:v>
                </c:pt>
                <c:pt idx="48">
                  <c:v>132.1</c:v>
                </c:pt>
                <c:pt idx="49">
                  <c:v>132.9</c:v>
                </c:pt>
                <c:pt idx="50">
                  <c:v>134.1</c:v>
                </c:pt>
                <c:pt idx="51">
                  <c:v>134.9</c:v>
                </c:pt>
                <c:pt idx="52">
                  <c:v>135.69999999999999</c:v>
                </c:pt>
                <c:pt idx="53">
                  <c:v>136.4</c:v>
                </c:pt>
                <c:pt idx="54">
                  <c:v>137.30000000000001</c:v>
                </c:pt>
                <c:pt idx="55">
                  <c:v>138.5</c:v>
                </c:pt>
                <c:pt idx="56">
                  <c:v>139.19999999999999</c:v>
                </c:pt>
                <c:pt idx="57">
                  <c:v>139.80000000000001</c:v>
                </c:pt>
              </c:numCache>
            </c:numRef>
          </c:yVal>
          <c:smooth val="0"/>
        </c:ser>
        <c:dLbls>
          <c:showLegendKey val="0"/>
          <c:showVal val="0"/>
          <c:showCatName val="0"/>
          <c:showSerName val="0"/>
          <c:showPercent val="0"/>
          <c:showBubbleSize val="0"/>
        </c:dLbls>
        <c:axId val="334052344"/>
        <c:axId val="334054304"/>
      </c:scatterChart>
      <c:valAx>
        <c:axId val="334052344"/>
        <c:scaling>
          <c:orientation val="minMax"/>
        </c:scaling>
        <c:delete val="0"/>
        <c:axPos val="b"/>
        <c:majorGridlines>
          <c:spPr>
            <a:ln w="9525" cap="flat" cmpd="sng" algn="ctr">
              <a:solidFill>
                <a:schemeClr val="tx1">
                  <a:lumMod val="15000"/>
                  <a:lumOff val="85000"/>
                </a:schemeClr>
              </a:solidFill>
              <a:round/>
            </a:ln>
            <a:effectLst/>
          </c:spPr>
        </c:majorGridlines>
        <c:numFmt formatCode="yyyy\-mm\-dd"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54304"/>
        <c:crosses val="autoZero"/>
        <c:crossBetween val="midCat"/>
      </c:valAx>
      <c:valAx>
        <c:axId val="3340543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523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4.2676290463692042E-2"/>
                  <c:y val="0.2386377223680373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ECI!$A$78:$A$87</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xVal>
          <c:yVal>
            <c:numRef>
              <c:f>ECI!$B$78:$B$87</c:f>
              <c:numCache>
                <c:formatCode>0.0</c:formatCode>
                <c:ptCount val="10"/>
                <c:pt idx="0">
                  <c:v>104.52499999999999</c:v>
                </c:pt>
                <c:pt idx="1">
                  <c:v>107.9</c:v>
                </c:pt>
                <c:pt idx="2">
                  <c:v>110.925</c:v>
                </c:pt>
                <c:pt idx="3">
                  <c:v>116.925</c:v>
                </c:pt>
                <c:pt idx="4">
                  <c:v>120.875</c:v>
                </c:pt>
                <c:pt idx="5">
                  <c:v>124.80000000000001</c:v>
                </c:pt>
                <c:pt idx="6">
                  <c:v>126.8</c:v>
                </c:pt>
                <c:pt idx="7">
                  <c:v>129.4</c:v>
                </c:pt>
                <c:pt idx="8">
                  <c:v>133.5</c:v>
                </c:pt>
                <c:pt idx="9">
                  <c:v>136.97500000000002</c:v>
                </c:pt>
              </c:numCache>
            </c:numRef>
          </c:yVal>
          <c:smooth val="0"/>
        </c:ser>
        <c:dLbls>
          <c:showLegendKey val="0"/>
          <c:showVal val="0"/>
          <c:showCatName val="0"/>
          <c:showSerName val="0"/>
          <c:showPercent val="0"/>
          <c:showBubbleSize val="0"/>
        </c:dLbls>
        <c:axId val="334054696"/>
        <c:axId val="331995024"/>
      </c:scatterChart>
      <c:valAx>
        <c:axId val="3340546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995024"/>
        <c:crosses val="autoZero"/>
        <c:crossBetween val="midCat"/>
      </c:valAx>
      <c:valAx>
        <c:axId val="3319950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405469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'PPI Util'!$B$11</c:f>
              <c:strCache>
                <c:ptCount val="1"/>
                <c:pt idx="0">
                  <c:v>PCU221221</c:v>
                </c:pt>
              </c:strCache>
            </c:strRef>
          </c:tx>
          <c:spPr>
            <a:ln w="28575" cap="rnd">
              <a:noFill/>
              <a:round/>
            </a:ln>
            <a:effectLst/>
          </c:spPr>
          <c:marker>
            <c:symbol val="circle"/>
            <c:size val="5"/>
            <c:spPr>
              <a:solidFill>
                <a:schemeClr val="accent1"/>
              </a:solidFill>
              <a:ln w="9525">
                <a:solidFill>
                  <a:schemeClr val="accent1"/>
                </a:solidFill>
              </a:ln>
              <a:effectLst/>
            </c:spPr>
          </c:marker>
          <c:xVal>
            <c:numRef>
              <c:f>'PPI Util'!$A$12:$A$176</c:f>
              <c:numCache>
                <c:formatCode>yyyy\-mm\-dd</c:formatCode>
                <c:ptCount val="165"/>
                <c:pt idx="0">
                  <c:v>37956</c:v>
                </c:pt>
                <c:pt idx="1">
                  <c:v>37987</c:v>
                </c:pt>
                <c:pt idx="2">
                  <c:v>38018</c:v>
                </c:pt>
                <c:pt idx="3">
                  <c:v>38047</c:v>
                </c:pt>
                <c:pt idx="4">
                  <c:v>38078</c:v>
                </c:pt>
                <c:pt idx="5">
                  <c:v>38108</c:v>
                </c:pt>
                <c:pt idx="6">
                  <c:v>38139</c:v>
                </c:pt>
                <c:pt idx="7">
                  <c:v>38169</c:v>
                </c:pt>
                <c:pt idx="8">
                  <c:v>38200</c:v>
                </c:pt>
                <c:pt idx="9">
                  <c:v>38231</c:v>
                </c:pt>
                <c:pt idx="10">
                  <c:v>38261</c:v>
                </c:pt>
                <c:pt idx="11">
                  <c:v>38292</c:v>
                </c:pt>
                <c:pt idx="12">
                  <c:v>38322</c:v>
                </c:pt>
                <c:pt idx="13">
                  <c:v>38353</c:v>
                </c:pt>
                <c:pt idx="14">
                  <c:v>38384</c:v>
                </c:pt>
                <c:pt idx="15">
                  <c:v>38412</c:v>
                </c:pt>
                <c:pt idx="16">
                  <c:v>38443</c:v>
                </c:pt>
                <c:pt idx="17">
                  <c:v>38473</c:v>
                </c:pt>
                <c:pt idx="18">
                  <c:v>38504</c:v>
                </c:pt>
                <c:pt idx="19">
                  <c:v>38534</c:v>
                </c:pt>
                <c:pt idx="20">
                  <c:v>38565</c:v>
                </c:pt>
                <c:pt idx="21">
                  <c:v>38596</c:v>
                </c:pt>
                <c:pt idx="22">
                  <c:v>38626</c:v>
                </c:pt>
                <c:pt idx="23">
                  <c:v>38657</c:v>
                </c:pt>
                <c:pt idx="24">
                  <c:v>38687</c:v>
                </c:pt>
                <c:pt idx="25">
                  <c:v>38718</c:v>
                </c:pt>
                <c:pt idx="26">
                  <c:v>38749</c:v>
                </c:pt>
                <c:pt idx="27">
                  <c:v>38777</c:v>
                </c:pt>
                <c:pt idx="28">
                  <c:v>38808</c:v>
                </c:pt>
                <c:pt idx="29">
                  <c:v>38838</c:v>
                </c:pt>
                <c:pt idx="30">
                  <c:v>38869</c:v>
                </c:pt>
                <c:pt idx="31">
                  <c:v>38899</c:v>
                </c:pt>
                <c:pt idx="32">
                  <c:v>38930</c:v>
                </c:pt>
                <c:pt idx="33">
                  <c:v>38961</c:v>
                </c:pt>
                <c:pt idx="34">
                  <c:v>38991</c:v>
                </c:pt>
                <c:pt idx="35">
                  <c:v>39022</c:v>
                </c:pt>
                <c:pt idx="36">
                  <c:v>39052</c:v>
                </c:pt>
                <c:pt idx="37">
                  <c:v>39083</c:v>
                </c:pt>
                <c:pt idx="38">
                  <c:v>39114</c:v>
                </c:pt>
                <c:pt idx="39">
                  <c:v>39142</c:v>
                </c:pt>
                <c:pt idx="40">
                  <c:v>39173</c:v>
                </c:pt>
                <c:pt idx="41">
                  <c:v>39203</c:v>
                </c:pt>
                <c:pt idx="42">
                  <c:v>39234</c:v>
                </c:pt>
                <c:pt idx="43">
                  <c:v>39264</c:v>
                </c:pt>
                <c:pt idx="44">
                  <c:v>39295</c:v>
                </c:pt>
                <c:pt idx="45">
                  <c:v>39326</c:v>
                </c:pt>
                <c:pt idx="46">
                  <c:v>39356</c:v>
                </c:pt>
                <c:pt idx="47">
                  <c:v>39387</c:v>
                </c:pt>
                <c:pt idx="48">
                  <c:v>39417</c:v>
                </c:pt>
                <c:pt idx="49">
                  <c:v>39448</c:v>
                </c:pt>
                <c:pt idx="50">
                  <c:v>39479</c:v>
                </c:pt>
                <c:pt idx="51">
                  <c:v>39508</c:v>
                </c:pt>
                <c:pt idx="52">
                  <c:v>39539</c:v>
                </c:pt>
                <c:pt idx="53">
                  <c:v>39569</c:v>
                </c:pt>
                <c:pt idx="54">
                  <c:v>39600</c:v>
                </c:pt>
                <c:pt idx="55">
                  <c:v>39630</c:v>
                </c:pt>
                <c:pt idx="56">
                  <c:v>39661</c:v>
                </c:pt>
                <c:pt idx="57">
                  <c:v>39692</c:v>
                </c:pt>
                <c:pt idx="58">
                  <c:v>39722</c:v>
                </c:pt>
                <c:pt idx="59">
                  <c:v>39753</c:v>
                </c:pt>
                <c:pt idx="60">
                  <c:v>39783</c:v>
                </c:pt>
                <c:pt idx="61">
                  <c:v>39814</c:v>
                </c:pt>
                <c:pt idx="62">
                  <c:v>39845</c:v>
                </c:pt>
                <c:pt idx="63">
                  <c:v>39873</c:v>
                </c:pt>
                <c:pt idx="64">
                  <c:v>39904</c:v>
                </c:pt>
                <c:pt idx="65">
                  <c:v>39934</c:v>
                </c:pt>
                <c:pt idx="66">
                  <c:v>39965</c:v>
                </c:pt>
                <c:pt idx="67">
                  <c:v>39995</c:v>
                </c:pt>
                <c:pt idx="68">
                  <c:v>40026</c:v>
                </c:pt>
                <c:pt idx="69">
                  <c:v>40057</c:v>
                </c:pt>
                <c:pt idx="70">
                  <c:v>40087</c:v>
                </c:pt>
                <c:pt idx="71">
                  <c:v>40118</c:v>
                </c:pt>
                <c:pt idx="72">
                  <c:v>40148</c:v>
                </c:pt>
                <c:pt idx="73">
                  <c:v>40179</c:v>
                </c:pt>
                <c:pt idx="74">
                  <c:v>40210</c:v>
                </c:pt>
                <c:pt idx="75">
                  <c:v>40238</c:v>
                </c:pt>
                <c:pt idx="76">
                  <c:v>40269</c:v>
                </c:pt>
                <c:pt idx="77">
                  <c:v>40299</c:v>
                </c:pt>
                <c:pt idx="78">
                  <c:v>40330</c:v>
                </c:pt>
                <c:pt idx="79">
                  <c:v>40360</c:v>
                </c:pt>
                <c:pt idx="80">
                  <c:v>40391</c:v>
                </c:pt>
                <c:pt idx="81">
                  <c:v>40422</c:v>
                </c:pt>
                <c:pt idx="82">
                  <c:v>40452</c:v>
                </c:pt>
                <c:pt idx="83">
                  <c:v>40483</c:v>
                </c:pt>
                <c:pt idx="84">
                  <c:v>40513</c:v>
                </c:pt>
                <c:pt idx="85">
                  <c:v>40544</c:v>
                </c:pt>
                <c:pt idx="86">
                  <c:v>40575</c:v>
                </c:pt>
                <c:pt idx="87">
                  <c:v>40603</c:v>
                </c:pt>
                <c:pt idx="88">
                  <c:v>40634</c:v>
                </c:pt>
                <c:pt idx="89">
                  <c:v>40664</c:v>
                </c:pt>
                <c:pt idx="90">
                  <c:v>40695</c:v>
                </c:pt>
                <c:pt idx="91">
                  <c:v>40725</c:v>
                </c:pt>
                <c:pt idx="92">
                  <c:v>40756</c:v>
                </c:pt>
                <c:pt idx="93">
                  <c:v>40787</c:v>
                </c:pt>
                <c:pt idx="94">
                  <c:v>40817</c:v>
                </c:pt>
                <c:pt idx="95">
                  <c:v>40848</c:v>
                </c:pt>
                <c:pt idx="96">
                  <c:v>40878</c:v>
                </c:pt>
                <c:pt idx="97">
                  <c:v>40909</c:v>
                </c:pt>
                <c:pt idx="98">
                  <c:v>40940</c:v>
                </c:pt>
                <c:pt idx="99">
                  <c:v>40969</c:v>
                </c:pt>
                <c:pt idx="100">
                  <c:v>41000</c:v>
                </c:pt>
                <c:pt idx="101">
                  <c:v>41030</c:v>
                </c:pt>
                <c:pt idx="102">
                  <c:v>41061</c:v>
                </c:pt>
                <c:pt idx="103">
                  <c:v>41091</c:v>
                </c:pt>
                <c:pt idx="104">
                  <c:v>41122</c:v>
                </c:pt>
                <c:pt idx="105">
                  <c:v>41153</c:v>
                </c:pt>
                <c:pt idx="106">
                  <c:v>41183</c:v>
                </c:pt>
                <c:pt idx="107">
                  <c:v>41214</c:v>
                </c:pt>
                <c:pt idx="108">
                  <c:v>41244</c:v>
                </c:pt>
                <c:pt idx="109">
                  <c:v>41275</c:v>
                </c:pt>
                <c:pt idx="110">
                  <c:v>41306</c:v>
                </c:pt>
                <c:pt idx="111">
                  <c:v>41334</c:v>
                </c:pt>
                <c:pt idx="112">
                  <c:v>41365</c:v>
                </c:pt>
                <c:pt idx="113">
                  <c:v>41395</c:v>
                </c:pt>
                <c:pt idx="114">
                  <c:v>41426</c:v>
                </c:pt>
                <c:pt idx="115">
                  <c:v>41456</c:v>
                </c:pt>
                <c:pt idx="116">
                  <c:v>41487</c:v>
                </c:pt>
                <c:pt idx="117">
                  <c:v>41518</c:v>
                </c:pt>
                <c:pt idx="118">
                  <c:v>41548</c:v>
                </c:pt>
                <c:pt idx="119">
                  <c:v>41579</c:v>
                </c:pt>
                <c:pt idx="120">
                  <c:v>41609</c:v>
                </c:pt>
                <c:pt idx="121">
                  <c:v>41640</c:v>
                </c:pt>
                <c:pt idx="122">
                  <c:v>41671</c:v>
                </c:pt>
                <c:pt idx="123">
                  <c:v>41699</c:v>
                </c:pt>
                <c:pt idx="124">
                  <c:v>41730</c:v>
                </c:pt>
                <c:pt idx="125">
                  <c:v>41760</c:v>
                </c:pt>
                <c:pt idx="126">
                  <c:v>41791</c:v>
                </c:pt>
                <c:pt idx="127">
                  <c:v>41821</c:v>
                </c:pt>
                <c:pt idx="128">
                  <c:v>41852</c:v>
                </c:pt>
                <c:pt idx="129">
                  <c:v>41883</c:v>
                </c:pt>
                <c:pt idx="130">
                  <c:v>41913</c:v>
                </c:pt>
                <c:pt idx="131">
                  <c:v>41944</c:v>
                </c:pt>
                <c:pt idx="132">
                  <c:v>41974</c:v>
                </c:pt>
                <c:pt idx="133">
                  <c:v>42005</c:v>
                </c:pt>
                <c:pt idx="134">
                  <c:v>42036</c:v>
                </c:pt>
                <c:pt idx="135">
                  <c:v>42064</c:v>
                </c:pt>
                <c:pt idx="136">
                  <c:v>42095</c:v>
                </c:pt>
                <c:pt idx="137">
                  <c:v>42125</c:v>
                </c:pt>
                <c:pt idx="138">
                  <c:v>42156</c:v>
                </c:pt>
                <c:pt idx="139">
                  <c:v>42186</c:v>
                </c:pt>
                <c:pt idx="140">
                  <c:v>42217</c:v>
                </c:pt>
                <c:pt idx="141">
                  <c:v>42248</c:v>
                </c:pt>
                <c:pt idx="142">
                  <c:v>42278</c:v>
                </c:pt>
                <c:pt idx="143">
                  <c:v>42309</c:v>
                </c:pt>
                <c:pt idx="144">
                  <c:v>42339</c:v>
                </c:pt>
                <c:pt idx="145">
                  <c:v>42370</c:v>
                </c:pt>
                <c:pt idx="146">
                  <c:v>42401</c:v>
                </c:pt>
                <c:pt idx="147">
                  <c:v>42430</c:v>
                </c:pt>
                <c:pt idx="148">
                  <c:v>42461</c:v>
                </c:pt>
                <c:pt idx="149">
                  <c:v>42491</c:v>
                </c:pt>
                <c:pt idx="150">
                  <c:v>42522</c:v>
                </c:pt>
                <c:pt idx="151">
                  <c:v>42552</c:v>
                </c:pt>
                <c:pt idx="152">
                  <c:v>42583</c:v>
                </c:pt>
                <c:pt idx="153">
                  <c:v>42614</c:v>
                </c:pt>
                <c:pt idx="154">
                  <c:v>42644</c:v>
                </c:pt>
                <c:pt idx="155">
                  <c:v>42675</c:v>
                </c:pt>
                <c:pt idx="156">
                  <c:v>42705</c:v>
                </c:pt>
                <c:pt idx="157">
                  <c:v>42736</c:v>
                </c:pt>
                <c:pt idx="158">
                  <c:v>42767</c:v>
                </c:pt>
                <c:pt idx="159">
                  <c:v>42795</c:v>
                </c:pt>
                <c:pt idx="160">
                  <c:v>42826</c:v>
                </c:pt>
                <c:pt idx="161">
                  <c:v>42856</c:v>
                </c:pt>
                <c:pt idx="162">
                  <c:v>42887</c:v>
                </c:pt>
                <c:pt idx="163">
                  <c:v>42917</c:v>
                </c:pt>
                <c:pt idx="164">
                  <c:v>42948</c:v>
                </c:pt>
              </c:numCache>
            </c:numRef>
          </c:xVal>
          <c:yVal>
            <c:numRef>
              <c:f>'PPI Util'!$B$12:$B$176</c:f>
              <c:numCache>
                <c:formatCode>0.0</c:formatCode>
                <c:ptCount val="165"/>
                <c:pt idx="0">
                  <c:v>100</c:v>
                </c:pt>
                <c:pt idx="1">
                  <c:v>101.7</c:v>
                </c:pt>
                <c:pt idx="2">
                  <c:v>102.5</c:v>
                </c:pt>
                <c:pt idx="3">
                  <c:v>101.2</c:v>
                </c:pt>
                <c:pt idx="4">
                  <c:v>101.8</c:v>
                </c:pt>
                <c:pt idx="5">
                  <c:v>103.1</c:v>
                </c:pt>
                <c:pt idx="6">
                  <c:v>106.9</c:v>
                </c:pt>
                <c:pt idx="7">
                  <c:v>107.1</c:v>
                </c:pt>
                <c:pt idx="8">
                  <c:v>107.4</c:v>
                </c:pt>
                <c:pt idx="9">
                  <c:v>105.2</c:v>
                </c:pt>
                <c:pt idx="10">
                  <c:v>104.3</c:v>
                </c:pt>
                <c:pt idx="11">
                  <c:v>108.8</c:v>
                </c:pt>
                <c:pt idx="12">
                  <c:v>108.9</c:v>
                </c:pt>
                <c:pt idx="13">
                  <c:v>108.3</c:v>
                </c:pt>
                <c:pt idx="14">
                  <c:v>107.5</c:v>
                </c:pt>
                <c:pt idx="15">
                  <c:v>108.7</c:v>
                </c:pt>
                <c:pt idx="16">
                  <c:v>110.6</c:v>
                </c:pt>
                <c:pt idx="17">
                  <c:v>111.2</c:v>
                </c:pt>
                <c:pt idx="18">
                  <c:v>112.2</c:v>
                </c:pt>
                <c:pt idx="19">
                  <c:v>116.2</c:v>
                </c:pt>
                <c:pt idx="20">
                  <c:v>119.9</c:v>
                </c:pt>
                <c:pt idx="21">
                  <c:v>125.5</c:v>
                </c:pt>
                <c:pt idx="22">
                  <c:v>131.19999999999999</c:v>
                </c:pt>
                <c:pt idx="23">
                  <c:v>130</c:v>
                </c:pt>
                <c:pt idx="24">
                  <c:v>129.6</c:v>
                </c:pt>
                <c:pt idx="25">
                  <c:v>131.30000000000001</c:v>
                </c:pt>
                <c:pt idx="26">
                  <c:v>127</c:v>
                </c:pt>
                <c:pt idx="27">
                  <c:v>123.5</c:v>
                </c:pt>
                <c:pt idx="28">
                  <c:v>121.5</c:v>
                </c:pt>
                <c:pt idx="29">
                  <c:v>121</c:v>
                </c:pt>
                <c:pt idx="30">
                  <c:v>120.8</c:v>
                </c:pt>
                <c:pt idx="31">
                  <c:v>122.3</c:v>
                </c:pt>
                <c:pt idx="32">
                  <c:v>126.2</c:v>
                </c:pt>
                <c:pt idx="33">
                  <c:v>123.3</c:v>
                </c:pt>
                <c:pt idx="34">
                  <c:v>116.3</c:v>
                </c:pt>
                <c:pt idx="35">
                  <c:v>121.4</c:v>
                </c:pt>
                <c:pt idx="36">
                  <c:v>122.9</c:v>
                </c:pt>
                <c:pt idx="37">
                  <c:v>122</c:v>
                </c:pt>
                <c:pt idx="38">
                  <c:v>125.6</c:v>
                </c:pt>
                <c:pt idx="39">
                  <c:v>124.4</c:v>
                </c:pt>
                <c:pt idx="40">
                  <c:v>124.5</c:v>
                </c:pt>
                <c:pt idx="41">
                  <c:v>125.4</c:v>
                </c:pt>
                <c:pt idx="42">
                  <c:v>129.9</c:v>
                </c:pt>
                <c:pt idx="43">
                  <c:v>131.6</c:v>
                </c:pt>
                <c:pt idx="44">
                  <c:v>130.80000000000001</c:v>
                </c:pt>
                <c:pt idx="45">
                  <c:v>129.30000000000001</c:v>
                </c:pt>
                <c:pt idx="46">
                  <c:v>127.2</c:v>
                </c:pt>
                <c:pt idx="47">
                  <c:v>126.6</c:v>
                </c:pt>
                <c:pt idx="48">
                  <c:v>127.4</c:v>
                </c:pt>
                <c:pt idx="49">
                  <c:v>127.8</c:v>
                </c:pt>
                <c:pt idx="50">
                  <c:v>129.69999999999999</c:v>
                </c:pt>
                <c:pt idx="51">
                  <c:v>131.1</c:v>
                </c:pt>
                <c:pt idx="52">
                  <c:v>134.5</c:v>
                </c:pt>
                <c:pt idx="53">
                  <c:v>137</c:v>
                </c:pt>
                <c:pt idx="54">
                  <c:v>141.69999999999999</c:v>
                </c:pt>
                <c:pt idx="55">
                  <c:v>146.80000000000001</c:v>
                </c:pt>
                <c:pt idx="56">
                  <c:v>145.69999999999999</c:v>
                </c:pt>
                <c:pt idx="57">
                  <c:v>140.80000000000001</c:v>
                </c:pt>
                <c:pt idx="58">
                  <c:v>136</c:v>
                </c:pt>
                <c:pt idx="59">
                  <c:v>133.4</c:v>
                </c:pt>
                <c:pt idx="60">
                  <c:v>133.1</c:v>
                </c:pt>
                <c:pt idx="61">
                  <c:v>133.9</c:v>
                </c:pt>
                <c:pt idx="62">
                  <c:v>132.9</c:v>
                </c:pt>
                <c:pt idx="63">
                  <c:v>130.4</c:v>
                </c:pt>
                <c:pt idx="64">
                  <c:v>128.1</c:v>
                </c:pt>
                <c:pt idx="65">
                  <c:v>128</c:v>
                </c:pt>
                <c:pt idx="66">
                  <c:v>129</c:v>
                </c:pt>
                <c:pt idx="67">
                  <c:v>130.9</c:v>
                </c:pt>
                <c:pt idx="68">
                  <c:v>131.80000000000001</c:v>
                </c:pt>
                <c:pt idx="69">
                  <c:v>130</c:v>
                </c:pt>
                <c:pt idx="70">
                  <c:v>128.80000000000001</c:v>
                </c:pt>
                <c:pt idx="71">
                  <c:v>128.9</c:v>
                </c:pt>
                <c:pt idx="72">
                  <c:v>129.4</c:v>
                </c:pt>
                <c:pt idx="73">
                  <c:v>132.19999999999999</c:v>
                </c:pt>
                <c:pt idx="74">
                  <c:v>133</c:v>
                </c:pt>
                <c:pt idx="75">
                  <c:v>132.19999999999999</c:v>
                </c:pt>
                <c:pt idx="76">
                  <c:v>131</c:v>
                </c:pt>
                <c:pt idx="77">
                  <c:v>131.30000000000001</c:v>
                </c:pt>
                <c:pt idx="78">
                  <c:v>134.5</c:v>
                </c:pt>
                <c:pt idx="79">
                  <c:v>137.1</c:v>
                </c:pt>
                <c:pt idx="80">
                  <c:v>138.80000000000001</c:v>
                </c:pt>
                <c:pt idx="81">
                  <c:v>136</c:v>
                </c:pt>
                <c:pt idx="82">
                  <c:v>131.80000000000001</c:v>
                </c:pt>
                <c:pt idx="83">
                  <c:v>130.5</c:v>
                </c:pt>
                <c:pt idx="84">
                  <c:v>132.4</c:v>
                </c:pt>
                <c:pt idx="85">
                  <c:v>134.4</c:v>
                </c:pt>
                <c:pt idx="86">
                  <c:v>135</c:v>
                </c:pt>
                <c:pt idx="87">
                  <c:v>133.19999999999999</c:v>
                </c:pt>
                <c:pt idx="88">
                  <c:v>133.5</c:v>
                </c:pt>
                <c:pt idx="89">
                  <c:v>134.69999999999999</c:v>
                </c:pt>
                <c:pt idx="90">
                  <c:v>138.80000000000001</c:v>
                </c:pt>
                <c:pt idx="91">
                  <c:v>140.4</c:v>
                </c:pt>
                <c:pt idx="92">
                  <c:v>141.5</c:v>
                </c:pt>
                <c:pt idx="93">
                  <c:v>139.19999999999999</c:v>
                </c:pt>
                <c:pt idx="94">
                  <c:v>133.4</c:v>
                </c:pt>
                <c:pt idx="95">
                  <c:v>131.4</c:v>
                </c:pt>
                <c:pt idx="96">
                  <c:v>131.4</c:v>
                </c:pt>
                <c:pt idx="97">
                  <c:v>130.4</c:v>
                </c:pt>
                <c:pt idx="98">
                  <c:v>129.4</c:v>
                </c:pt>
                <c:pt idx="99">
                  <c:v>128.19999999999999</c:v>
                </c:pt>
                <c:pt idx="100">
                  <c:v>127</c:v>
                </c:pt>
                <c:pt idx="101">
                  <c:v>128.4</c:v>
                </c:pt>
                <c:pt idx="102">
                  <c:v>131.4</c:v>
                </c:pt>
                <c:pt idx="103">
                  <c:v>134.5</c:v>
                </c:pt>
                <c:pt idx="104">
                  <c:v>134.69999999999999</c:v>
                </c:pt>
                <c:pt idx="105">
                  <c:v>133.6</c:v>
                </c:pt>
                <c:pt idx="106">
                  <c:v>131.19999999999999</c:v>
                </c:pt>
                <c:pt idx="107">
                  <c:v>131.69999999999999</c:v>
                </c:pt>
                <c:pt idx="108">
                  <c:v>132.80000000000001</c:v>
                </c:pt>
                <c:pt idx="109">
                  <c:v>132.30000000000001</c:v>
                </c:pt>
                <c:pt idx="110">
                  <c:v>132.4</c:v>
                </c:pt>
                <c:pt idx="111">
                  <c:v>132.19999999999999</c:v>
                </c:pt>
                <c:pt idx="112">
                  <c:v>133.30000000000001</c:v>
                </c:pt>
                <c:pt idx="113">
                  <c:v>136.1</c:v>
                </c:pt>
                <c:pt idx="114">
                  <c:v>137.6</c:v>
                </c:pt>
                <c:pt idx="115">
                  <c:v>139.4</c:v>
                </c:pt>
                <c:pt idx="116">
                  <c:v>137.4</c:v>
                </c:pt>
                <c:pt idx="117">
                  <c:v>138.4</c:v>
                </c:pt>
                <c:pt idx="118">
                  <c:v>134.5</c:v>
                </c:pt>
                <c:pt idx="119">
                  <c:v>134.30000000000001</c:v>
                </c:pt>
                <c:pt idx="120">
                  <c:v>140.30000000000001</c:v>
                </c:pt>
                <c:pt idx="121">
                  <c:v>148</c:v>
                </c:pt>
                <c:pt idx="122">
                  <c:v>150</c:v>
                </c:pt>
                <c:pt idx="123">
                  <c:v>147.80000000000001</c:v>
                </c:pt>
                <c:pt idx="124">
                  <c:v>145.69999999999999</c:v>
                </c:pt>
                <c:pt idx="125">
                  <c:v>142</c:v>
                </c:pt>
                <c:pt idx="126">
                  <c:v>144.19999999999999</c:v>
                </c:pt>
                <c:pt idx="127">
                  <c:v>145.30000000000001</c:v>
                </c:pt>
                <c:pt idx="128">
                  <c:v>143.9</c:v>
                </c:pt>
                <c:pt idx="129">
                  <c:v>143.6</c:v>
                </c:pt>
                <c:pt idx="130">
                  <c:v>140.19999999999999</c:v>
                </c:pt>
                <c:pt idx="131">
                  <c:v>138.1</c:v>
                </c:pt>
                <c:pt idx="132">
                  <c:v>139.69999999999999</c:v>
                </c:pt>
                <c:pt idx="133">
                  <c:v>142.30000000000001</c:v>
                </c:pt>
                <c:pt idx="134">
                  <c:v>138.19999999999999</c:v>
                </c:pt>
                <c:pt idx="135">
                  <c:v>143</c:v>
                </c:pt>
                <c:pt idx="136">
                  <c:v>135.9</c:v>
                </c:pt>
                <c:pt idx="137">
                  <c:v>135.6</c:v>
                </c:pt>
                <c:pt idx="138">
                  <c:v>140.69999999999999</c:v>
                </c:pt>
                <c:pt idx="139">
                  <c:v>142.9</c:v>
                </c:pt>
                <c:pt idx="140">
                  <c:v>142.19999999999999</c:v>
                </c:pt>
                <c:pt idx="141">
                  <c:v>140.4</c:v>
                </c:pt>
                <c:pt idx="142">
                  <c:v>135.5</c:v>
                </c:pt>
                <c:pt idx="143">
                  <c:v>133</c:v>
                </c:pt>
                <c:pt idx="144">
                  <c:v>132.9</c:v>
                </c:pt>
                <c:pt idx="145">
                  <c:v>132.9</c:v>
                </c:pt>
                <c:pt idx="146">
                  <c:v>131.5</c:v>
                </c:pt>
                <c:pt idx="147">
                  <c:v>130.80000000000001</c:v>
                </c:pt>
                <c:pt idx="148">
                  <c:v>130.19999999999999</c:v>
                </c:pt>
                <c:pt idx="149">
                  <c:v>131.4</c:v>
                </c:pt>
                <c:pt idx="150">
                  <c:v>136.1</c:v>
                </c:pt>
                <c:pt idx="151">
                  <c:v>138.6</c:v>
                </c:pt>
                <c:pt idx="152">
                  <c:v>140.4</c:v>
                </c:pt>
                <c:pt idx="153">
                  <c:v>139.9</c:v>
                </c:pt>
                <c:pt idx="154">
                  <c:v>136.1</c:v>
                </c:pt>
                <c:pt idx="155">
                  <c:v>134</c:v>
                </c:pt>
                <c:pt idx="156">
                  <c:v>136.19999999999999</c:v>
                </c:pt>
                <c:pt idx="157">
                  <c:v>140.4</c:v>
                </c:pt>
                <c:pt idx="158">
                  <c:v>139.5</c:v>
                </c:pt>
                <c:pt idx="159">
                  <c:v>138.1</c:v>
                </c:pt>
                <c:pt idx="160">
                  <c:v>138.69999999999999</c:v>
                </c:pt>
                <c:pt idx="161">
                  <c:v>139.6</c:v>
                </c:pt>
                <c:pt idx="162">
                  <c:v>142.9</c:v>
                </c:pt>
                <c:pt idx="163">
                  <c:v>145.6</c:v>
                </c:pt>
                <c:pt idx="164">
                  <c:v>145.1</c:v>
                </c:pt>
              </c:numCache>
            </c:numRef>
          </c:yVal>
          <c:smooth val="0"/>
        </c:ser>
        <c:dLbls>
          <c:showLegendKey val="0"/>
          <c:showVal val="0"/>
          <c:showCatName val="0"/>
          <c:showSerName val="0"/>
          <c:showPercent val="0"/>
          <c:showBubbleSize val="0"/>
        </c:dLbls>
        <c:axId val="469974512"/>
        <c:axId val="469978432"/>
      </c:scatterChart>
      <c:valAx>
        <c:axId val="469974512"/>
        <c:scaling>
          <c:orientation val="minMax"/>
        </c:scaling>
        <c:delete val="0"/>
        <c:axPos val="b"/>
        <c:majorGridlines>
          <c:spPr>
            <a:ln w="9525" cap="flat" cmpd="sng" algn="ctr">
              <a:solidFill>
                <a:schemeClr val="tx1">
                  <a:lumMod val="15000"/>
                  <a:lumOff val="85000"/>
                </a:schemeClr>
              </a:solidFill>
              <a:round/>
            </a:ln>
            <a:effectLst/>
          </c:spPr>
        </c:majorGridlines>
        <c:numFmt formatCode="yyyy\-mm\-dd"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78432"/>
        <c:crosses val="autoZero"/>
        <c:crossBetween val="midCat"/>
      </c:valAx>
      <c:valAx>
        <c:axId val="4699784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7451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'PPI Trans'!$B$11</c:f>
              <c:strCache>
                <c:ptCount val="1"/>
                <c:pt idx="0">
                  <c:v>PCU221121221121</c:v>
                </c:pt>
              </c:strCache>
            </c:strRef>
          </c:tx>
          <c:spPr>
            <a:ln w="28575" cap="rnd">
              <a:noFill/>
              <a:round/>
            </a:ln>
            <a:effectLst/>
          </c:spPr>
          <c:marker>
            <c:symbol val="circle"/>
            <c:size val="5"/>
            <c:spPr>
              <a:solidFill>
                <a:schemeClr val="accent1"/>
              </a:solidFill>
              <a:ln w="9525">
                <a:solidFill>
                  <a:schemeClr val="accent1"/>
                </a:solidFill>
              </a:ln>
              <a:effectLst/>
            </c:spPr>
          </c:marker>
          <c:xVal>
            <c:numRef>
              <c:f>'PPI Trans'!$A$12:$A$176</c:f>
              <c:numCache>
                <c:formatCode>yyyy\-mm\-dd</c:formatCode>
                <c:ptCount val="165"/>
                <c:pt idx="0">
                  <c:v>37956</c:v>
                </c:pt>
                <c:pt idx="1">
                  <c:v>37987</c:v>
                </c:pt>
                <c:pt idx="2">
                  <c:v>38018</c:v>
                </c:pt>
                <c:pt idx="3">
                  <c:v>38047</c:v>
                </c:pt>
                <c:pt idx="4">
                  <c:v>38078</c:v>
                </c:pt>
                <c:pt idx="5">
                  <c:v>38108</c:v>
                </c:pt>
                <c:pt idx="6">
                  <c:v>38139</c:v>
                </c:pt>
                <c:pt idx="7">
                  <c:v>38169</c:v>
                </c:pt>
                <c:pt idx="8">
                  <c:v>38200</c:v>
                </c:pt>
                <c:pt idx="9">
                  <c:v>38231</c:v>
                </c:pt>
                <c:pt idx="10">
                  <c:v>38261</c:v>
                </c:pt>
                <c:pt idx="11">
                  <c:v>38292</c:v>
                </c:pt>
                <c:pt idx="12">
                  <c:v>38322</c:v>
                </c:pt>
                <c:pt idx="13">
                  <c:v>38353</c:v>
                </c:pt>
                <c:pt idx="14">
                  <c:v>38384</c:v>
                </c:pt>
                <c:pt idx="15">
                  <c:v>38412</c:v>
                </c:pt>
                <c:pt idx="16">
                  <c:v>38443</c:v>
                </c:pt>
                <c:pt idx="17">
                  <c:v>38473</c:v>
                </c:pt>
                <c:pt idx="18">
                  <c:v>38504</c:v>
                </c:pt>
                <c:pt idx="19">
                  <c:v>38534</c:v>
                </c:pt>
                <c:pt idx="20">
                  <c:v>38565</c:v>
                </c:pt>
                <c:pt idx="21">
                  <c:v>38596</c:v>
                </c:pt>
                <c:pt idx="22">
                  <c:v>38626</c:v>
                </c:pt>
                <c:pt idx="23">
                  <c:v>38657</c:v>
                </c:pt>
                <c:pt idx="24">
                  <c:v>38687</c:v>
                </c:pt>
                <c:pt idx="25">
                  <c:v>38718</c:v>
                </c:pt>
                <c:pt idx="26">
                  <c:v>38749</c:v>
                </c:pt>
                <c:pt idx="27">
                  <c:v>38777</c:v>
                </c:pt>
                <c:pt idx="28">
                  <c:v>38808</c:v>
                </c:pt>
                <c:pt idx="29">
                  <c:v>38838</c:v>
                </c:pt>
                <c:pt idx="30">
                  <c:v>38869</c:v>
                </c:pt>
                <c:pt idx="31">
                  <c:v>38899</c:v>
                </c:pt>
                <c:pt idx="32">
                  <c:v>38930</c:v>
                </c:pt>
                <c:pt idx="33">
                  <c:v>38961</c:v>
                </c:pt>
                <c:pt idx="34">
                  <c:v>38991</c:v>
                </c:pt>
                <c:pt idx="35">
                  <c:v>39022</c:v>
                </c:pt>
                <c:pt idx="36">
                  <c:v>39052</c:v>
                </c:pt>
                <c:pt idx="37">
                  <c:v>39083</c:v>
                </c:pt>
                <c:pt idx="38">
                  <c:v>39114</c:v>
                </c:pt>
                <c:pt idx="39">
                  <c:v>39142</c:v>
                </c:pt>
                <c:pt idx="40">
                  <c:v>39173</c:v>
                </c:pt>
                <c:pt idx="41">
                  <c:v>39203</c:v>
                </c:pt>
                <c:pt idx="42">
                  <c:v>39234</c:v>
                </c:pt>
                <c:pt idx="43">
                  <c:v>39264</c:v>
                </c:pt>
                <c:pt idx="44">
                  <c:v>39295</c:v>
                </c:pt>
                <c:pt idx="45">
                  <c:v>39326</c:v>
                </c:pt>
                <c:pt idx="46">
                  <c:v>39356</c:v>
                </c:pt>
                <c:pt idx="47">
                  <c:v>39387</c:v>
                </c:pt>
                <c:pt idx="48">
                  <c:v>39417</c:v>
                </c:pt>
                <c:pt idx="49">
                  <c:v>39448</c:v>
                </c:pt>
                <c:pt idx="50">
                  <c:v>39479</c:v>
                </c:pt>
                <c:pt idx="51">
                  <c:v>39508</c:v>
                </c:pt>
                <c:pt idx="52">
                  <c:v>39539</c:v>
                </c:pt>
                <c:pt idx="53">
                  <c:v>39569</c:v>
                </c:pt>
                <c:pt idx="54">
                  <c:v>39600</c:v>
                </c:pt>
                <c:pt idx="55">
                  <c:v>39630</c:v>
                </c:pt>
                <c:pt idx="56">
                  <c:v>39661</c:v>
                </c:pt>
                <c:pt idx="57">
                  <c:v>39692</c:v>
                </c:pt>
                <c:pt idx="58">
                  <c:v>39722</c:v>
                </c:pt>
                <c:pt idx="59">
                  <c:v>39753</c:v>
                </c:pt>
                <c:pt idx="60">
                  <c:v>39783</c:v>
                </c:pt>
                <c:pt idx="61">
                  <c:v>39814</c:v>
                </c:pt>
                <c:pt idx="62">
                  <c:v>39845</c:v>
                </c:pt>
                <c:pt idx="63">
                  <c:v>39873</c:v>
                </c:pt>
                <c:pt idx="64">
                  <c:v>39904</c:v>
                </c:pt>
                <c:pt idx="65">
                  <c:v>39934</c:v>
                </c:pt>
                <c:pt idx="66">
                  <c:v>39965</c:v>
                </c:pt>
                <c:pt idx="67">
                  <c:v>39995</c:v>
                </c:pt>
                <c:pt idx="68">
                  <c:v>40026</c:v>
                </c:pt>
                <c:pt idx="69">
                  <c:v>40057</c:v>
                </c:pt>
                <c:pt idx="70">
                  <c:v>40087</c:v>
                </c:pt>
                <c:pt idx="71">
                  <c:v>40118</c:v>
                </c:pt>
                <c:pt idx="72">
                  <c:v>40148</c:v>
                </c:pt>
                <c:pt idx="73">
                  <c:v>40179</c:v>
                </c:pt>
                <c:pt idx="74">
                  <c:v>40210</c:v>
                </c:pt>
                <c:pt idx="75">
                  <c:v>40238</c:v>
                </c:pt>
                <c:pt idx="76">
                  <c:v>40269</c:v>
                </c:pt>
                <c:pt idx="77">
                  <c:v>40299</c:v>
                </c:pt>
                <c:pt idx="78">
                  <c:v>40330</c:v>
                </c:pt>
                <c:pt idx="79">
                  <c:v>40360</c:v>
                </c:pt>
                <c:pt idx="80">
                  <c:v>40391</c:v>
                </c:pt>
                <c:pt idx="81">
                  <c:v>40422</c:v>
                </c:pt>
                <c:pt idx="82">
                  <c:v>40452</c:v>
                </c:pt>
                <c:pt idx="83">
                  <c:v>40483</c:v>
                </c:pt>
                <c:pt idx="84">
                  <c:v>40513</c:v>
                </c:pt>
                <c:pt idx="85">
                  <c:v>40544</c:v>
                </c:pt>
                <c:pt idx="86">
                  <c:v>40575</c:v>
                </c:pt>
                <c:pt idx="87">
                  <c:v>40603</c:v>
                </c:pt>
                <c:pt idx="88">
                  <c:v>40634</c:v>
                </c:pt>
                <c:pt idx="89">
                  <c:v>40664</c:v>
                </c:pt>
                <c:pt idx="90">
                  <c:v>40695</c:v>
                </c:pt>
                <c:pt idx="91">
                  <c:v>40725</c:v>
                </c:pt>
                <c:pt idx="92">
                  <c:v>40756</c:v>
                </c:pt>
                <c:pt idx="93">
                  <c:v>40787</c:v>
                </c:pt>
                <c:pt idx="94">
                  <c:v>40817</c:v>
                </c:pt>
                <c:pt idx="95">
                  <c:v>40848</c:v>
                </c:pt>
                <c:pt idx="96">
                  <c:v>40878</c:v>
                </c:pt>
                <c:pt idx="97">
                  <c:v>40909</c:v>
                </c:pt>
                <c:pt idx="98">
                  <c:v>40940</c:v>
                </c:pt>
                <c:pt idx="99">
                  <c:v>40969</c:v>
                </c:pt>
                <c:pt idx="100">
                  <c:v>41000</c:v>
                </c:pt>
                <c:pt idx="101">
                  <c:v>41030</c:v>
                </c:pt>
                <c:pt idx="102">
                  <c:v>41061</c:v>
                </c:pt>
                <c:pt idx="103">
                  <c:v>41091</c:v>
                </c:pt>
                <c:pt idx="104">
                  <c:v>41122</c:v>
                </c:pt>
                <c:pt idx="105">
                  <c:v>41153</c:v>
                </c:pt>
                <c:pt idx="106">
                  <c:v>41183</c:v>
                </c:pt>
                <c:pt idx="107">
                  <c:v>41214</c:v>
                </c:pt>
                <c:pt idx="108">
                  <c:v>41244</c:v>
                </c:pt>
                <c:pt idx="109">
                  <c:v>41275</c:v>
                </c:pt>
                <c:pt idx="110">
                  <c:v>41306</c:v>
                </c:pt>
                <c:pt idx="111">
                  <c:v>41334</c:v>
                </c:pt>
                <c:pt idx="112">
                  <c:v>41365</c:v>
                </c:pt>
                <c:pt idx="113">
                  <c:v>41395</c:v>
                </c:pt>
                <c:pt idx="114">
                  <c:v>41426</c:v>
                </c:pt>
                <c:pt idx="115">
                  <c:v>41456</c:v>
                </c:pt>
                <c:pt idx="116">
                  <c:v>41487</c:v>
                </c:pt>
                <c:pt idx="117">
                  <c:v>41518</c:v>
                </c:pt>
                <c:pt idx="118">
                  <c:v>41548</c:v>
                </c:pt>
                <c:pt idx="119">
                  <c:v>41579</c:v>
                </c:pt>
                <c:pt idx="120">
                  <c:v>41609</c:v>
                </c:pt>
                <c:pt idx="121">
                  <c:v>41640</c:v>
                </c:pt>
                <c:pt idx="122">
                  <c:v>41671</c:v>
                </c:pt>
                <c:pt idx="123">
                  <c:v>41699</c:v>
                </c:pt>
                <c:pt idx="124">
                  <c:v>41730</c:v>
                </c:pt>
                <c:pt idx="125">
                  <c:v>41760</c:v>
                </c:pt>
                <c:pt idx="126">
                  <c:v>41791</c:v>
                </c:pt>
                <c:pt idx="127">
                  <c:v>41821</c:v>
                </c:pt>
                <c:pt idx="128">
                  <c:v>41852</c:v>
                </c:pt>
                <c:pt idx="129">
                  <c:v>41883</c:v>
                </c:pt>
                <c:pt idx="130">
                  <c:v>41913</c:v>
                </c:pt>
                <c:pt idx="131">
                  <c:v>41944</c:v>
                </c:pt>
                <c:pt idx="132">
                  <c:v>41974</c:v>
                </c:pt>
                <c:pt idx="133">
                  <c:v>42005</c:v>
                </c:pt>
                <c:pt idx="134">
                  <c:v>42036</c:v>
                </c:pt>
                <c:pt idx="135">
                  <c:v>42064</c:v>
                </c:pt>
                <c:pt idx="136">
                  <c:v>42095</c:v>
                </c:pt>
                <c:pt idx="137">
                  <c:v>42125</c:v>
                </c:pt>
                <c:pt idx="138">
                  <c:v>42156</c:v>
                </c:pt>
                <c:pt idx="139">
                  <c:v>42186</c:v>
                </c:pt>
                <c:pt idx="140">
                  <c:v>42217</c:v>
                </c:pt>
                <c:pt idx="141">
                  <c:v>42248</c:v>
                </c:pt>
                <c:pt idx="142">
                  <c:v>42278</c:v>
                </c:pt>
                <c:pt idx="143">
                  <c:v>42309</c:v>
                </c:pt>
                <c:pt idx="144">
                  <c:v>42339</c:v>
                </c:pt>
                <c:pt idx="145">
                  <c:v>42370</c:v>
                </c:pt>
                <c:pt idx="146">
                  <c:v>42401</c:v>
                </c:pt>
                <c:pt idx="147">
                  <c:v>42430</c:v>
                </c:pt>
                <c:pt idx="148">
                  <c:v>42461</c:v>
                </c:pt>
                <c:pt idx="149">
                  <c:v>42491</c:v>
                </c:pt>
                <c:pt idx="150">
                  <c:v>42522</c:v>
                </c:pt>
                <c:pt idx="151">
                  <c:v>42552</c:v>
                </c:pt>
                <c:pt idx="152">
                  <c:v>42583</c:v>
                </c:pt>
                <c:pt idx="153">
                  <c:v>42614</c:v>
                </c:pt>
                <c:pt idx="154">
                  <c:v>42644</c:v>
                </c:pt>
                <c:pt idx="155">
                  <c:v>42675</c:v>
                </c:pt>
                <c:pt idx="156">
                  <c:v>42705</c:v>
                </c:pt>
                <c:pt idx="157">
                  <c:v>42736</c:v>
                </c:pt>
                <c:pt idx="158">
                  <c:v>42767</c:v>
                </c:pt>
                <c:pt idx="159">
                  <c:v>42795</c:v>
                </c:pt>
                <c:pt idx="160">
                  <c:v>42826</c:v>
                </c:pt>
                <c:pt idx="161">
                  <c:v>42856</c:v>
                </c:pt>
                <c:pt idx="162">
                  <c:v>42887</c:v>
                </c:pt>
                <c:pt idx="163">
                  <c:v>42917</c:v>
                </c:pt>
                <c:pt idx="164">
                  <c:v>42948</c:v>
                </c:pt>
              </c:numCache>
            </c:numRef>
          </c:xVal>
          <c:yVal>
            <c:numRef>
              <c:f>'PPI Trans'!$B$12:$B$176</c:f>
              <c:numCache>
                <c:formatCode>0.0</c:formatCode>
                <c:ptCount val="165"/>
                <c:pt idx="0">
                  <c:v>100</c:v>
                </c:pt>
                <c:pt idx="1">
                  <c:v>102.2</c:v>
                </c:pt>
                <c:pt idx="2">
                  <c:v>102.1</c:v>
                </c:pt>
                <c:pt idx="3">
                  <c:v>101.8</c:v>
                </c:pt>
                <c:pt idx="4">
                  <c:v>101.6</c:v>
                </c:pt>
                <c:pt idx="5">
                  <c:v>102.8</c:v>
                </c:pt>
                <c:pt idx="6">
                  <c:v>101.9</c:v>
                </c:pt>
                <c:pt idx="7">
                  <c:v>100.9</c:v>
                </c:pt>
                <c:pt idx="8">
                  <c:v>100.8</c:v>
                </c:pt>
                <c:pt idx="9">
                  <c:v>101.9</c:v>
                </c:pt>
                <c:pt idx="10">
                  <c:v>98.6</c:v>
                </c:pt>
                <c:pt idx="11">
                  <c:v>99.3</c:v>
                </c:pt>
                <c:pt idx="12">
                  <c:v>103.1</c:v>
                </c:pt>
                <c:pt idx="13">
                  <c:v>101.5</c:v>
                </c:pt>
                <c:pt idx="14">
                  <c:v>101.6</c:v>
                </c:pt>
                <c:pt idx="15">
                  <c:v>101.3</c:v>
                </c:pt>
                <c:pt idx="16">
                  <c:v>102.5</c:v>
                </c:pt>
                <c:pt idx="17">
                  <c:v>102.3</c:v>
                </c:pt>
                <c:pt idx="18">
                  <c:v>103.5</c:v>
                </c:pt>
                <c:pt idx="19">
                  <c:v>102.7</c:v>
                </c:pt>
                <c:pt idx="20">
                  <c:v>99.7</c:v>
                </c:pt>
                <c:pt idx="21">
                  <c:v>99.8</c:v>
                </c:pt>
                <c:pt idx="22">
                  <c:v>99.6</c:v>
                </c:pt>
                <c:pt idx="23">
                  <c:v>99.9</c:v>
                </c:pt>
                <c:pt idx="24">
                  <c:v>101.3</c:v>
                </c:pt>
                <c:pt idx="25">
                  <c:v>101.9</c:v>
                </c:pt>
                <c:pt idx="26">
                  <c:v>104</c:v>
                </c:pt>
                <c:pt idx="27">
                  <c:v>104.2</c:v>
                </c:pt>
                <c:pt idx="28">
                  <c:v>103.2</c:v>
                </c:pt>
                <c:pt idx="29">
                  <c:v>103.8</c:v>
                </c:pt>
                <c:pt idx="30">
                  <c:v>105.2</c:v>
                </c:pt>
                <c:pt idx="31">
                  <c:v>104.4</c:v>
                </c:pt>
                <c:pt idx="32">
                  <c:v>101</c:v>
                </c:pt>
                <c:pt idx="33">
                  <c:v>101.9</c:v>
                </c:pt>
                <c:pt idx="34">
                  <c:v>102.1</c:v>
                </c:pt>
                <c:pt idx="35">
                  <c:v>104.2</c:v>
                </c:pt>
                <c:pt idx="36">
                  <c:v>103.9</c:v>
                </c:pt>
                <c:pt idx="37">
                  <c:v>103.2</c:v>
                </c:pt>
                <c:pt idx="38">
                  <c:v>105.1</c:v>
                </c:pt>
                <c:pt idx="39">
                  <c:v>104.8</c:v>
                </c:pt>
                <c:pt idx="40">
                  <c:v>105.3</c:v>
                </c:pt>
                <c:pt idx="41">
                  <c:v>104.5</c:v>
                </c:pt>
                <c:pt idx="42">
                  <c:v>105.7</c:v>
                </c:pt>
                <c:pt idx="43">
                  <c:v>105.6</c:v>
                </c:pt>
                <c:pt idx="44">
                  <c:v>104</c:v>
                </c:pt>
                <c:pt idx="45">
                  <c:v>104.3</c:v>
                </c:pt>
                <c:pt idx="46">
                  <c:v>104.2</c:v>
                </c:pt>
                <c:pt idx="47">
                  <c:v>104.7</c:v>
                </c:pt>
                <c:pt idx="48">
                  <c:v>105.2</c:v>
                </c:pt>
                <c:pt idx="49">
                  <c:v>106.4</c:v>
                </c:pt>
                <c:pt idx="50">
                  <c:v>109.7</c:v>
                </c:pt>
                <c:pt idx="51">
                  <c:v>111</c:v>
                </c:pt>
                <c:pt idx="52">
                  <c:v>110.7</c:v>
                </c:pt>
                <c:pt idx="53">
                  <c:v>114.4</c:v>
                </c:pt>
                <c:pt idx="54">
                  <c:v>114.2</c:v>
                </c:pt>
                <c:pt idx="55">
                  <c:v>114.6</c:v>
                </c:pt>
                <c:pt idx="56">
                  <c:v>107.4</c:v>
                </c:pt>
                <c:pt idx="57">
                  <c:v>108.6</c:v>
                </c:pt>
                <c:pt idx="58">
                  <c:v>109.3</c:v>
                </c:pt>
                <c:pt idx="59">
                  <c:v>110.9</c:v>
                </c:pt>
                <c:pt idx="60">
                  <c:v>111.8</c:v>
                </c:pt>
                <c:pt idx="61">
                  <c:v>109.6</c:v>
                </c:pt>
                <c:pt idx="62">
                  <c:v>109.7</c:v>
                </c:pt>
                <c:pt idx="63">
                  <c:v>112.4</c:v>
                </c:pt>
                <c:pt idx="64">
                  <c:v>113</c:v>
                </c:pt>
                <c:pt idx="65">
                  <c:v>114.8</c:v>
                </c:pt>
                <c:pt idx="66">
                  <c:v>112.6</c:v>
                </c:pt>
                <c:pt idx="67">
                  <c:v>114.7</c:v>
                </c:pt>
                <c:pt idx="68">
                  <c:v>116.5</c:v>
                </c:pt>
                <c:pt idx="69">
                  <c:v>113.8</c:v>
                </c:pt>
                <c:pt idx="70">
                  <c:v>112.3</c:v>
                </c:pt>
                <c:pt idx="71">
                  <c:v>109.8</c:v>
                </c:pt>
                <c:pt idx="72">
                  <c:v>112</c:v>
                </c:pt>
                <c:pt idx="73">
                  <c:v>112.8</c:v>
                </c:pt>
                <c:pt idx="74">
                  <c:v>116.9</c:v>
                </c:pt>
                <c:pt idx="75">
                  <c:v>114.5</c:v>
                </c:pt>
                <c:pt idx="76">
                  <c:v>116.6</c:v>
                </c:pt>
                <c:pt idx="77">
                  <c:v>115.1</c:v>
                </c:pt>
                <c:pt idx="78">
                  <c:v>116.6</c:v>
                </c:pt>
                <c:pt idx="79">
                  <c:v>118.6</c:v>
                </c:pt>
                <c:pt idx="80">
                  <c:v>118</c:v>
                </c:pt>
                <c:pt idx="81">
                  <c:v>116.1</c:v>
                </c:pt>
                <c:pt idx="82">
                  <c:v>117.3</c:v>
                </c:pt>
                <c:pt idx="83">
                  <c:v>118.1</c:v>
                </c:pt>
                <c:pt idx="84">
                  <c:v>122.3</c:v>
                </c:pt>
                <c:pt idx="85">
                  <c:v>122.6</c:v>
                </c:pt>
                <c:pt idx="86">
                  <c:v>125.1</c:v>
                </c:pt>
                <c:pt idx="87">
                  <c:v>128.80000000000001</c:v>
                </c:pt>
                <c:pt idx="88">
                  <c:v>125.9</c:v>
                </c:pt>
                <c:pt idx="89">
                  <c:v>122.5</c:v>
                </c:pt>
                <c:pt idx="90">
                  <c:v>122.7</c:v>
                </c:pt>
                <c:pt idx="91">
                  <c:v>120.7</c:v>
                </c:pt>
                <c:pt idx="92">
                  <c:v>120.7</c:v>
                </c:pt>
                <c:pt idx="93">
                  <c:v>123.4</c:v>
                </c:pt>
                <c:pt idx="94">
                  <c:v>124.7</c:v>
                </c:pt>
                <c:pt idx="95">
                  <c:v>125</c:v>
                </c:pt>
                <c:pt idx="96">
                  <c:v>123.6</c:v>
                </c:pt>
                <c:pt idx="97">
                  <c:v>123.6</c:v>
                </c:pt>
                <c:pt idx="98">
                  <c:v>125.8</c:v>
                </c:pt>
                <c:pt idx="99">
                  <c:v>125.7</c:v>
                </c:pt>
                <c:pt idx="100">
                  <c:v>124.2</c:v>
                </c:pt>
                <c:pt idx="101">
                  <c:v>123.1</c:v>
                </c:pt>
                <c:pt idx="102">
                  <c:v>124.3</c:v>
                </c:pt>
                <c:pt idx="103">
                  <c:v>125.1</c:v>
                </c:pt>
                <c:pt idx="104">
                  <c:v>125.1</c:v>
                </c:pt>
                <c:pt idx="105">
                  <c:v>127.3</c:v>
                </c:pt>
                <c:pt idx="106">
                  <c:v>128.1</c:v>
                </c:pt>
                <c:pt idx="107">
                  <c:v>127.8</c:v>
                </c:pt>
                <c:pt idx="108">
                  <c:v>127.5</c:v>
                </c:pt>
                <c:pt idx="109">
                  <c:v>131.5</c:v>
                </c:pt>
                <c:pt idx="110">
                  <c:v>135.30000000000001</c:v>
                </c:pt>
                <c:pt idx="111">
                  <c:v>134.80000000000001</c:v>
                </c:pt>
                <c:pt idx="112">
                  <c:v>133.5</c:v>
                </c:pt>
                <c:pt idx="113">
                  <c:v>132.1</c:v>
                </c:pt>
                <c:pt idx="114">
                  <c:v>134.5</c:v>
                </c:pt>
                <c:pt idx="115">
                  <c:v>136.19999999999999</c:v>
                </c:pt>
                <c:pt idx="116">
                  <c:v>136.6</c:v>
                </c:pt>
                <c:pt idx="117">
                  <c:v>136.6</c:v>
                </c:pt>
                <c:pt idx="118">
                  <c:v>141.1</c:v>
                </c:pt>
                <c:pt idx="119">
                  <c:v>139.19999999999999</c:v>
                </c:pt>
                <c:pt idx="120">
                  <c:v>137.19999999999999</c:v>
                </c:pt>
                <c:pt idx="121">
                  <c:v>142.19999999999999</c:v>
                </c:pt>
                <c:pt idx="122">
                  <c:v>143.9</c:v>
                </c:pt>
                <c:pt idx="123">
                  <c:v>142.6</c:v>
                </c:pt>
                <c:pt idx="124">
                  <c:v>147</c:v>
                </c:pt>
                <c:pt idx="125">
                  <c:v>145.4</c:v>
                </c:pt>
                <c:pt idx="126">
                  <c:v>150.1</c:v>
                </c:pt>
                <c:pt idx="127">
                  <c:v>149.5</c:v>
                </c:pt>
                <c:pt idx="128">
                  <c:v>149.69999999999999</c:v>
                </c:pt>
                <c:pt idx="129">
                  <c:v>147.6</c:v>
                </c:pt>
                <c:pt idx="130">
                  <c:v>148.30000000000001</c:v>
                </c:pt>
                <c:pt idx="131">
                  <c:v>147</c:v>
                </c:pt>
                <c:pt idx="132">
                  <c:v>145.5</c:v>
                </c:pt>
                <c:pt idx="133">
                  <c:v>150.69999999999999</c:v>
                </c:pt>
                <c:pt idx="134">
                  <c:v>152.5</c:v>
                </c:pt>
                <c:pt idx="135">
                  <c:v>151.80000000000001</c:v>
                </c:pt>
                <c:pt idx="136">
                  <c:v>151.80000000000001</c:v>
                </c:pt>
                <c:pt idx="137">
                  <c:v>151.1</c:v>
                </c:pt>
                <c:pt idx="138">
                  <c:v>151.19999999999999</c:v>
                </c:pt>
                <c:pt idx="139">
                  <c:v>152.69999999999999</c:v>
                </c:pt>
                <c:pt idx="140">
                  <c:v>153.4</c:v>
                </c:pt>
                <c:pt idx="141">
                  <c:v>154.6</c:v>
                </c:pt>
                <c:pt idx="142">
                  <c:v>157.4</c:v>
                </c:pt>
                <c:pt idx="143">
                  <c:v>155.4</c:v>
                </c:pt>
                <c:pt idx="144">
                  <c:v>155.1</c:v>
                </c:pt>
                <c:pt idx="145">
                  <c:v>159.19999999999999</c:v>
                </c:pt>
                <c:pt idx="146">
                  <c:v>159.4</c:v>
                </c:pt>
                <c:pt idx="147">
                  <c:v>157.1</c:v>
                </c:pt>
                <c:pt idx="148">
                  <c:v>157.19999999999999</c:v>
                </c:pt>
                <c:pt idx="149">
                  <c:v>153.80000000000001</c:v>
                </c:pt>
                <c:pt idx="150">
                  <c:v>154.5</c:v>
                </c:pt>
                <c:pt idx="151">
                  <c:v>157.5</c:v>
                </c:pt>
                <c:pt idx="152">
                  <c:v>157.80000000000001</c:v>
                </c:pt>
                <c:pt idx="153">
                  <c:v>157.80000000000001</c:v>
                </c:pt>
                <c:pt idx="154">
                  <c:v>158.69999999999999</c:v>
                </c:pt>
                <c:pt idx="155">
                  <c:v>158.4</c:v>
                </c:pt>
                <c:pt idx="156">
                  <c:v>157.80000000000001</c:v>
                </c:pt>
                <c:pt idx="157">
                  <c:v>159.19999999999999</c:v>
                </c:pt>
                <c:pt idx="158">
                  <c:v>158.5</c:v>
                </c:pt>
                <c:pt idx="159">
                  <c:v>158.6</c:v>
                </c:pt>
                <c:pt idx="160">
                  <c:v>160.6</c:v>
                </c:pt>
                <c:pt idx="161">
                  <c:v>160.4</c:v>
                </c:pt>
                <c:pt idx="162">
                  <c:v>163.9</c:v>
                </c:pt>
                <c:pt idx="163">
                  <c:v>164.7</c:v>
                </c:pt>
                <c:pt idx="164">
                  <c:v>163.80000000000001</c:v>
                </c:pt>
              </c:numCache>
            </c:numRef>
          </c:yVal>
          <c:smooth val="0"/>
        </c:ser>
        <c:dLbls>
          <c:showLegendKey val="0"/>
          <c:showVal val="0"/>
          <c:showCatName val="0"/>
          <c:showSerName val="0"/>
          <c:showPercent val="0"/>
          <c:showBubbleSize val="0"/>
        </c:dLbls>
        <c:axId val="469973728"/>
        <c:axId val="469979216"/>
      </c:scatterChart>
      <c:valAx>
        <c:axId val="469973728"/>
        <c:scaling>
          <c:orientation val="minMax"/>
        </c:scaling>
        <c:delete val="0"/>
        <c:axPos val="b"/>
        <c:majorGridlines>
          <c:spPr>
            <a:ln w="9525" cap="flat" cmpd="sng" algn="ctr">
              <a:solidFill>
                <a:schemeClr val="tx1">
                  <a:lumMod val="15000"/>
                  <a:lumOff val="85000"/>
                </a:schemeClr>
              </a:solidFill>
              <a:round/>
            </a:ln>
            <a:effectLst/>
          </c:spPr>
        </c:majorGridlines>
        <c:numFmt formatCode="yyyy\-mm\-dd"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79216"/>
        <c:crosses val="autoZero"/>
        <c:crossBetween val="midCat"/>
      </c:valAx>
      <c:valAx>
        <c:axId val="4699792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7372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'PPI Distr'!$B$11</c:f>
              <c:strCache>
                <c:ptCount val="1"/>
                <c:pt idx="0">
                  <c:v>PCU221122221122</c:v>
                </c:pt>
              </c:strCache>
            </c:strRef>
          </c:tx>
          <c:spPr>
            <a:ln w="28575" cap="rnd">
              <a:noFill/>
              <a:round/>
            </a:ln>
            <a:effectLst/>
          </c:spPr>
          <c:marker>
            <c:symbol val="circle"/>
            <c:size val="5"/>
            <c:spPr>
              <a:solidFill>
                <a:schemeClr val="accent1"/>
              </a:solidFill>
              <a:ln w="9525">
                <a:solidFill>
                  <a:schemeClr val="accent1"/>
                </a:solidFill>
              </a:ln>
              <a:effectLst/>
            </c:spPr>
          </c:marker>
          <c:xVal>
            <c:numRef>
              <c:f>'PPI Distr'!$A$12:$A$176</c:f>
              <c:numCache>
                <c:formatCode>yyyy\-mm\-dd</c:formatCode>
                <c:ptCount val="165"/>
                <c:pt idx="0">
                  <c:v>37956</c:v>
                </c:pt>
                <c:pt idx="1">
                  <c:v>37987</c:v>
                </c:pt>
                <c:pt idx="2">
                  <c:v>38018</c:v>
                </c:pt>
                <c:pt idx="3">
                  <c:v>38047</c:v>
                </c:pt>
                <c:pt idx="4">
                  <c:v>38078</c:v>
                </c:pt>
                <c:pt idx="5">
                  <c:v>38108</c:v>
                </c:pt>
                <c:pt idx="6">
                  <c:v>38139</c:v>
                </c:pt>
                <c:pt idx="7">
                  <c:v>38169</c:v>
                </c:pt>
                <c:pt idx="8">
                  <c:v>38200</c:v>
                </c:pt>
                <c:pt idx="9">
                  <c:v>38231</c:v>
                </c:pt>
                <c:pt idx="10">
                  <c:v>38261</c:v>
                </c:pt>
                <c:pt idx="11">
                  <c:v>38292</c:v>
                </c:pt>
                <c:pt idx="12">
                  <c:v>38322</c:v>
                </c:pt>
                <c:pt idx="13">
                  <c:v>38353</c:v>
                </c:pt>
                <c:pt idx="14">
                  <c:v>38384</c:v>
                </c:pt>
                <c:pt idx="15">
                  <c:v>38412</c:v>
                </c:pt>
                <c:pt idx="16">
                  <c:v>38443</c:v>
                </c:pt>
                <c:pt idx="17">
                  <c:v>38473</c:v>
                </c:pt>
                <c:pt idx="18">
                  <c:v>38504</c:v>
                </c:pt>
                <c:pt idx="19">
                  <c:v>38534</c:v>
                </c:pt>
                <c:pt idx="20">
                  <c:v>38565</c:v>
                </c:pt>
                <c:pt idx="21">
                  <c:v>38596</c:v>
                </c:pt>
                <c:pt idx="22">
                  <c:v>38626</c:v>
                </c:pt>
                <c:pt idx="23">
                  <c:v>38657</c:v>
                </c:pt>
                <c:pt idx="24">
                  <c:v>38687</c:v>
                </c:pt>
                <c:pt idx="25">
                  <c:v>38718</c:v>
                </c:pt>
                <c:pt idx="26">
                  <c:v>38749</c:v>
                </c:pt>
                <c:pt idx="27">
                  <c:v>38777</c:v>
                </c:pt>
                <c:pt idx="28">
                  <c:v>38808</c:v>
                </c:pt>
                <c:pt idx="29">
                  <c:v>38838</c:v>
                </c:pt>
                <c:pt idx="30">
                  <c:v>38869</c:v>
                </c:pt>
                <c:pt idx="31">
                  <c:v>38899</c:v>
                </c:pt>
                <c:pt idx="32">
                  <c:v>38930</c:v>
                </c:pt>
                <c:pt idx="33">
                  <c:v>38961</c:v>
                </c:pt>
                <c:pt idx="34">
                  <c:v>38991</c:v>
                </c:pt>
                <c:pt idx="35">
                  <c:v>39022</c:v>
                </c:pt>
                <c:pt idx="36">
                  <c:v>39052</c:v>
                </c:pt>
                <c:pt idx="37">
                  <c:v>39083</c:v>
                </c:pt>
                <c:pt idx="38">
                  <c:v>39114</c:v>
                </c:pt>
                <c:pt idx="39">
                  <c:v>39142</c:v>
                </c:pt>
                <c:pt idx="40">
                  <c:v>39173</c:v>
                </c:pt>
                <c:pt idx="41">
                  <c:v>39203</c:v>
                </c:pt>
                <c:pt idx="42">
                  <c:v>39234</c:v>
                </c:pt>
                <c:pt idx="43">
                  <c:v>39264</c:v>
                </c:pt>
                <c:pt idx="44">
                  <c:v>39295</c:v>
                </c:pt>
                <c:pt idx="45">
                  <c:v>39326</c:v>
                </c:pt>
                <c:pt idx="46">
                  <c:v>39356</c:v>
                </c:pt>
                <c:pt idx="47">
                  <c:v>39387</c:v>
                </c:pt>
                <c:pt idx="48">
                  <c:v>39417</c:v>
                </c:pt>
                <c:pt idx="49">
                  <c:v>39448</c:v>
                </c:pt>
                <c:pt idx="50">
                  <c:v>39479</c:v>
                </c:pt>
                <c:pt idx="51">
                  <c:v>39508</c:v>
                </c:pt>
                <c:pt idx="52">
                  <c:v>39539</c:v>
                </c:pt>
                <c:pt idx="53">
                  <c:v>39569</c:v>
                </c:pt>
                <c:pt idx="54">
                  <c:v>39600</c:v>
                </c:pt>
                <c:pt idx="55">
                  <c:v>39630</c:v>
                </c:pt>
                <c:pt idx="56">
                  <c:v>39661</c:v>
                </c:pt>
                <c:pt idx="57">
                  <c:v>39692</c:v>
                </c:pt>
                <c:pt idx="58">
                  <c:v>39722</c:v>
                </c:pt>
                <c:pt idx="59">
                  <c:v>39753</c:v>
                </c:pt>
                <c:pt idx="60">
                  <c:v>39783</c:v>
                </c:pt>
                <c:pt idx="61">
                  <c:v>39814</c:v>
                </c:pt>
                <c:pt idx="62">
                  <c:v>39845</c:v>
                </c:pt>
                <c:pt idx="63">
                  <c:v>39873</c:v>
                </c:pt>
                <c:pt idx="64">
                  <c:v>39904</c:v>
                </c:pt>
                <c:pt idx="65">
                  <c:v>39934</c:v>
                </c:pt>
                <c:pt idx="66">
                  <c:v>39965</c:v>
                </c:pt>
                <c:pt idx="67">
                  <c:v>39995</c:v>
                </c:pt>
                <c:pt idx="68">
                  <c:v>40026</c:v>
                </c:pt>
                <c:pt idx="69">
                  <c:v>40057</c:v>
                </c:pt>
                <c:pt idx="70">
                  <c:v>40087</c:v>
                </c:pt>
                <c:pt idx="71">
                  <c:v>40118</c:v>
                </c:pt>
                <c:pt idx="72">
                  <c:v>40148</c:v>
                </c:pt>
                <c:pt idx="73">
                  <c:v>40179</c:v>
                </c:pt>
                <c:pt idx="74">
                  <c:v>40210</c:v>
                </c:pt>
                <c:pt idx="75">
                  <c:v>40238</c:v>
                </c:pt>
                <c:pt idx="76">
                  <c:v>40269</c:v>
                </c:pt>
                <c:pt idx="77">
                  <c:v>40299</c:v>
                </c:pt>
                <c:pt idx="78">
                  <c:v>40330</c:v>
                </c:pt>
                <c:pt idx="79">
                  <c:v>40360</c:v>
                </c:pt>
                <c:pt idx="80">
                  <c:v>40391</c:v>
                </c:pt>
                <c:pt idx="81">
                  <c:v>40422</c:v>
                </c:pt>
                <c:pt idx="82">
                  <c:v>40452</c:v>
                </c:pt>
                <c:pt idx="83">
                  <c:v>40483</c:v>
                </c:pt>
                <c:pt idx="84">
                  <c:v>40513</c:v>
                </c:pt>
                <c:pt idx="85">
                  <c:v>40544</c:v>
                </c:pt>
                <c:pt idx="86">
                  <c:v>40575</c:v>
                </c:pt>
                <c:pt idx="87">
                  <c:v>40603</c:v>
                </c:pt>
                <c:pt idx="88">
                  <c:v>40634</c:v>
                </c:pt>
                <c:pt idx="89">
                  <c:v>40664</c:v>
                </c:pt>
                <c:pt idx="90">
                  <c:v>40695</c:v>
                </c:pt>
                <c:pt idx="91">
                  <c:v>40725</c:v>
                </c:pt>
                <c:pt idx="92">
                  <c:v>40756</c:v>
                </c:pt>
                <c:pt idx="93">
                  <c:v>40787</c:v>
                </c:pt>
                <c:pt idx="94">
                  <c:v>40817</c:v>
                </c:pt>
                <c:pt idx="95">
                  <c:v>40848</c:v>
                </c:pt>
                <c:pt idx="96">
                  <c:v>40878</c:v>
                </c:pt>
                <c:pt idx="97">
                  <c:v>40909</c:v>
                </c:pt>
                <c:pt idx="98">
                  <c:v>40940</c:v>
                </c:pt>
                <c:pt idx="99">
                  <c:v>40969</c:v>
                </c:pt>
                <c:pt idx="100">
                  <c:v>41000</c:v>
                </c:pt>
                <c:pt idx="101">
                  <c:v>41030</c:v>
                </c:pt>
                <c:pt idx="102">
                  <c:v>41061</c:v>
                </c:pt>
                <c:pt idx="103">
                  <c:v>41091</c:v>
                </c:pt>
                <c:pt idx="104">
                  <c:v>41122</c:v>
                </c:pt>
                <c:pt idx="105">
                  <c:v>41153</c:v>
                </c:pt>
                <c:pt idx="106">
                  <c:v>41183</c:v>
                </c:pt>
                <c:pt idx="107">
                  <c:v>41214</c:v>
                </c:pt>
                <c:pt idx="108">
                  <c:v>41244</c:v>
                </c:pt>
                <c:pt idx="109">
                  <c:v>41275</c:v>
                </c:pt>
                <c:pt idx="110">
                  <c:v>41306</c:v>
                </c:pt>
                <c:pt idx="111">
                  <c:v>41334</c:v>
                </c:pt>
                <c:pt idx="112">
                  <c:v>41365</c:v>
                </c:pt>
                <c:pt idx="113">
                  <c:v>41395</c:v>
                </c:pt>
                <c:pt idx="114">
                  <c:v>41426</c:v>
                </c:pt>
                <c:pt idx="115">
                  <c:v>41456</c:v>
                </c:pt>
                <c:pt idx="116">
                  <c:v>41487</c:v>
                </c:pt>
                <c:pt idx="117">
                  <c:v>41518</c:v>
                </c:pt>
                <c:pt idx="118">
                  <c:v>41548</c:v>
                </c:pt>
                <c:pt idx="119">
                  <c:v>41579</c:v>
                </c:pt>
                <c:pt idx="120">
                  <c:v>41609</c:v>
                </c:pt>
                <c:pt idx="121">
                  <c:v>41640</c:v>
                </c:pt>
                <c:pt idx="122">
                  <c:v>41671</c:v>
                </c:pt>
                <c:pt idx="123">
                  <c:v>41699</c:v>
                </c:pt>
                <c:pt idx="124">
                  <c:v>41730</c:v>
                </c:pt>
                <c:pt idx="125">
                  <c:v>41760</c:v>
                </c:pt>
                <c:pt idx="126">
                  <c:v>41791</c:v>
                </c:pt>
                <c:pt idx="127">
                  <c:v>41821</c:v>
                </c:pt>
                <c:pt idx="128">
                  <c:v>41852</c:v>
                </c:pt>
                <c:pt idx="129">
                  <c:v>41883</c:v>
                </c:pt>
                <c:pt idx="130">
                  <c:v>41913</c:v>
                </c:pt>
                <c:pt idx="131">
                  <c:v>41944</c:v>
                </c:pt>
                <c:pt idx="132">
                  <c:v>41974</c:v>
                </c:pt>
                <c:pt idx="133">
                  <c:v>42005</c:v>
                </c:pt>
                <c:pt idx="134">
                  <c:v>42036</c:v>
                </c:pt>
                <c:pt idx="135">
                  <c:v>42064</c:v>
                </c:pt>
                <c:pt idx="136">
                  <c:v>42095</c:v>
                </c:pt>
                <c:pt idx="137">
                  <c:v>42125</c:v>
                </c:pt>
                <c:pt idx="138">
                  <c:v>42156</c:v>
                </c:pt>
                <c:pt idx="139">
                  <c:v>42186</c:v>
                </c:pt>
                <c:pt idx="140">
                  <c:v>42217</c:v>
                </c:pt>
                <c:pt idx="141">
                  <c:v>42248</c:v>
                </c:pt>
                <c:pt idx="142">
                  <c:v>42278</c:v>
                </c:pt>
                <c:pt idx="143">
                  <c:v>42309</c:v>
                </c:pt>
                <c:pt idx="144">
                  <c:v>42339</c:v>
                </c:pt>
                <c:pt idx="145">
                  <c:v>42370</c:v>
                </c:pt>
                <c:pt idx="146">
                  <c:v>42401</c:v>
                </c:pt>
                <c:pt idx="147">
                  <c:v>42430</c:v>
                </c:pt>
                <c:pt idx="148">
                  <c:v>42461</c:v>
                </c:pt>
                <c:pt idx="149">
                  <c:v>42491</c:v>
                </c:pt>
                <c:pt idx="150">
                  <c:v>42522</c:v>
                </c:pt>
                <c:pt idx="151">
                  <c:v>42552</c:v>
                </c:pt>
                <c:pt idx="152">
                  <c:v>42583</c:v>
                </c:pt>
                <c:pt idx="153">
                  <c:v>42614</c:v>
                </c:pt>
                <c:pt idx="154">
                  <c:v>42644</c:v>
                </c:pt>
                <c:pt idx="155">
                  <c:v>42675</c:v>
                </c:pt>
                <c:pt idx="156">
                  <c:v>42705</c:v>
                </c:pt>
                <c:pt idx="157">
                  <c:v>42736</c:v>
                </c:pt>
                <c:pt idx="158">
                  <c:v>42767</c:v>
                </c:pt>
                <c:pt idx="159">
                  <c:v>42795</c:v>
                </c:pt>
                <c:pt idx="160">
                  <c:v>42826</c:v>
                </c:pt>
                <c:pt idx="161">
                  <c:v>42856</c:v>
                </c:pt>
                <c:pt idx="162">
                  <c:v>42887</c:v>
                </c:pt>
                <c:pt idx="163">
                  <c:v>42917</c:v>
                </c:pt>
                <c:pt idx="164">
                  <c:v>42948</c:v>
                </c:pt>
              </c:numCache>
            </c:numRef>
          </c:xVal>
          <c:yVal>
            <c:numRef>
              <c:f>'PPI Distr'!$B$12:$B$176</c:f>
              <c:numCache>
                <c:formatCode>0.0</c:formatCode>
                <c:ptCount val="165"/>
                <c:pt idx="0">
                  <c:v>100</c:v>
                </c:pt>
                <c:pt idx="1">
                  <c:v>100.1</c:v>
                </c:pt>
                <c:pt idx="2">
                  <c:v>100.1</c:v>
                </c:pt>
                <c:pt idx="3">
                  <c:v>100.2</c:v>
                </c:pt>
                <c:pt idx="4">
                  <c:v>100.3</c:v>
                </c:pt>
                <c:pt idx="5">
                  <c:v>101.1</c:v>
                </c:pt>
                <c:pt idx="6">
                  <c:v>104.5</c:v>
                </c:pt>
                <c:pt idx="7">
                  <c:v>104.9</c:v>
                </c:pt>
                <c:pt idx="8">
                  <c:v>105.8</c:v>
                </c:pt>
                <c:pt idx="9">
                  <c:v>105.9</c:v>
                </c:pt>
                <c:pt idx="10">
                  <c:v>103</c:v>
                </c:pt>
                <c:pt idx="11">
                  <c:v>101.9</c:v>
                </c:pt>
                <c:pt idx="12">
                  <c:v>102.3</c:v>
                </c:pt>
                <c:pt idx="13">
                  <c:v>103.3</c:v>
                </c:pt>
                <c:pt idx="14">
                  <c:v>103.1</c:v>
                </c:pt>
                <c:pt idx="15">
                  <c:v>103.3</c:v>
                </c:pt>
                <c:pt idx="16">
                  <c:v>103.5</c:v>
                </c:pt>
                <c:pt idx="17">
                  <c:v>104.6</c:v>
                </c:pt>
                <c:pt idx="18">
                  <c:v>108.7</c:v>
                </c:pt>
                <c:pt idx="19">
                  <c:v>109.9</c:v>
                </c:pt>
                <c:pt idx="20">
                  <c:v>110.3</c:v>
                </c:pt>
                <c:pt idx="21">
                  <c:v>110.5</c:v>
                </c:pt>
                <c:pt idx="22">
                  <c:v>109.3</c:v>
                </c:pt>
                <c:pt idx="23">
                  <c:v>109.1</c:v>
                </c:pt>
                <c:pt idx="24">
                  <c:v>109.4</c:v>
                </c:pt>
                <c:pt idx="25">
                  <c:v>112.7</c:v>
                </c:pt>
                <c:pt idx="26">
                  <c:v>113.2</c:v>
                </c:pt>
                <c:pt idx="27">
                  <c:v>112.7</c:v>
                </c:pt>
                <c:pt idx="28">
                  <c:v>113.4</c:v>
                </c:pt>
                <c:pt idx="29">
                  <c:v>114.1</c:v>
                </c:pt>
                <c:pt idx="30">
                  <c:v>118.1</c:v>
                </c:pt>
                <c:pt idx="31">
                  <c:v>118.7</c:v>
                </c:pt>
                <c:pt idx="32">
                  <c:v>118.4</c:v>
                </c:pt>
                <c:pt idx="33">
                  <c:v>118.9</c:v>
                </c:pt>
                <c:pt idx="34">
                  <c:v>115</c:v>
                </c:pt>
                <c:pt idx="35">
                  <c:v>112.6</c:v>
                </c:pt>
                <c:pt idx="36">
                  <c:v>112.9</c:v>
                </c:pt>
                <c:pt idx="37">
                  <c:v>114.6</c:v>
                </c:pt>
                <c:pt idx="38">
                  <c:v>115.7</c:v>
                </c:pt>
                <c:pt idx="39">
                  <c:v>114.9</c:v>
                </c:pt>
                <c:pt idx="40">
                  <c:v>115.5</c:v>
                </c:pt>
                <c:pt idx="41">
                  <c:v>117.8</c:v>
                </c:pt>
                <c:pt idx="42">
                  <c:v>122.3</c:v>
                </c:pt>
                <c:pt idx="43">
                  <c:v>122.9</c:v>
                </c:pt>
                <c:pt idx="44">
                  <c:v>122.9</c:v>
                </c:pt>
                <c:pt idx="45">
                  <c:v>123.2</c:v>
                </c:pt>
                <c:pt idx="46">
                  <c:v>119.8</c:v>
                </c:pt>
                <c:pt idx="47">
                  <c:v>118.2</c:v>
                </c:pt>
                <c:pt idx="48">
                  <c:v>118.4</c:v>
                </c:pt>
                <c:pt idx="49">
                  <c:v>119.6</c:v>
                </c:pt>
                <c:pt idx="50">
                  <c:v>119</c:v>
                </c:pt>
                <c:pt idx="51">
                  <c:v>120.1</c:v>
                </c:pt>
                <c:pt idx="52">
                  <c:v>121.3</c:v>
                </c:pt>
                <c:pt idx="53">
                  <c:v>123.4</c:v>
                </c:pt>
                <c:pt idx="54">
                  <c:v>127</c:v>
                </c:pt>
                <c:pt idx="55">
                  <c:v>129.69999999999999</c:v>
                </c:pt>
                <c:pt idx="56">
                  <c:v>130</c:v>
                </c:pt>
                <c:pt idx="57">
                  <c:v>129.6</c:v>
                </c:pt>
                <c:pt idx="58">
                  <c:v>127.4</c:v>
                </c:pt>
                <c:pt idx="59">
                  <c:v>125.1</c:v>
                </c:pt>
                <c:pt idx="60">
                  <c:v>125.4</c:v>
                </c:pt>
                <c:pt idx="61">
                  <c:v>126.7</c:v>
                </c:pt>
                <c:pt idx="62">
                  <c:v>127</c:v>
                </c:pt>
                <c:pt idx="63">
                  <c:v>126</c:v>
                </c:pt>
                <c:pt idx="64">
                  <c:v>125.8</c:v>
                </c:pt>
                <c:pt idx="65">
                  <c:v>127.5</c:v>
                </c:pt>
                <c:pt idx="66">
                  <c:v>129.5</c:v>
                </c:pt>
                <c:pt idx="67">
                  <c:v>131</c:v>
                </c:pt>
                <c:pt idx="68">
                  <c:v>130.4</c:v>
                </c:pt>
                <c:pt idx="69">
                  <c:v>130.5</c:v>
                </c:pt>
                <c:pt idx="70">
                  <c:v>127.2</c:v>
                </c:pt>
                <c:pt idx="71">
                  <c:v>125.4</c:v>
                </c:pt>
                <c:pt idx="72">
                  <c:v>125.5</c:v>
                </c:pt>
                <c:pt idx="73">
                  <c:v>125.9</c:v>
                </c:pt>
                <c:pt idx="74">
                  <c:v>126.4</c:v>
                </c:pt>
                <c:pt idx="75">
                  <c:v>127.7</c:v>
                </c:pt>
                <c:pt idx="76">
                  <c:v>128.30000000000001</c:v>
                </c:pt>
                <c:pt idx="77">
                  <c:v>129.6</c:v>
                </c:pt>
                <c:pt idx="78">
                  <c:v>134.4</c:v>
                </c:pt>
                <c:pt idx="79">
                  <c:v>135.5</c:v>
                </c:pt>
                <c:pt idx="80">
                  <c:v>135.6</c:v>
                </c:pt>
                <c:pt idx="81">
                  <c:v>135.5</c:v>
                </c:pt>
                <c:pt idx="82">
                  <c:v>130.9</c:v>
                </c:pt>
                <c:pt idx="83">
                  <c:v>128.30000000000001</c:v>
                </c:pt>
                <c:pt idx="84">
                  <c:v>128.9</c:v>
                </c:pt>
                <c:pt idx="85">
                  <c:v>130</c:v>
                </c:pt>
                <c:pt idx="86">
                  <c:v>130.80000000000001</c:v>
                </c:pt>
                <c:pt idx="87">
                  <c:v>131.1</c:v>
                </c:pt>
                <c:pt idx="88">
                  <c:v>131.1</c:v>
                </c:pt>
                <c:pt idx="89">
                  <c:v>133</c:v>
                </c:pt>
                <c:pt idx="90">
                  <c:v>136.19999999999999</c:v>
                </c:pt>
                <c:pt idx="91">
                  <c:v>137.9</c:v>
                </c:pt>
                <c:pt idx="92">
                  <c:v>138.4</c:v>
                </c:pt>
                <c:pt idx="93">
                  <c:v>138</c:v>
                </c:pt>
                <c:pt idx="94">
                  <c:v>134.9</c:v>
                </c:pt>
                <c:pt idx="95">
                  <c:v>132.5</c:v>
                </c:pt>
                <c:pt idx="96">
                  <c:v>132.9</c:v>
                </c:pt>
                <c:pt idx="97">
                  <c:v>132.4</c:v>
                </c:pt>
                <c:pt idx="98">
                  <c:v>132.5</c:v>
                </c:pt>
                <c:pt idx="99">
                  <c:v>132.1</c:v>
                </c:pt>
                <c:pt idx="100">
                  <c:v>132</c:v>
                </c:pt>
                <c:pt idx="101">
                  <c:v>134</c:v>
                </c:pt>
                <c:pt idx="102">
                  <c:v>136.6</c:v>
                </c:pt>
                <c:pt idx="103">
                  <c:v>139.19999999999999</c:v>
                </c:pt>
                <c:pt idx="104">
                  <c:v>139.19999999999999</c:v>
                </c:pt>
                <c:pt idx="105">
                  <c:v>139.6</c:v>
                </c:pt>
                <c:pt idx="106">
                  <c:v>135.9</c:v>
                </c:pt>
                <c:pt idx="107">
                  <c:v>134.5</c:v>
                </c:pt>
                <c:pt idx="108">
                  <c:v>135.5</c:v>
                </c:pt>
                <c:pt idx="109">
                  <c:v>134.6</c:v>
                </c:pt>
                <c:pt idx="110">
                  <c:v>134.30000000000001</c:v>
                </c:pt>
                <c:pt idx="111">
                  <c:v>134.4</c:v>
                </c:pt>
                <c:pt idx="112">
                  <c:v>134.19999999999999</c:v>
                </c:pt>
                <c:pt idx="113">
                  <c:v>136.4</c:v>
                </c:pt>
                <c:pt idx="114">
                  <c:v>140.19999999999999</c:v>
                </c:pt>
                <c:pt idx="115">
                  <c:v>140.9</c:v>
                </c:pt>
                <c:pt idx="116">
                  <c:v>140.69999999999999</c:v>
                </c:pt>
                <c:pt idx="117">
                  <c:v>140.80000000000001</c:v>
                </c:pt>
                <c:pt idx="118">
                  <c:v>137.1</c:v>
                </c:pt>
                <c:pt idx="119">
                  <c:v>135.30000000000001</c:v>
                </c:pt>
                <c:pt idx="120">
                  <c:v>135.9</c:v>
                </c:pt>
                <c:pt idx="121">
                  <c:v>138.69999999999999</c:v>
                </c:pt>
                <c:pt idx="122">
                  <c:v>137.69999999999999</c:v>
                </c:pt>
                <c:pt idx="123">
                  <c:v>139.69999999999999</c:v>
                </c:pt>
                <c:pt idx="124">
                  <c:v>139</c:v>
                </c:pt>
                <c:pt idx="125">
                  <c:v>141.30000000000001</c:v>
                </c:pt>
                <c:pt idx="126">
                  <c:v>145.6</c:v>
                </c:pt>
                <c:pt idx="127">
                  <c:v>146.69999999999999</c:v>
                </c:pt>
                <c:pt idx="128">
                  <c:v>147.1</c:v>
                </c:pt>
                <c:pt idx="129">
                  <c:v>146.6</c:v>
                </c:pt>
                <c:pt idx="130">
                  <c:v>143.19999999999999</c:v>
                </c:pt>
                <c:pt idx="131">
                  <c:v>139.9</c:v>
                </c:pt>
                <c:pt idx="132">
                  <c:v>140.5</c:v>
                </c:pt>
                <c:pt idx="133">
                  <c:v>142.80000000000001</c:v>
                </c:pt>
                <c:pt idx="134">
                  <c:v>142.4</c:v>
                </c:pt>
                <c:pt idx="135">
                  <c:v>142.19999999999999</c:v>
                </c:pt>
                <c:pt idx="136">
                  <c:v>141.1</c:v>
                </c:pt>
                <c:pt idx="137">
                  <c:v>142.6</c:v>
                </c:pt>
                <c:pt idx="138">
                  <c:v>149.30000000000001</c:v>
                </c:pt>
                <c:pt idx="139">
                  <c:v>150</c:v>
                </c:pt>
                <c:pt idx="140">
                  <c:v>149.80000000000001</c:v>
                </c:pt>
                <c:pt idx="141">
                  <c:v>148.9</c:v>
                </c:pt>
                <c:pt idx="142">
                  <c:v>143.19999999999999</c:v>
                </c:pt>
                <c:pt idx="143">
                  <c:v>140.6</c:v>
                </c:pt>
                <c:pt idx="144">
                  <c:v>141</c:v>
                </c:pt>
                <c:pt idx="145">
                  <c:v>139.9</c:v>
                </c:pt>
                <c:pt idx="146">
                  <c:v>138.9</c:v>
                </c:pt>
                <c:pt idx="147">
                  <c:v>140.4</c:v>
                </c:pt>
                <c:pt idx="148">
                  <c:v>138.80000000000001</c:v>
                </c:pt>
                <c:pt idx="149">
                  <c:v>140.6</c:v>
                </c:pt>
                <c:pt idx="150">
                  <c:v>146</c:v>
                </c:pt>
                <c:pt idx="151">
                  <c:v>147.5</c:v>
                </c:pt>
                <c:pt idx="152">
                  <c:v>147.9</c:v>
                </c:pt>
                <c:pt idx="153">
                  <c:v>148.30000000000001</c:v>
                </c:pt>
                <c:pt idx="154">
                  <c:v>143.19999999999999</c:v>
                </c:pt>
                <c:pt idx="155">
                  <c:v>141.30000000000001</c:v>
                </c:pt>
                <c:pt idx="156">
                  <c:v>141.4</c:v>
                </c:pt>
                <c:pt idx="157">
                  <c:v>144.4</c:v>
                </c:pt>
                <c:pt idx="158">
                  <c:v>145.9</c:v>
                </c:pt>
                <c:pt idx="159">
                  <c:v>146.30000000000001</c:v>
                </c:pt>
                <c:pt idx="160">
                  <c:v>145</c:v>
                </c:pt>
                <c:pt idx="161">
                  <c:v>147.69999999999999</c:v>
                </c:pt>
                <c:pt idx="162">
                  <c:v>152.1</c:v>
                </c:pt>
                <c:pt idx="163">
                  <c:v>154.1</c:v>
                </c:pt>
                <c:pt idx="164">
                  <c:v>153.9</c:v>
                </c:pt>
              </c:numCache>
            </c:numRef>
          </c:yVal>
          <c:smooth val="0"/>
        </c:ser>
        <c:dLbls>
          <c:showLegendKey val="0"/>
          <c:showVal val="0"/>
          <c:showCatName val="0"/>
          <c:showSerName val="0"/>
          <c:showPercent val="0"/>
          <c:showBubbleSize val="0"/>
        </c:dLbls>
        <c:axId val="469974904"/>
        <c:axId val="469977256"/>
      </c:scatterChart>
      <c:valAx>
        <c:axId val="469974904"/>
        <c:scaling>
          <c:orientation val="minMax"/>
        </c:scaling>
        <c:delete val="0"/>
        <c:axPos val="b"/>
        <c:majorGridlines>
          <c:spPr>
            <a:ln w="9525" cap="flat" cmpd="sng" algn="ctr">
              <a:solidFill>
                <a:schemeClr val="tx1">
                  <a:lumMod val="15000"/>
                  <a:lumOff val="85000"/>
                </a:schemeClr>
              </a:solidFill>
              <a:round/>
            </a:ln>
            <a:effectLst/>
          </c:spPr>
        </c:majorGridlines>
        <c:numFmt formatCode="yyyy\-mm\-dd"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77256"/>
        <c:crosses val="autoZero"/>
        <c:crossBetween val="midCat"/>
      </c:valAx>
      <c:valAx>
        <c:axId val="4699772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749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57150</xdr:colOff>
      <xdr:row>1</xdr:row>
      <xdr:rowOff>14287</xdr:rowOff>
    </xdr:from>
    <xdr:to>
      <xdr:col>13</xdr:col>
      <xdr:colOff>361950</xdr:colOff>
      <xdr:row>15</xdr:row>
      <xdr:rowOff>90487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76200</xdr:colOff>
      <xdr:row>15</xdr:row>
      <xdr:rowOff>176212</xdr:rowOff>
    </xdr:from>
    <xdr:to>
      <xdr:col>13</xdr:col>
      <xdr:colOff>419100</xdr:colOff>
      <xdr:row>30</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228600</xdr:colOff>
      <xdr:row>0</xdr:row>
      <xdr:rowOff>33337</xdr:rowOff>
    </xdr:from>
    <xdr:to>
      <xdr:col>13</xdr:col>
      <xdr:colOff>533400</xdr:colOff>
      <xdr:row>14</xdr:row>
      <xdr:rowOff>109537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457200</xdr:colOff>
      <xdr:row>5</xdr:row>
      <xdr:rowOff>4762</xdr:rowOff>
    </xdr:from>
    <xdr:to>
      <xdr:col>14</xdr:col>
      <xdr:colOff>152400</xdr:colOff>
      <xdr:row>19</xdr:row>
      <xdr:rowOff>80962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942974</xdr:colOff>
      <xdr:row>31</xdr:row>
      <xdr:rowOff>114300</xdr:rowOff>
    </xdr:from>
    <xdr:to>
      <xdr:col>8</xdr:col>
      <xdr:colOff>209549</xdr:colOff>
      <xdr:row>58</xdr:row>
      <xdr:rowOff>61912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69</xdr:row>
      <xdr:rowOff>61912</xdr:rowOff>
    </xdr:from>
    <xdr:to>
      <xdr:col>6</xdr:col>
      <xdr:colOff>428625</xdr:colOff>
      <xdr:row>86</xdr:row>
      <xdr:rowOff>52387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276225</xdr:colOff>
      <xdr:row>11</xdr:row>
      <xdr:rowOff>9525</xdr:rowOff>
    </xdr:from>
    <xdr:to>
      <xdr:col>8</xdr:col>
      <xdr:colOff>228600</xdr:colOff>
      <xdr:row>41</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581026</xdr:colOff>
      <xdr:row>136</xdr:row>
      <xdr:rowOff>161924</xdr:rowOff>
    </xdr:from>
    <xdr:to>
      <xdr:col>8</xdr:col>
      <xdr:colOff>342900</xdr:colOff>
      <xdr:row>167</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447675</xdr:colOff>
      <xdr:row>136</xdr:row>
      <xdr:rowOff>142875</xdr:rowOff>
    </xdr:from>
    <xdr:to>
      <xdr:col>8</xdr:col>
      <xdr:colOff>428625</xdr:colOff>
      <xdr:row>165</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257175</xdr:colOff>
      <xdr:row>142</xdr:row>
      <xdr:rowOff>9525</xdr:rowOff>
    </xdr:from>
    <xdr:to>
      <xdr:col>8</xdr:col>
      <xdr:colOff>466725</xdr:colOff>
      <xdr:row>167</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m107\TARA\2013%20Misc\2014%20WA%20GRC%20prelim\EREV%20v1%2007%2003%20July%20Load%20Update%20(unadjus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16\2016_WA_Elec_and_Gas_GRC\Data%20Requests\Drafts\Karen\Staff%20DR%2012-Settlement%20Update\Do%20Not%20Send\TTP%20Model%20-%202016%20-%206.29.2016%20(Q2%20TTP%20Upd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v16%20Electric%20Revenue%202012-2016%20-%20Res%20Exchan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WA%20Elec%20Revenue%20-%20wo%20schedule%20shif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2012%20WA%20Electric%20CBR%20Model%20%20(revised%20FI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ket%20notes/2017%20Avista%20GRC/Workpapers/Andrews/Exh%20EMA-4%20K-Factor%20WA%20Electric%20Mode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home.utc.wa.gov/sites/ue-150204/Staff%20Work%20Papers/Attrition%20Adj%20Workpapers/Transmission%20Wheeling%20Revenue%2012ME%2009.201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01m107\c01m107\Liz\2017%20GRC%20INFO\K%20Factor\2013-2016%20K%20Factor-WA%202018%20Nat%20Ga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ket%20notes/2017%20Avista%20GRC/Workpapers/Hancock/Exh%20EMA-8%20K-Factor%20WA%20Gas%20Model%20-%20workign%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Tables"/>
      <sheetName val="Cust Load"/>
      <sheetName val="Unbilled"/>
      <sheetName val="Cal Load"/>
      <sheetName val="Rate Entry"/>
      <sheetName val="Rate Tables"/>
      <sheetName val="Manual Rev"/>
      <sheetName val="GRC"/>
      <sheetName val="Rev"/>
      <sheetName val="V2V"/>
      <sheetName val="EREV v1 07 03 July Load Update "/>
    </sheetNames>
    <sheetDataSet>
      <sheetData sheetId="0" refreshError="1"/>
      <sheetData sheetId="1">
        <row r="13">
          <cell r="B13">
            <v>41426</v>
          </cell>
        </row>
        <row r="16">
          <cell r="B16">
            <v>43435</v>
          </cell>
        </row>
        <row r="19">
          <cell r="B19">
            <v>41395</v>
          </cell>
        </row>
      </sheetData>
      <sheetData sheetId="2">
        <row r="3">
          <cell r="D3">
            <v>41426</v>
          </cell>
        </row>
      </sheetData>
      <sheetData sheetId="3"/>
      <sheetData sheetId="4" refreshError="1"/>
      <sheetData sheetId="5" refreshError="1"/>
      <sheetData sheetId="6"/>
      <sheetData sheetId="7"/>
      <sheetData sheetId="8" refreshError="1"/>
      <sheetData sheetId="9">
        <row r="2">
          <cell r="C2">
            <v>41426</v>
          </cell>
        </row>
        <row r="5">
          <cell r="B5">
            <v>1</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Washington"/>
      <sheetName val="WA PF Major Smry"/>
      <sheetName val="WA PF Major(E)"/>
      <sheetName val="WA PF Major(G)"/>
      <sheetName val="Idaho"/>
      <sheetName val="Oregon"/>
      <sheetName val="2016 Inputs"/>
      <sheetName val="Actl Forcst - WA E"/>
      <sheetName val="Actl Forcst - WA G"/>
      <sheetName val="Actl Forcst - ID E"/>
      <sheetName val="Actl Forcst - ID G"/>
      <sheetName val="Actl Forcst - OR"/>
      <sheetName val="Actl Forcst - TotalCo"/>
      <sheetName val="Actual"/>
      <sheetName val="Actual_Transfers"/>
      <sheetName val="Budget"/>
      <sheetName val="CAP16.3"/>
      <sheetName val="Sheet3"/>
      <sheetName val="Sheet2"/>
      <sheetName val="Allocation Factors"/>
      <sheetName val="Specific Allocation"/>
      <sheetName val="AllocationFactors_Actuals"/>
      <sheetName val="Sheet1"/>
      <sheetName val="WA 5000s General to Software"/>
      <sheetName val="ID 5000s General to Software"/>
      <sheetName val="OR 5000s General to Software"/>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B5" t="str">
            <v>Actual</v>
          </cell>
        </row>
      </sheetData>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sheetData sheetId="18" refreshError="1"/>
      <sheetData sheetId="19" refreshError="1"/>
      <sheetData sheetId="20">
        <row r="1">
          <cell r="A1" t="str">
            <v>Allocation Factors</v>
          </cell>
        </row>
        <row r="3">
          <cell r="A3" t="str">
            <v>Allocation Categories</v>
          </cell>
        </row>
        <row r="4">
          <cell r="A4" t="str">
            <v>Elec Distribution 360-373 CD AN</v>
          </cell>
        </row>
        <row r="5">
          <cell r="A5" t="str">
            <v>Elec Distribution 360-373 CD AA</v>
          </cell>
        </row>
        <row r="6">
          <cell r="A6" t="str">
            <v>Elec Distribution 360-373 ED AN</v>
          </cell>
        </row>
        <row r="7">
          <cell r="A7" t="str">
            <v>Elec Distribution 360-373 ED ID</v>
          </cell>
        </row>
        <row r="8">
          <cell r="A8" t="str">
            <v>Elec Distribution 360-373 ED WA</v>
          </cell>
        </row>
        <row r="9">
          <cell r="A9" t="str">
            <v>Elec Distribution 360-373 ED MT</v>
          </cell>
        </row>
        <row r="10">
          <cell r="A10" t="str">
            <v>Elec Transmission 350-359 ED AN</v>
          </cell>
        </row>
        <row r="11">
          <cell r="A11" t="str">
            <v>Elec Transmission 350-359 ED ID</v>
          </cell>
        </row>
        <row r="12">
          <cell r="A12" t="str">
            <v>Elec Transmission 350-359 ED WA</v>
          </cell>
        </row>
        <row r="13">
          <cell r="A13" t="str">
            <v>Gas Distribution 374-387 GD AA</v>
          </cell>
        </row>
        <row r="14">
          <cell r="A14" t="str">
            <v>Gas Distribution 374-387 GD AN</v>
          </cell>
        </row>
        <row r="15">
          <cell r="A15" t="str">
            <v>Gas Distribution 374-387 GD ID</v>
          </cell>
        </row>
        <row r="16">
          <cell r="A16" t="str">
            <v>Gas Distribution 374-387 GD OR</v>
          </cell>
        </row>
        <row r="17">
          <cell r="A17" t="str">
            <v>Gas Distribution 374-387 GD WA</v>
          </cell>
        </row>
        <row r="18">
          <cell r="A18" t="str">
            <v>Gas Underground Storage 350-357 GD AA</v>
          </cell>
        </row>
        <row r="19">
          <cell r="A19" t="str">
            <v>Gas Underground Storage 350-357 GD AN</v>
          </cell>
        </row>
        <row r="20">
          <cell r="A20" t="str">
            <v>Gas Underground Storage 350-357 GD OR</v>
          </cell>
        </row>
        <row r="21">
          <cell r="A21" t="str">
            <v>General 389-391 / 393-395 / 397-398 CD AA</v>
          </cell>
        </row>
        <row r="22">
          <cell r="A22" t="str">
            <v>General 389-391 / 393-395 / 397-398 CD AN</v>
          </cell>
        </row>
        <row r="23">
          <cell r="A23" t="str">
            <v>General 389-391 / 393-395 / 397-398 CD ID</v>
          </cell>
        </row>
        <row r="24">
          <cell r="A24" t="str">
            <v>General 389-391 / 393-395 / 397-398 CD WA</v>
          </cell>
        </row>
        <row r="25">
          <cell r="A25" t="str">
            <v>General 389-391 / 393-395 / 397-398 ED AN</v>
          </cell>
        </row>
        <row r="26">
          <cell r="A26" t="str">
            <v>General 389-391 / 393-395 / 397-398 GD AA</v>
          </cell>
        </row>
        <row r="27">
          <cell r="A27" t="str">
            <v>General 389-391 / 393-395 / 397-398 ED WA</v>
          </cell>
        </row>
        <row r="28">
          <cell r="A28" t="str">
            <v>General 389-391 / 393-395 / 397-398 ED ID</v>
          </cell>
        </row>
        <row r="29">
          <cell r="A29" t="str">
            <v>General 389-391 / 393-395 / 397-398 ED AA</v>
          </cell>
        </row>
        <row r="30">
          <cell r="A30" t="str">
            <v>General 389-391 / 393-395 / 397-398 GD WA</v>
          </cell>
        </row>
        <row r="31">
          <cell r="A31" t="str">
            <v>General 389-391 / 393-395 / 397-398 GD OR</v>
          </cell>
        </row>
        <row r="32">
          <cell r="A32" t="str">
            <v>General 389-391 / 393-395 / 397-398 GD AN</v>
          </cell>
        </row>
        <row r="33">
          <cell r="A33" t="str">
            <v>Hydro 331-336 ED AN</v>
          </cell>
        </row>
        <row r="34">
          <cell r="A34" t="str">
            <v>Other Elec Production / Turbines 340-346 ED AN</v>
          </cell>
        </row>
        <row r="35">
          <cell r="A35" t="str">
            <v>Other Elec Production / Turbines 340-346 CD WA</v>
          </cell>
        </row>
        <row r="36">
          <cell r="A36" t="str">
            <v>Software 303 CD AA</v>
          </cell>
        </row>
        <row r="37">
          <cell r="A37" t="str">
            <v>Software 303 CD ID</v>
          </cell>
        </row>
        <row r="38">
          <cell r="A38" t="str">
            <v>Software 303 CD WA</v>
          </cell>
        </row>
        <row r="39">
          <cell r="A39" t="str">
            <v>Software 303 ED AN</v>
          </cell>
        </row>
        <row r="40">
          <cell r="A40" t="str">
            <v>Software 303 ED MT</v>
          </cell>
        </row>
        <row r="41">
          <cell r="A41" t="str">
            <v>Software 303 ED WA</v>
          </cell>
        </row>
        <row r="42">
          <cell r="A42" t="str">
            <v>Software 303 CD AN</v>
          </cell>
        </row>
        <row r="43">
          <cell r="A43" t="str">
            <v>Software 303 GD AA</v>
          </cell>
        </row>
        <row r="44">
          <cell r="A44" t="str">
            <v>Thermal 311-316 ED AN</v>
          </cell>
        </row>
        <row r="45">
          <cell r="A45" t="str">
            <v>Transportation and Tools 392 / 396 CD AA</v>
          </cell>
        </row>
        <row r="46">
          <cell r="A46" t="str">
            <v>Transportation and Tools 392 / 396 CD AN</v>
          </cell>
        </row>
        <row r="47">
          <cell r="A47" t="str">
            <v>Transportation and Tools 392 / 396 CD WA</v>
          </cell>
        </row>
        <row r="48">
          <cell r="A48" t="str">
            <v>Transportation and Tools 392 / 396 CD ID</v>
          </cell>
        </row>
        <row r="49">
          <cell r="A49" t="str">
            <v>Transportation and Tools 392 / 396 ED AN</v>
          </cell>
        </row>
        <row r="50">
          <cell r="A50" t="str">
            <v>Transportation and Tools 392 / 396 ED WA</v>
          </cell>
        </row>
        <row r="51">
          <cell r="A51" t="str">
            <v>Transportation and Tools 392 / 396 ED ID</v>
          </cell>
        </row>
        <row r="52">
          <cell r="A52" t="str">
            <v>Transportation and Tools 392 / 396 GD AN</v>
          </cell>
        </row>
        <row r="53">
          <cell r="A53" t="str">
            <v>Transportation and Tools 392 / 396 GD ID</v>
          </cell>
        </row>
        <row r="54">
          <cell r="A54" t="str">
            <v>Transportation and Tools 392 / 396 GD WA</v>
          </cell>
        </row>
        <row r="55">
          <cell r="A55" t="str">
            <v>Transportation and Tools 392 / 396 GD OR</v>
          </cell>
        </row>
        <row r="56">
          <cell r="A56" t="str">
            <v>Gas Distribution 374-387 GD AA 1001</v>
          </cell>
        </row>
        <row r="57">
          <cell r="A57" t="str">
            <v>Gas Distribution 374-387 GD AA 1050</v>
          </cell>
        </row>
        <row r="58">
          <cell r="A58" t="str">
            <v>Gas Distribution 374-387 GD AA 1051</v>
          </cell>
        </row>
        <row r="59">
          <cell r="A59" t="str">
            <v>Gas Distribution 374-387 GD AA 1053</v>
          </cell>
        </row>
        <row r="60">
          <cell r="A60" t="str">
            <v>Gas Distribution 374-387 GD AA 3000</v>
          </cell>
        </row>
        <row r="61">
          <cell r="A61" t="str">
            <v>Gas Distribution 374-387 GD AA 3001</v>
          </cell>
        </row>
        <row r="62">
          <cell r="A62" t="str">
            <v>Gas Distribution 374-387 GD AA 3002</v>
          </cell>
        </row>
        <row r="63">
          <cell r="A63" t="str">
            <v>Gas Distribution 374-387 GD AA 3003</v>
          </cell>
        </row>
        <row r="64">
          <cell r="A64" t="str">
            <v>Gas Distribution 374-387 GD AA 3004</v>
          </cell>
        </row>
        <row r="65">
          <cell r="A65" t="str">
            <v>Gas Distribution 374-387 GD AA 3005</v>
          </cell>
        </row>
        <row r="66">
          <cell r="A66" t="str">
            <v>Gas Distribution 374-387 GD AA 3006</v>
          </cell>
        </row>
        <row r="67">
          <cell r="A67" t="str">
            <v>Gas Distribution 374-387 GD AA 3007</v>
          </cell>
        </row>
        <row r="68">
          <cell r="A68" t="str">
            <v>Gas Distribution 374-387 GD AA 3008</v>
          </cell>
        </row>
        <row r="69">
          <cell r="A69" t="str">
            <v>Gas Distribution 374-387 GD AA 3054</v>
          </cell>
        </row>
        <row r="70">
          <cell r="A70" t="str">
            <v>Gas Distribution 374-387 GD AA 3055</v>
          </cell>
        </row>
        <row r="71">
          <cell r="A71" t="str">
            <v>Gas Distribution 374-387 GD AA 3057</v>
          </cell>
        </row>
        <row r="72">
          <cell r="A72" t="str">
            <v>Gas Distribution 374-387 GD AA 3117</v>
          </cell>
        </row>
        <row r="73">
          <cell r="A73" t="str">
            <v>Gas Distribution 374-387 ED ID</v>
          </cell>
        </row>
        <row r="74">
          <cell r="A74" t="str">
            <v>Elec Distribution 360-373 ED AN 1000</v>
          </cell>
        </row>
        <row r="75">
          <cell r="A75" t="str">
            <v>Elec Distribution 360-373 ED AN 1002</v>
          </cell>
        </row>
        <row r="76">
          <cell r="A76" t="str">
            <v>Elec Distribution 360-373 ED AN 1003</v>
          </cell>
        </row>
        <row r="77">
          <cell r="A77" t="str">
            <v>Elec Distribution 360-373 ED AN 1004</v>
          </cell>
        </row>
        <row r="78">
          <cell r="A78" t="str">
            <v>Elec Distribution 360-373 ED AN 1005</v>
          </cell>
        </row>
        <row r="79">
          <cell r="A79" t="str">
            <v>Elec Distribution 360-373 ED AN 1006</v>
          </cell>
        </row>
        <row r="80">
          <cell r="A80" t="str">
            <v>Elec Distribution 360-373 ED AN 2054</v>
          </cell>
        </row>
        <row r="81">
          <cell r="A81" t="str">
            <v>Elec Distribution 360-373 ED AN 2055</v>
          </cell>
        </row>
        <row r="82">
          <cell r="A82" t="str">
            <v>Elec Distribution 360-373 ED AN 2056</v>
          </cell>
        </row>
        <row r="83">
          <cell r="A83" t="str">
            <v>Elec Distribution 360-373 ED AN 2059</v>
          </cell>
        </row>
        <row r="84">
          <cell r="A84" t="str">
            <v>Elec Distribution 360-373 ED AN 2060</v>
          </cell>
        </row>
        <row r="85">
          <cell r="A85" t="str">
            <v>Elec Distribution 360-373 ED AN 2204</v>
          </cell>
        </row>
        <row r="86">
          <cell r="A86" t="str">
            <v>Elec Distribution 360-373 ED AN 2414</v>
          </cell>
        </row>
        <row r="87">
          <cell r="A87" t="str">
            <v>Elec Distribution 360-373 ED AN 2423</v>
          </cell>
        </row>
        <row r="88">
          <cell r="A88" t="str">
            <v>Elec Distribution 360-373 ED AN 2470</v>
          </cell>
        </row>
        <row r="89">
          <cell r="A89" t="str">
            <v>Elec Distribution 360-373 ED AN 2516</v>
          </cell>
        </row>
        <row r="90">
          <cell r="A90" t="str">
            <v>Elec Distribution 360-373 ED AN 2535</v>
          </cell>
        </row>
        <row r="91">
          <cell r="A91" t="str">
            <v>Elec Distribution 360-373 ED AN 2584</v>
          </cell>
        </row>
        <row r="92">
          <cell r="A92" t="str">
            <v>Elec Distribution 360-373 ED AN 2599</v>
          </cell>
        </row>
        <row r="93">
          <cell r="A93" t="str">
            <v>Elec Distribution 360-373 ED AN 6000</v>
          </cell>
        </row>
        <row r="94">
          <cell r="A94" t="str">
            <v>Elec Distribution 360-373 CD WA 2586</v>
          </cell>
        </row>
      </sheetData>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Setup"/>
      <sheetName val="Load Forecast"/>
      <sheetName val="Unbilled"/>
      <sheetName val="2013 Calendar Loads"/>
      <sheetName val="Manual Rev"/>
      <sheetName val="Rates"/>
      <sheetName val="Rev Summary"/>
      <sheetName val="GRC"/>
      <sheetName val="Exp Summary"/>
      <sheetName val="Version compare"/>
    </sheetNames>
    <sheetDataSet>
      <sheetData sheetId="0"/>
      <sheetData sheetId="1">
        <row r="1">
          <cell r="B1" t="str">
            <v>ELECTRIC</v>
          </cell>
        </row>
        <row r="2">
          <cell r="B2">
            <v>2012</v>
          </cell>
        </row>
        <row r="3">
          <cell r="B3">
            <v>1</v>
          </cell>
        </row>
      </sheetData>
      <sheetData sheetId="2"/>
      <sheetData sheetId="3"/>
      <sheetData sheetId="4"/>
      <sheetData sheetId="5"/>
      <sheetData sheetId="6">
        <row r="121">
          <cell r="D121">
            <v>40664</v>
          </cell>
          <cell r="E121">
            <v>40848</v>
          </cell>
          <cell r="F121">
            <v>40909</v>
          </cell>
          <cell r="O121">
            <v>40664</v>
          </cell>
          <cell r="P121">
            <v>40817</v>
          </cell>
          <cell r="Q121">
            <v>41183</v>
          </cell>
        </row>
        <row r="122">
          <cell r="D122">
            <v>0</v>
          </cell>
          <cell r="E122">
            <v>0</v>
          </cell>
          <cell r="F122">
            <v>0</v>
          </cell>
          <cell r="O122">
            <v>0.53200000000000003</v>
          </cell>
          <cell r="P122">
            <v>7.1999999999999995E-2</v>
          </cell>
          <cell r="Q122">
            <v>7.1999999999999995E-2</v>
          </cell>
        </row>
        <row r="124">
          <cell r="D124">
            <v>5.4800000000000001E-2</v>
          </cell>
          <cell r="E124">
            <v>5.4800000000000001E-2</v>
          </cell>
          <cell r="F124">
            <v>5.4800000000000001E-2</v>
          </cell>
          <cell r="O124">
            <v>3.6400000000000002E-2</v>
          </cell>
          <cell r="P124">
            <v>3.6400000000000002E-2</v>
          </cell>
          <cell r="Q124">
            <v>3.6400000000000002E-2</v>
          </cell>
        </row>
        <row r="125">
          <cell r="D125">
            <v>-0.29799999999999999</v>
          </cell>
          <cell r="E125">
            <v>-0.29799999999999999</v>
          </cell>
          <cell r="F125">
            <v>-0.158</v>
          </cell>
          <cell r="O125">
            <v>-0.14699999999999999</v>
          </cell>
          <cell r="P125">
            <v>-0.33200000000000002</v>
          </cell>
          <cell r="Q125">
            <v>-0.33200000000000002</v>
          </cell>
        </row>
      </sheetData>
      <sheetData sheetId="7">
        <row r="2">
          <cell r="D2" t="str">
            <v>WARes001</v>
          </cell>
          <cell r="E2" t="str">
            <v>WA_001</v>
          </cell>
        </row>
        <row r="3">
          <cell r="D3">
            <v>1</v>
          </cell>
        </row>
        <row r="36">
          <cell r="B36">
            <v>0</v>
          </cell>
        </row>
        <row r="71">
          <cell r="F71" t="str">
            <v>WARes001</v>
          </cell>
        </row>
        <row r="172">
          <cell r="F172" t="str">
            <v>WARes001</v>
          </cell>
        </row>
        <row r="173">
          <cell r="F173" t="str">
            <v>WARes012</v>
          </cell>
        </row>
        <row r="174">
          <cell r="F174" t="str">
            <v>WARes022</v>
          </cell>
        </row>
        <row r="175">
          <cell r="F175" t="str">
            <v>WARes032</v>
          </cell>
        </row>
        <row r="176">
          <cell r="F176" t="str">
            <v>WARes04X</v>
          </cell>
        </row>
        <row r="177">
          <cell r="F177" t="str">
            <v>WARes095</v>
          </cell>
        </row>
        <row r="178">
          <cell r="F178" t="str">
            <v>WACom011</v>
          </cell>
        </row>
        <row r="179">
          <cell r="F179" t="str">
            <v>WACom021</v>
          </cell>
        </row>
        <row r="180">
          <cell r="F180" t="str">
            <v>WACom025</v>
          </cell>
        </row>
        <row r="181">
          <cell r="F181" t="str">
            <v>WACom031</v>
          </cell>
        </row>
        <row r="182">
          <cell r="F182" t="str">
            <v>WACom04X</v>
          </cell>
        </row>
        <row r="183">
          <cell r="F183" t="str">
            <v>WACom095</v>
          </cell>
        </row>
        <row r="184">
          <cell r="F184" t="str">
            <v>WAInd011</v>
          </cell>
        </row>
        <row r="185">
          <cell r="F185" t="str">
            <v>WAInd021</v>
          </cell>
        </row>
        <row r="186">
          <cell r="F186" t="str">
            <v>WAInd025</v>
          </cell>
        </row>
        <row r="187">
          <cell r="F187" t="str">
            <v>WAInd028</v>
          </cell>
        </row>
        <row r="188">
          <cell r="F188" t="str">
            <v>WAInd031</v>
          </cell>
        </row>
        <row r="189">
          <cell r="F189" t="str">
            <v>WAInd032</v>
          </cell>
        </row>
        <row r="190">
          <cell r="F190" t="str">
            <v>WAInd04X</v>
          </cell>
        </row>
        <row r="191">
          <cell r="F191" t="str">
            <v>WASL04X</v>
          </cell>
        </row>
        <row r="192">
          <cell r="F192" t="str">
            <v>WAIntdpt011</v>
          </cell>
        </row>
        <row r="193">
          <cell r="F193" t="str">
            <v>WAIntdpt021</v>
          </cell>
        </row>
        <row r="194">
          <cell r="F194" t="str">
            <v>IDRes001</v>
          </cell>
        </row>
        <row r="195">
          <cell r="F195" t="str">
            <v>IDRes012</v>
          </cell>
        </row>
        <row r="196">
          <cell r="F196" t="str">
            <v>IDRes022</v>
          </cell>
        </row>
        <row r="197">
          <cell r="F197" t="str">
            <v>IDRes032</v>
          </cell>
        </row>
        <row r="198">
          <cell r="F198" t="str">
            <v>IDRes04X</v>
          </cell>
        </row>
        <row r="199">
          <cell r="F199" t="str">
            <v>IDRes095</v>
          </cell>
        </row>
        <row r="200">
          <cell r="F200" t="str">
            <v>IDCom011</v>
          </cell>
        </row>
        <row r="201">
          <cell r="F201" t="str">
            <v>IDCom021</v>
          </cell>
        </row>
        <row r="202">
          <cell r="F202" t="str">
            <v>IDCom025</v>
          </cell>
        </row>
        <row r="203">
          <cell r="F203" t="str">
            <v>IDCom031</v>
          </cell>
        </row>
        <row r="204">
          <cell r="F204" t="str">
            <v>IDCom04X</v>
          </cell>
        </row>
        <row r="205">
          <cell r="F205" t="str">
            <v>IDCom095</v>
          </cell>
        </row>
        <row r="206">
          <cell r="F206" t="str">
            <v>IDInd011</v>
          </cell>
        </row>
        <row r="207">
          <cell r="F207" t="str">
            <v>IDInd021</v>
          </cell>
        </row>
        <row r="208">
          <cell r="F208" t="str">
            <v>IDInd025</v>
          </cell>
        </row>
        <row r="209">
          <cell r="F209" t="str">
            <v>IDInd025P</v>
          </cell>
        </row>
        <row r="210">
          <cell r="F210" t="str">
            <v>IDInd031</v>
          </cell>
        </row>
        <row r="211">
          <cell r="F211" t="str">
            <v>IDInd032</v>
          </cell>
        </row>
        <row r="212">
          <cell r="F212" t="str">
            <v>IDInd04X</v>
          </cell>
        </row>
        <row r="213">
          <cell r="F213" t="str">
            <v>IDSL04X</v>
          </cell>
        </row>
        <row r="214">
          <cell r="F214" t="str">
            <v>IDIntdpt011</v>
          </cell>
        </row>
        <row r="215">
          <cell r="F215" t="str">
            <v>IDIntdpt021</v>
          </cell>
        </row>
        <row r="273">
          <cell r="F273" t="str">
            <v>WARes001</v>
          </cell>
        </row>
        <row r="374">
          <cell r="F374" t="str">
            <v>WARes001</v>
          </cell>
        </row>
        <row r="475">
          <cell r="F475" t="str">
            <v>WARes001</v>
          </cell>
        </row>
        <row r="573">
          <cell r="F573" t="str">
            <v>WARes001</v>
          </cell>
        </row>
        <row r="574">
          <cell r="F574" t="str">
            <v>WARes012</v>
          </cell>
        </row>
        <row r="575">
          <cell r="F575" t="str">
            <v>WARes022</v>
          </cell>
        </row>
        <row r="576">
          <cell r="F576" t="str">
            <v>WARes032</v>
          </cell>
        </row>
        <row r="577">
          <cell r="F577" t="str">
            <v>WARes04X</v>
          </cell>
        </row>
        <row r="578">
          <cell r="F578" t="str">
            <v>WARes095</v>
          </cell>
        </row>
        <row r="579">
          <cell r="F579" t="str">
            <v>WACom011</v>
          </cell>
        </row>
        <row r="580">
          <cell r="F580" t="str">
            <v>WACom021</v>
          </cell>
        </row>
        <row r="581">
          <cell r="F581" t="str">
            <v>WACom025</v>
          </cell>
        </row>
        <row r="582">
          <cell r="F582" t="str">
            <v>WACom031</v>
          </cell>
        </row>
        <row r="583">
          <cell r="F583" t="str">
            <v>WACom04X</v>
          </cell>
        </row>
        <row r="584">
          <cell r="F584" t="str">
            <v>WACom095</v>
          </cell>
        </row>
        <row r="585">
          <cell r="F585" t="str">
            <v>WAInd011</v>
          </cell>
        </row>
        <row r="586">
          <cell r="F586" t="str">
            <v>WAInd021</v>
          </cell>
        </row>
        <row r="587">
          <cell r="F587" t="str">
            <v>WAInd025</v>
          </cell>
        </row>
        <row r="588">
          <cell r="F588" t="str">
            <v>WAInd028</v>
          </cell>
        </row>
        <row r="589">
          <cell r="F589" t="str">
            <v>WAInd031</v>
          </cell>
        </row>
        <row r="590">
          <cell r="F590" t="str">
            <v>WAInd032</v>
          </cell>
        </row>
        <row r="591">
          <cell r="F591" t="str">
            <v>WAInd04X</v>
          </cell>
        </row>
        <row r="592">
          <cell r="F592" t="str">
            <v>WASL04X</v>
          </cell>
        </row>
        <row r="593">
          <cell r="F593" t="str">
            <v>WAIntdpt011</v>
          </cell>
        </row>
        <row r="594">
          <cell r="F594" t="str">
            <v>WAIntdpt021</v>
          </cell>
        </row>
        <row r="595">
          <cell r="F595" t="str">
            <v>IDRes001</v>
          </cell>
        </row>
        <row r="596">
          <cell r="F596" t="str">
            <v>IDRes012</v>
          </cell>
        </row>
        <row r="597">
          <cell r="F597" t="str">
            <v>IDRes022</v>
          </cell>
        </row>
        <row r="598">
          <cell r="F598" t="str">
            <v>IDRes032</v>
          </cell>
        </row>
        <row r="599">
          <cell r="F599" t="str">
            <v>IDRes04X</v>
          </cell>
        </row>
        <row r="600">
          <cell r="F600" t="str">
            <v>IDRes095</v>
          </cell>
        </row>
        <row r="601">
          <cell r="F601" t="str">
            <v>IDCom011</v>
          </cell>
        </row>
        <row r="602">
          <cell r="F602" t="str">
            <v>IDCom021</v>
          </cell>
        </row>
        <row r="603">
          <cell r="F603" t="str">
            <v>IDCom025</v>
          </cell>
        </row>
        <row r="604">
          <cell r="F604" t="str">
            <v>IDCom031</v>
          </cell>
        </row>
        <row r="605">
          <cell r="F605" t="str">
            <v>IDCom04X</v>
          </cell>
        </row>
        <row r="606">
          <cell r="F606" t="str">
            <v>IDCom095</v>
          </cell>
        </row>
        <row r="607">
          <cell r="F607" t="str">
            <v>IDInd011</v>
          </cell>
        </row>
        <row r="608">
          <cell r="F608" t="str">
            <v>IDInd021</v>
          </cell>
        </row>
        <row r="609">
          <cell r="F609" t="str">
            <v>IDInd025</v>
          </cell>
        </row>
        <row r="610">
          <cell r="F610" t="str">
            <v>IDInd025P</v>
          </cell>
        </row>
        <row r="611">
          <cell r="F611" t="str">
            <v>IDInd031</v>
          </cell>
        </row>
        <row r="612">
          <cell r="F612" t="str">
            <v>IDInd032</v>
          </cell>
        </row>
        <row r="613">
          <cell r="F613" t="str">
            <v>IDInd04X</v>
          </cell>
        </row>
        <row r="614">
          <cell r="F614" t="str">
            <v>IDSL04X</v>
          </cell>
        </row>
        <row r="615">
          <cell r="F615" t="str">
            <v>IDIntdpt011</v>
          </cell>
        </row>
        <row r="616">
          <cell r="F616" t="str">
            <v>IDIntdpt021</v>
          </cell>
        </row>
        <row r="672">
          <cell r="F672" t="str">
            <v>WARes001</v>
          </cell>
        </row>
        <row r="773">
          <cell r="F773" t="str">
            <v>WARes001</v>
          </cell>
        </row>
        <row r="874">
          <cell r="F874" t="str">
            <v>WARes001</v>
          </cell>
        </row>
        <row r="975">
          <cell r="F975" t="str">
            <v>WARes001</v>
          </cell>
        </row>
        <row r="1076">
          <cell r="F1076" t="str">
            <v>WARes001</v>
          </cell>
        </row>
        <row r="1177">
          <cell r="F1177" t="str">
            <v>WARes001</v>
          </cell>
        </row>
        <row r="1279">
          <cell r="F1279" t="str">
            <v>WARes001</v>
          </cell>
          <cell r="I1279" t="str">
            <v>x</v>
          </cell>
        </row>
        <row r="1280">
          <cell r="F1280" t="str">
            <v>WARes012</v>
          </cell>
          <cell r="I1280" t="str">
            <v>x</v>
          </cell>
        </row>
        <row r="1281">
          <cell r="F1281" t="str">
            <v>WARes022</v>
          </cell>
          <cell r="I1281" t="str">
            <v>x</v>
          </cell>
        </row>
        <row r="1282">
          <cell r="F1282" t="str">
            <v>WARes032</v>
          </cell>
          <cell r="I1282" t="str">
            <v>x</v>
          </cell>
        </row>
        <row r="1283">
          <cell r="F1283" t="str">
            <v>WARes04X</v>
          </cell>
        </row>
        <row r="1284">
          <cell r="F1284" t="str">
            <v>WARes095</v>
          </cell>
        </row>
        <row r="1285">
          <cell r="F1285" t="str">
            <v>WACom011</v>
          </cell>
          <cell r="I1285" t="str">
            <v>x</v>
          </cell>
        </row>
        <row r="1286">
          <cell r="F1286" t="str">
            <v>WACom021</v>
          </cell>
          <cell r="I1286" t="str">
            <v>x</v>
          </cell>
        </row>
        <row r="1287">
          <cell r="F1287" t="str">
            <v>WACom025</v>
          </cell>
        </row>
        <row r="1288">
          <cell r="F1288" t="str">
            <v>WACom031</v>
          </cell>
          <cell r="I1288" t="str">
            <v>x</v>
          </cell>
        </row>
        <row r="1289">
          <cell r="F1289" t="str">
            <v>WACom04X</v>
          </cell>
        </row>
        <row r="1290">
          <cell r="F1290" t="str">
            <v>WACom095</v>
          </cell>
        </row>
        <row r="1291">
          <cell r="F1291" t="str">
            <v>WAInd011</v>
          </cell>
          <cell r="I1291" t="str">
            <v>x</v>
          </cell>
        </row>
        <row r="1292">
          <cell r="F1292" t="str">
            <v>WAInd021</v>
          </cell>
          <cell r="I1292" t="str">
            <v>x</v>
          </cell>
        </row>
        <row r="1293">
          <cell r="F1293" t="str">
            <v>WAInd025</v>
          </cell>
        </row>
        <row r="1294">
          <cell r="F1294" t="str">
            <v>WAInd028</v>
          </cell>
        </row>
        <row r="1295">
          <cell r="F1295" t="str">
            <v>WAInd031</v>
          </cell>
          <cell r="I1295" t="str">
            <v>x</v>
          </cell>
        </row>
        <row r="1296">
          <cell r="F1296" t="str">
            <v>WAInd032</v>
          </cell>
          <cell r="I1296" t="str">
            <v>x</v>
          </cell>
        </row>
        <row r="1297">
          <cell r="F1297" t="str">
            <v>WAInd04X</v>
          </cell>
        </row>
        <row r="1298">
          <cell r="F1298" t="str">
            <v>WASL04X</v>
          </cell>
        </row>
        <row r="1299">
          <cell r="F1299" t="str">
            <v>WAIntdpt011</v>
          </cell>
          <cell r="I1299" t="str">
            <v>x</v>
          </cell>
        </row>
        <row r="1300">
          <cell r="F1300" t="str">
            <v>WAIntdpt021</v>
          </cell>
          <cell r="I1300" t="str">
            <v>x</v>
          </cell>
        </row>
        <row r="1301">
          <cell r="F1301" t="str">
            <v>IDRes001</v>
          </cell>
          <cell r="I1301" t="str">
            <v>x</v>
          </cell>
        </row>
        <row r="1302">
          <cell r="F1302" t="str">
            <v>IDRes012</v>
          </cell>
          <cell r="I1302" t="str">
            <v>x</v>
          </cell>
        </row>
        <row r="1303">
          <cell r="F1303" t="str">
            <v>IDRes022</v>
          </cell>
          <cell r="I1303" t="str">
            <v>x</v>
          </cell>
        </row>
        <row r="1304">
          <cell r="F1304" t="str">
            <v>IDRes032</v>
          </cell>
          <cell r="I1304" t="str">
            <v>x</v>
          </cell>
        </row>
        <row r="1305">
          <cell r="F1305" t="str">
            <v>IDRes04X</v>
          </cell>
        </row>
        <row r="1306">
          <cell r="F1306" t="str">
            <v>IDRes095</v>
          </cell>
        </row>
        <row r="1307">
          <cell r="F1307" t="str">
            <v>IDCom011</v>
          </cell>
          <cell r="I1307" t="str">
            <v>x</v>
          </cell>
        </row>
        <row r="1308">
          <cell r="F1308" t="str">
            <v>IDCom021</v>
          </cell>
          <cell r="I1308" t="str">
            <v>x</v>
          </cell>
        </row>
        <row r="1309">
          <cell r="F1309" t="str">
            <v>IDCom025</v>
          </cell>
        </row>
        <row r="1310">
          <cell r="F1310" t="str">
            <v>IDCom031</v>
          </cell>
          <cell r="I1310" t="str">
            <v>x</v>
          </cell>
        </row>
        <row r="1311">
          <cell r="F1311" t="str">
            <v>IDCom04X</v>
          </cell>
        </row>
        <row r="1312">
          <cell r="F1312" t="str">
            <v>IDCom095</v>
          </cell>
        </row>
        <row r="1313">
          <cell r="F1313" t="str">
            <v>IDInd011</v>
          </cell>
          <cell r="I1313" t="str">
            <v>x</v>
          </cell>
        </row>
        <row r="1314">
          <cell r="F1314" t="str">
            <v>IDInd021</v>
          </cell>
          <cell r="I1314" t="str">
            <v>x</v>
          </cell>
        </row>
        <row r="1315">
          <cell r="F1315" t="str">
            <v>IDInd025</v>
          </cell>
        </row>
        <row r="1316">
          <cell r="F1316" t="str">
            <v>IDInd025P</v>
          </cell>
        </row>
        <row r="1317">
          <cell r="F1317" t="str">
            <v>IDInd031</v>
          </cell>
          <cell r="I1317" t="str">
            <v>x</v>
          </cell>
        </row>
        <row r="1318">
          <cell r="F1318" t="str">
            <v>IDInd032</v>
          </cell>
          <cell r="I1318" t="str">
            <v>x</v>
          </cell>
        </row>
        <row r="1319">
          <cell r="F1319" t="str">
            <v>IDInd04X</v>
          </cell>
        </row>
        <row r="1320">
          <cell r="F1320" t="str">
            <v>IDSL04X</v>
          </cell>
        </row>
        <row r="1321">
          <cell r="F1321" t="str">
            <v>IDIntdpt011</v>
          </cell>
          <cell r="I1321" t="str">
            <v>x</v>
          </cell>
        </row>
        <row r="1322">
          <cell r="F1322" t="str">
            <v>IDIntdpt021</v>
          </cell>
          <cell r="I1322" t="str">
            <v>x</v>
          </cell>
        </row>
      </sheetData>
      <sheetData sheetId="8"/>
      <sheetData sheetId="9">
        <row r="30">
          <cell r="E30">
            <v>1</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Exh 1"/>
      <sheetName val="Exh 2"/>
      <sheetName val="Exh 3"/>
      <sheetName val="ROR"/>
      <sheetName val="Bill Determ"/>
      <sheetName val="WA Sch 25"/>
      <sheetName val="Lighting summary"/>
      <sheetName val="St Lts"/>
      <sheetName val="Area Lts"/>
      <sheetName val="Rev Runs CY"/>
      <sheetName val="Rev Runs LY"/>
    </sheetNames>
    <sheetDataSet>
      <sheetData sheetId="0">
        <row r="45">
          <cell r="D4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UMMARY"/>
      <sheetName val="2011 CBR FIT fix"/>
      <sheetName val="LEAD SHEETS-DO NOT ENTER"/>
      <sheetName val="CF "/>
      <sheetName val="ROO INPUT"/>
      <sheetName val="DEBT CALC"/>
      <sheetName val="not used PROPOSED RATES"/>
      <sheetName val="not used RR SUMMARY"/>
      <sheetName val="not used RETAIL REVENUE CREDIT"/>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 SUMMARY"/>
      <sheetName val="CF "/>
      <sheetName val="Acerno_Cache_XXXXX"/>
      <sheetName val="ADJ DETAIL-INPUT-Restate"/>
      <sheetName val="2007-2016 Data"/>
      <sheetName val="ADJ DETAIL-INPUT-PF"/>
      <sheetName val="CBR Hist"/>
      <sheetName val="Reg Amorts"/>
      <sheetName val="ROO INPUT"/>
      <sheetName val="DEBT CALC"/>
      <sheetName val="ADJ SUMMARY"/>
      <sheetName val="PROPOSED RATES-2018-NOT USED"/>
      <sheetName val="Table"/>
    </sheetNames>
    <sheetDataSet>
      <sheetData sheetId="0" refreshError="1"/>
      <sheetData sheetId="1" refreshError="1"/>
      <sheetData sheetId="2" refreshError="1"/>
      <sheetData sheetId="3"/>
      <sheetData sheetId="4" refreshError="1"/>
      <sheetData sheetId="5" refreshError="1"/>
      <sheetData sheetId="6"/>
      <sheetData sheetId="7"/>
      <sheetData sheetId="8" refreshError="1"/>
      <sheetData sheetId="9"/>
      <sheetData sheetId="10"/>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56 Revenue"/>
      <sheetName val="Macro1"/>
    </sheetNames>
    <sheetDataSet>
      <sheetData sheetId="0" refreshError="1"/>
      <sheetData sheetId="1">
        <row r="92">
          <cell r="A92" t="str">
            <v>Recover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 factor (2)"/>
      <sheetName val="K factor"/>
      <sheetName val="Cost Trends"/>
      <sheetName val="Summary"/>
      <sheetName val="ROR"/>
      <sheetName val="Attrition 12.2016 to 04.2019"/>
      <sheetName val="Weighted Revenue Growth"/>
      <sheetName val="12.2016 Revenue Model"/>
      <sheetName val="Forecast Bill Determinants"/>
      <sheetName val="Riders and Gas Cost Revenue"/>
      <sheetName val="Reg Amort and Other RB"/>
    </sheetNames>
    <sheetDataSet>
      <sheetData sheetId="0"/>
      <sheetData sheetId="1"/>
      <sheetData sheetId="2"/>
      <sheetData sheetId="3"/>
      <sheetData sheetId="4">
        <row r="12">
          <cell r="N12">
            <v>4.8269999999999997E-3</v>
          </cell>
        </row>
        <row r="14">
          <cell r="N14">
            <v>2E-3</v>
          </cell>
        </row>
        <row r="16">
          <cell r="N16">
            <v>3.8334E-2</v>
          </cell>
        </row>
        <row r="20">
          <cell r="N20">
            <v>0.95483899999999999</v>
          </cell>
        </row>
      </sheetData>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 SUMMARY"/>
      <sheetName val="CF"/>
      <sheetName val="ADJ DETAIL INPUT-Restated CB"/>
      <sheetName val="Cost Trends"/>
      <sheetName val="ADJ DETAIL INPUT - PF"/>
      <sheetName val="Acerno_Cache_XXXXX"/>
      <sheetName val="Escalators"/>
      <sheetName val="Regressions"/>
      <sheetName val="Riders and Gas Cost Revenue"/>
      <sheetName val="Reg Amort and Other RB"/>
      <sheetName val="DEBT CALC"/>
      <sheetName val="ROO INPUT"/>
      <sheetName val="ADJ SUMMARY"/>
      <sheetName val="Table"/>
    </sheetNames>
    <sheetDataSet>
      <sheetData sheetId="0"/>
      <sheetData sheetId="1"/>
      <sheetData sheetId="2"/>
      <sheetData sheetId="3">
        <row r="19">
          <cell r="F19">
            <v>59659</v>
          </cell>
          <cell r="G19">
            <v>106139</v>
          </cell>
          <cell r="H19">
            <v>109325</v>
          </cell>
          <cell r="I19">
            <v>96222</v>
          </cell>
          <cell r="J19">
            <v>114371</v>
          </cell>
          <cell r="K19">
            <v>167251</v>
          </cell>
          <cell r="L19">
            <v>149802</v>
          </cell>
          <cell r="M19">
            <v>222364</v>
          </cell>
          <cell r="N19">
            <v>310276</v>
          </cell>
          <cell r="O19">
            <v>194267</v>
          </cell>
          <cell r="P19">
            <v>197494</v>
          </cell>
          <cell r="Q19">
            <v>188167</v>
          </cell>
          <cell r="R19">
            <v>139073</v>
          </cell>
          <cell r="S19">
            <v>76801</v>
          </cell>
          <cell r="T19">
            <v>84187</v>
          </cell>
          <cell r="U19">
            <v>79634</v>
          </cell>
          <cell r="V19">
            <v>63460</v>
          </cell>
        </row>
        <row r="20">
          <cell r="F20">
            <v>-1915</v>
          </cell>
          <cell r="G20">
            <v>988</v>
          </cell>
          <cell r="H20">
            <v>1177</v>
          </cell>
          <cell r="I20">
            <v>1186</v>
          </cell>
          <cell r="J20">
            <v>369</v>
          </cell>
          <cell r="K20">
            <v>651</v>
          </cell>
          <cell r="L20">
            <v>653</v>
          </cell>
          <cell r="M20">
            <v>792</v>
          </cell>
          <cell r="N20">
            <v>-9103</v>
          </cell>
          <cell r="O20">
            <v>803</v>
          </cell>
          <cell r="P20">
            <v>800</v>
          </cell>
          <cell r="Q20">
            <v>14</v>
          </cell>
          <cell r="R20">
            <v>130</v>
          </cell>
          <cell r="S20">
            <v>891</v>
          </cell>
          <cell r="T20">
            <v>779</v>
          </cell>
          <cell r="U20">
            <v>840</v>
          </cell>
          <cell r="V20">
            <v>994</v>
          </cell>
        </row>
        <row r="21">
          <cell r="F21">
            <v>38</v>
          </cell>
          <cell r="G21">
            <v>134</v>
          </cell>
          <cell r="H21">
            <v>128</v>
          </cell>
          <cell r="I21">
            <v>0</v>
          </cell>
          <cell r="J21">
            <v>0</v>
          </cell>
          <cell r="K21">
            <v>-8407</v>
          </cell>
          <cell r="L21">
            <v>0</v>
          </cell>
          <cell r="M21">
            <v>283</v>
          </cell>
          <cell r="N21">
            <v>2</v>
          </cell>
          <cell r="O21">
            <v>10720</v>
          </cell>
          <cell r="P21">
            <v>-3322</v>
          </cell>
          <cell r="Q21">
            <v>-4366</v>
          </cell>
          <cell r="R21">
            <v>4352</v>
          </cell>
          <cell r="S21">
            <v>0</v>
          </cell>
          <cell r="T21">
            <v>0</v>
          </cell>
          <cell r="U21">
            <v>0</v>
          </cell>
          <cell r="V21">
            <v>1</v>
          </cell>
        </row>
        <row r="22">
          <cell r="F22">
            <v>57782</v>
          </cell>
          <cell r="G22">
            <v>107261</v>
          </cell>
          <cell r="H22">
            <v>110630</v>
          </cell>
          <cell r="I22">
            <v>97408</v>
          </cell>
          <cell r="J22">
            <v>114740</v>
          </cell>
          <cell r="K22">
            <v>159495</v>
          </cell>
          <cell r="L22">
            <v>150455</v>
          </cell>
          <cell r="M22">
            <v>223439</v>
          </cell>
          <cell r="N22">
            <v>301175</v>
          </cell>
          <cell r="O22">
            <v>205790</v>
          </cell>
          <cell r="P22">
            <v>194972</v>
          </cell>
          <cell r="Q22">
            <v>183815</v>
          </cell>
          <cell r="R22">
            <v>143555</v>
          </cell>
          <cell r="S22">
            <v>77692</v>
          </cell>
          <cell r="T22">
            <v>84966</v>
          </cell>
          <cell r="U22">
            <v>80474</v>
          </cell>
          <cell r="V22">
            <v>64455</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84"/>
  <sheetViews>
    <sheetView topLeftCell="K43" workbookViewId="0">
      <selection activeCell="V57" sqref="V57"/>
    </sheetView>
  </sheetViews>
  <sheetFormatPr defaultRowHeight="15"/>
  <cols>
    <col min="8" max="8" width="14.5703125" bestFit="1" customWidth="1"/>
    <col min="17" max="17" width="12" bestFit="1" customWidth="1"/>
    <col min="18" max="18" width="10" bestFit="1" customWidth="1"/>
    <col min="25" max="25" width="20.42578125" bestFit="1" customWidth="1"/>
    <col min="26" max="26" width="12" customWidth="1"/>
  </cols>
  <sheetData>
    <row r="1" spans="2:27" ht="15.75" thickBot="1">
      <c r="B1" s="361" t="s">
        <v>358</v>
      </c>
      <c r="C1" s="361"/>
      <c r="D1" s="361"/>
      <c r="E1" s="361"/>
      <c r="F1" s="361"/>
      <c r="G1" s="361"/>
      <c r="H1" s="361"/>
      <c r="K1" s="361" t="s">
        <v>362</v>
      </c>
      <c r="L1" s="361"/>
      <c r="M1" s="361"/>
      <c r="N1" s="361"/>
      <c r="O1" s="361"/>
      <c r="P1" s="361"/>
      <c r="Q1" s="361"/>
    </row>
    <row r="2" spans="2:27" ht="15.75">
      <c r="H2" s="1" t="s">
        <v>355</v>
      </c>
      <c r="U2" s="215" t="s">
        <v>365</v>
      </c>
      <c r="V2" s="216"/>
      <c r="W2" s="216"/>
      <c r="X2" s="216"/>
      <c r="Y2" s="216"/>
      <c r="Z2" s="217"/>
    </row>
    <row r="3" spans="2:27" ht="15.75">
      <c r="B3" t="s">
        <v>6</v>
      </c>
      <c r="H3" s="1" t="s">
        <v>356</v>
      </c>
      <c r="K3" t="s">
        <v>6</v>
      </c>
      <c r="N3" t="s">
        <v>8</v>
      </c>
      <c r="R3" s="1" t="s">
        <v>359</v>
      </c>
      <c r="U3" s="218"/>
      <c r="V3" s="219"/>
      <c r="W3" s="219"/>
      <c r="X3" s="220"/>
      <c r="Y3" s="221"/>
      <c r="Z3" s="222"/>
    </row>
    <row r="4" spans="2:27" ht="15.75">
      <c r="B4" t="s">
        <v>7</v>
      </c>
      <c r="E4" t="s">
        <v>8</v>
      </c>
      <c r="H4" s="1" t="s">
        <v>68</v>
      </c>
      <c r="K4" t="s">
        <v>7</v>
      </c>
      <c r="L4" t="s">
        <v>69</v>
      </c>
      <c r="R4" s="1" t="s">
        <v>360</v>
      </c>
      <c r="U4" s="218"/>
      <c r="V4" s="223"/>
      <c r="W4" s="220"/>
      <c r="X4" s="220" t="s">
        <v>366</v>
      </c>
      <c r="Y4" s="220"/>
      <c r="Z4" s="222" t="s">
        <v>367</v>
      </c>
    </row>
    <row r="5" spans="2:27" ht="15.75">
      <c r="C5" t="s">
        <v>9</v>
      </c>
      <c r="H5" s="1" t="s">
        <v>357</v>
      </c>
      <c r="L5" t="s">
        <v>10</v>
      </c>
      <c r="R5" s="1" t="s">
        <v>138</v>
      </c>
      <c r="U5" s="218"/>
      <c r="V5" s="224" t="s">
        <v>159</v>
      </c>
      <c r="W5" s="220"/>
      <c r="X5" s="224" t="s">
        <v>368</v>
      </c>
      <c r="Y5" s="224" t="s">
        <v>369</v>
      </c>
      <c r="Z5" s="225" t="s">
        <v>369</v>
      </c>
    </row>
    <row r="6" spans="2:27" ht="15.75">
      <c r="C6" t="s">
        <v>10</v>
      </c>
      <c r="U6" s="218"/>
      <c r="V6" s="220"/>
      <c r="W6" s="220"/>
      <c r="X6" s="220"/>
      <c r="Y6" s="220"/>
      <c r="Z6" s="222"/>
    </row>
    <row r="7" spans="2:27" ht="15.75">
      <c r="L7" t="s">
        <v>70</v>
      </c>
      <c r="Q7" s="1"/>
      <c r="U7" s="218"/>
      <c r="V7" s="219"/>
      <c r="W7" s="219"/>
      <c r="X7" s="219"/>
      <c r="Y7" s="221"/>
      <c r="Z7" s="226"/>
    </row>
    <row r="8" spans="2:27" ht="15.75">
      <c r="C8" t="s">
        <v>11</v>
      </c>
      <c r="K8">
        <v>1</v>
      </c>
      <c r="L8" t="s">
        <v>71</v>
      </c>
      <c r="Q8" s="1"/>
      <c r="R8">
        <v>84299</v>
      </c>
      <c r="U8" s="218"/>
      <c r="V8" s="223" t="s">
        <v>408</v>
      </c>
      <c r="W8" s="227"/>
      <c r="X8" s="228">
        <v>2.9000000000000001E-2</v>
      </c>
      <c r="Y8" s="323">
        <v>3.2599999999999997E-2</v>
      </c>
      <c r="Z8" s="229">
        <f>X8*Y8</f>
        <v>9.4539999999999999E-4</v>
      </c>
    </row>
    <row r="9" spans="2:27" ht="15.75">
      <c r="B9">
        <v>1</v>
      </c>
      <c r="C9" t="s">
        <v>12</v>
      </c>
      <c r="H9">
        <v>491188</v>
      </c>
      <c r="K9">
        <v>2</v>
      </c>
      <c r="L9" t="s">
        <v>72</v>
      </c>
      <c r="Q9" s="1"/>
      <c r="R9">
        <v>4533</v>
      </c>
      <c r="U9" s="218"/>
      <c r="V9" s="223" t="s">
        <v>409</v>
      </c>
      <c r="W9" s="230"/>
      <c r="X9" s="228">
        <v>0.48599999999999999</v>
      </c>
      <c r="Y9" s="324">
        <v>5.5399999999999998E-2</v>
      </c>
      <c r="Z9" s="229">
        <f>X9*Y9</f>
        <v>2.6924399999999998E-2</v>
      </c>
      <c r="AA9" t="s">
        <v>372</v>
      </c>
    </row>
    <row r="10" spans="2:27" ht="15.75">
      <c r="B10">
        <v>2</v>
      </c>
      <c r="C10" t="s">
        <v>13</v>
      </c>
      <c r="H10">
        <v>946</v>
      </c>
      <c r="K10">
        <v>3</v>
      </c>
      <c r="L10" t="s">
        <v>73</v>
      </c>
      <c r="R10">
        <v>244</v>
      </c>
      <c r="U10" s="218"/>
      <c r="V10" s="223" t="s">
        <v>370</v>
      </c>
      <c r="W10" s="230"/>
      <c r="X10" s="228">
        <v>0.48499999999999999</v>
      </c>
      <c r="Y10" s="324">
        <v>9.0999999999999998E-2</v>
      </c>
      <c r="Z10" s="244">
        <f>X10*Y10</f>
        <v>4.4135000000000001E-2</v>
      </c>
      <c r="AA10">
        <f>0.35/0.65</f>
        <v>0.53846153846153844</v>
      </c>
    </row>
    <row r="11" spans="2:27" ht="15.75">
      <c r="B11">
        <v>3</v>
      </c>
      <c r="C11" t="s">
        <v>14</v>
      </c>
      <c r="H11">
        <v>57325</v>
      </c>
      <c r="K11">
        <v>4</v>
      </c>
      <c r="L11" t="s">
        <v>74</v>
      </c>
      <c r="R11">
        <f>SUM(R8:R10)</f>
        <v>89076</v>
      </c>
      <c r="U11" s="218"/>
      <c r="V11" s="223"/>
      <c r="W11" s="230"/>
      <c r="X11" s="231"/>
      <c r="Y11" s="232"/>
      <c r="Z11" s="229"/>
    </row>
    <row r="12" spans="2:27" ht="16.5" thickBot="1">
      <c r="B12">
        <v>4</v>
      </c>
      <c r="C12" t="s">
        <v>15</v>
      </c>
      <c r="H12">
        <f>SUM(H9:H11)</f>
        <v>549459</v>
      </c>
      <c r="U12" s="218"/>
      <c r="V12" s="223" t="s">
        <v>138</v>
      </c>
      <c r="W12" s="227"/>
      <c r="X12" s="233">
        <f>SUM(X8:X10)</f>
        <v>1</v>
      </c>
      <c r="Y12" s="232"/>
      <c r="Z12" s="234">
        <f>SUM(Z8:Z10)</f>
        <v>7.2004799999999994E-2</v>
      </c>
    </row>
    <row r="13" spans="2:27" ht="17.25" thickTop="1" thickBot="1">
      <c r="B13">
        <v>5</v>
      </c>
      <c r="C13" t="s">
        <v>16</v>
      </c>
      <c r="H13">
        <v>13300</v>
      </c>
      <c r="L13" t="s">
        <v>75</v>
      </c>
      <c r="U13" s="235"/>
      <c r="V13" s="236"/>
      <c r="W13" s="237"/>
      <c r="X13" s="238"/>
      <c r="Y13" s="239"/>
      <c r="Z13" s="240"/>
    </row>
    <row r="14" spans="2:27" ht="15.75">
      <c r="B14">
        <v>6</v>
      </c>
      <c r="C14" t="s">
        <v>17</v>
      </c>
      <c r="H14">
        <f>SUM(H12:H13)</f>
        <v>562759</v>
      </c>
      <c r="L14" t="s">
        <v>76</v>
      </c>
      <c r="U14" s="241" t="s">
        <v>371</v>
      </c>
      <c r="V14" s="242"/>
      <c r="W14" s="242"/>
      <c r="X14" s="242"/>
      <c r="Y14" s="243"/>
      <c r="Z14" s="242"/>
    </row>
    <row r="15" spans="2:27">
      <c r="K15">
        <v>5</v>
      </c>
      <c r="M15" t="s">
        <v>77</v>
      </c>
      <c r="R15">
        <v>0</v>
      </c>
    </row>
    <row r="16" spans="2:27">
      <c r="C16" t="s">
        <v>18</v>
      </c>
      <c r="K16">
        <v>6</v>
      </c>
      <c r="M16" t="s">
        <v>78</v>
      </c>
      <c r="R16">
        <v>1019</v>
      </c>
      <c r="U16" t="s">
        <v>373</v>
      </c>
      <c r="X16" s="31">
        <f>Z10*AA10</f>
        <v>2.3764999999999998E-2</v>
      </c>
    </row>
    <row r="17" spans="2:29">
      <c r="C17" t="s">
        <v>19</v>
      </c>
      <c r="K17">
        <v>7</v>
      </c>
      <c r="M17" t="s">
        <v>79</v>
      </c>
      <c r="R17">
        <v>0</v>
      </c>
      <c r="U17" t="s">
        <v>374</v>
      </c>
      <c r="X17" s="37">
        <f>Z12+X16</f>
        <v>9.5769799999999988E-2</v>
      </c>
    </row>
    <row r="18" spans="2:29">
      <c r="B18">
        <v>7</v>
      </c>
      <c r="D18" t="s">
        <v>20</v>
      </c>
      <c r="H18">
        <v>135745</v>
      </c>
      <c r="K18">
        <v>8</v>
      </c>
      <c r="L18" t="s">
        <v>80</v>
      </c>
      <c r="R18">
        <f>SUM(R15:R17)</f>
        <v>1019</v>
      </c>
    </row>
    <row r="19" spans="2:29">
      <c r="B19">
        <v>8</v>
      </c>
      <c r="D19" t="s">
        <v>21</v>
      </c>
      <c r="H19">
        <v>77131</v>
      </c>
    </row>
    <row r="20" spans="2:29">
      <c r="B20">
        <v>9</v>
      </c>
      <c r="D20" t="s">
        <v>22</v>
      </c>
      <c r="H20">
        <v>26677</v>
      </c>
      <c r="L20" t="s">
        <v>81</v>
      </c>
    </row>
    <row r="21" spans="2:29">
      <c r="B21">
        <v>10</v>
      </c>
      <c r="D21" t="s">
        <v>23</v>
      </c>
      <c r="H21">
        <v>3312</v>
      </c>
      <c r="K21">
        <v>9</v>
      </c>
      <c r="M21" t="s">
        <v>82</v>
      </c>
      <c r="R21">
        <v>974</v>
      </c>
    </row>
    <row r="22" spans="2:29">
      <c r="B22">
        <v>11</v>
      </c>
      <c r="D22" t="s">
        <v>24</v>
      </c>
      <c r="H22">
        <v>15458</v>
      </c>
      <c r="K22">
        <v>10</v>
      </c>
      <c r="M22" t="s">
        <v>27</v>
      </c>
      <c r="R22">
        <v>492</v>
      </c>
    </row>
    <row r="23" spans="2:29">
      <c r="B23">
        <v>12</v>
      </c>
      <c r="C23" t="s">
        <v>25</v>
      </c>
      <c r="H23">
        <f>SUM(H18:H22)</f>
        <v>258323</v>
      </c>
      <c r="K23">
        <v>11</v>
      </c>
      <c r="M23" t="s">
        <v>83</v>
      </c>
      <c r="R23">
        <v>249</v>
      </c>
    </row>
    <row r="24" spans="2:29">
      <c r="K24">
        <v>12</v>
      </c>
      <c r="L24" t="s">
        <v>84</v>
      </c>
      <c r="R24">
        <f>SUM(R21:R23)</f>
        <v>1715</v>
      </c>
    </row>
    <row r="25" spans="2:29">
      <c r="C25" t="s">
        <v>26</v>
      </c>
    </row>
    <row r="26" spans="2:29">
      <c r="B26">
        <v>13</v>
      </c>
      <c r="D26" t="s">
        <v>20</v>
      </c>
      <c r="H26">
        <v>22477</v>
      </c>
      <c r="L26" t="s">
        <v>85</v>
      </c>
      <c r="W26" s="35"/>
      <c r="Y26" s="35"/>
      <c r="AB26" s="35"/>
    </row>
    <row r="27" spans="2:29">
      <c r="B27">
        <v>14</v>
      </c>
      <c r="D27" t="s">
        <v>27</v>
      </c>
      <c r="H27">
        <v>28055</v>
      </c>
      <c r="K27">
        <v>13</v>
      </c>
      <c r="M27" t="s">
        <v>82</v>
      </c>
      <c r="R27">
        <v>12693</v>
      </c>
      <c r="W27" s="35"/>
      <c r="Y27" s="35"/>
      <c r="AB27" s="35"/>
    </row>
    <row r="28" spans="2:29">
      <c r="B28">
        <v>15</v>
      </c>
      <c r="D28" t="s">
        <v>23</v>
      </c>
      <c r="H28">
        <v>0</v>
      </c>
      <c r="K28">
        <v>14</v>
      </c>
      <c r="M28" t="s">
        <v>27</v>
      </c>
      <c r="R28">
        <v>10063</v>
      </c>
      <c r="W28" s="35"/>
      <c r="Y28" s="35"/>
      <c r="AA28" s="35"/>
      <c r="AB28" s="35"/>
      <c r="AC28" s="35"/>
    </row>
    <row r="29" spans="2:29">
      <c r="B29">
        <v>16</v>
      </c>
      <c r="D29" t="s">
        <v>24</v>
      </c>
      <c r="H29">
        <v>27087</v>
      </c>
      <c r="K29">
        <v>15</v>
      </c>
      <c r="M29" t="s">
        <v>83</v>
      </c>
      <c r="R29">
        <v>6107</v>
      </c>
      <c r="W29" s="35"/>
      <c r="AA29" s="35"/>
      <c r="AC29" s="35"/>
    </row>
    <row r="30" spans="2:29">
      <c r="B30">
        <v>17</v>
      </c>
      <c r="C30" t="s">
        <v>28</v>
      </c>
      <c r="H30">
        <f>SUM(H26:H29)</f>
        <v>77619</v>
      </c>
      <c r="K30">
        <v>16</v>
      </c>
      <c r="L30" t="s">
        <v>86</v>
      </c>
      <c r="R30">
        <f>SUM(R27:R29)</f>
        <v>28863</v>
      </c>
      <c r="AB30" s="35"/>
    </row>
    <row r="32" spans="2:29">
      <c r="B32">
        <v>18</v>
      </c>
      <c r="C32" t="s">
        <v>29</v>
      </c>
      <c r="H32">
        <v>13092</v>
      </c>
      <c r="K32">
        <v>17</v>
      </c>
      <c r="L32" t="s">
        <v>87</v>
      </c>
      <c r="R32">
        <v>6779</v>
      </c>
    </row>
    <row r="33" spans="2:28">
      <c r="B33">
        <v>19</v>
      </c>
      <c r="C33" t="s">
        <v>30</v>
      </c>
      <c r="H33">
        <v>1430</v>
      </c>
      <c r="K33">
        <v>18</v>
      </c>
      <c r="L33" t="s">
        <v>88</v>
      </c>
      <c r="R33">
        <v>977</v>
      </c>
      <c r="W33" s="35"/>
      <c r="Y33" s="35"/>
      <c r="AB33" s="35"/>
    </row>
    <row r="34" spans="2:28">
      <c r="B34">
        <v>20</v>
      </c>
      <c r="C34" t="s">
        <v>31</v>
      </c>
      <c r="H34">
        <v>0</v>
      </c>
      <c r="K34">
        <v>19</v>
      </c>
      <c r="L34" t="s">
        <v>89</v>
      </c>
      <c r="R34">
        <v>0</v>
      </c>
    </row>
    <row r="36" spans="2:28">
      <c r="C36" t="s">
        <v>32</v>
      </c>
      <c r="L36" t="s">
        <v>90</v>
      </c>
    </row>
    <row r="37" spans="2:28">
      <c r="B37">
        <v>21</v>
      </c>
      <c r="D37" t="s">
        <v>20</v>
      </c>
      <c r="H37">
        <v>50492</v>
      </c>
      <c r="K37">
        <v>20</v>
      </c>
      <c r="M37" t="s">
        <v>82</v>
      </c>
      <c r="R37">
        <v>13624</v>
      </c>
    </row>
    <row r="38" spans="2:28">
      <c r="B38">
        <v>22</v>
      </c>
      <c r="D38" t="s">
        <v>27</v>
      </c>
      <c r="H38">
        <v>24506</v>
      </c>
      <c r="K38">
        <v>21</v>
      </c>
      <c r="M38" t="s">
        <v>27</v>
      </c>
      <c r="R38">
        <v>6540</v>
      </c>
    </row>
    <row r="39" spans="2:28">
      <c r="B39">
        <v>23</v>
      </c>
      <c r="D39" t="s">
        <v>24</v>
      </c>
      <c r="H39">
        <v>0</v>
      </c>
      <c r="K39">
        <v>22</v>
      </c>
      <c r="M39" t="s">
        <v>91</v>
      </c>
      <c r="R39">
        <v>584</v>
      </c>
    </row>
    <row r="40" spans="2:28">
      <c r="B40">
        <v>24</v>
      </c>
      <c r="C40" t="s">
        <v>33</v>
      </c>
      <c r="H40">
        <f>SUM(H37:H39)</f>
        <v>74998</v>
      </c>
      <c r="K40">
        <v>23</v>
      </c>
      <c r="M40" t="s">
        <v>83</v>
      </c>
      <c r="R40">
        <v>0</v>
      </c>
    </row>
    <row r="41" spans="2:28">
      <c r="B41">
        <v>25</v>
      </c>
      <c r="C41" t="s">
        <v>34</v>
      </c>
      <c r="H41">
        <f>SUM(H40,H32:H34,H30,H23)</f>
        <v>425462</v>
      </c>
      <c r="K41">
        <v>24</v>
      </c>
      <c r="L41" t="s">
        <v>92</v>
      </c>
      <c r="R41">
        <f>SUM(R37:R40)</f>
        <v>20748</v>
      </c>
    </row>
    <row r="42" spans="2:28">
      <c r="K42">
        <v>25</v>
      </c>
      <c r="L42" t="s">
        <v>93</v>
      </c>
      <c r="R42">
        <f>SUM(R41,R32:R34,R30,R24,R18)</f>
        <v>60101</v>
      </c>
    </row>
    <row r="43" spans="2:28">
      <c r="B43">
        <v>26</v>
      </c>
      <c r="C43" t="s">
        <v>35</v>
      </c>
      <c r="H43">
        <f>H14-H41</f>
        <v>137297</v>
      </c>
    </row>
    <row r="44" spans="2:28">
      <c r="K44">
        <v>26</v>
      </c>
      <c r="L44" t="s">
        <v>94</v>
      </c>
      <c r="R44">
        <f>R11-R42</f>
        <v>28975</v>
      </c>
    </row>
    <row r="45" spans="2:28">
      <c r="C45" t="s">
        <v>36</v>
      </c>
    </row>
    <row r="46" spans="2:28">
      <c r="B46">
        <v>27</v>
      </c>
      <c r="C46" t="s">
        <v>37</v>
      </c>
      <c r="H46">
        <v>-31536</v>
      </c>
      <c r="L46" t="s">
        <v>95</v>
      </c>
    </row>
    <row r="47" spans="2:28">
      <c r="B47">
        <v>28</v>
      </c>
      <c r="C47" t="s">
        <v>38</v>
      </c>
      <c r="H47">
        <v>-649.38166838999985</v>
      </c>
      <c r="K47">
        <v>27</v>
      </c>
      <c r="L47" t="s">
        <v>96</v>
      </c>
      <c r="R47" s="23">
        <v>-2149.8000000000002</v>
      </c>
    </row>
    <row r="48" spans="2:28">
      <c r="B48">
        <v>29</v>
      </c>
      <c r="C48" t="s">
        <v>39</v>
      </c>
      <c r="H48">
        <v>67191</v>
      </c>
      <c r="K48">
        <v>28</v>
      </c>
      <c r="L48" t="s">
        <v>38</v>
      </c>
      <c r="R48" s="23">
        <v>-185.32441556999996</v>
      </c>
    </row>
    <row r="49" spans="2:18">
      <c r="B49">
        <v>30</v>
      </c>
      <c r="C49" t="s">
        <v>40</v>
      </c>
      <c r="H49">
        <v>-326</v>
      </c>
      <c r="K49">
        <v>29</v>
      </c>
      <c r="L49" t="s">
        <v>97</v>
      </c>
      <c r="R49">
        <v>9923</v>
      </c>
    </row>
    <row r="50" spans="2:18">
      <c r="K50">
        <v>30</v>
      </c>
      <c r="L50" t="s">
        <v>98</v>
      </c>
      <c r="R50">
        <v>-17</v>
      </c>
    </row>
    <row r="51" spans="2:18">
      <c r="B51">
        <v>31</v>
      </c>
      <c r="C51" t="s">
        <v>41</v>
      </c>
      <c r="H51" s="23">
        <f>H43-SUM(H46:H49)</f>
        <v>102617.38166839001</v>
      </c>
    </row>
    <row r="52" spans="2:18">
      <c r="K52">
        <v>31</v>
      </c>
      <c r="L52" t="s">
        <v>99</v>
      </c>
      <c r="R52" s="23">
        <f>R44-SUM(R47:R50)</f>
        <v>21404.124415570001</v>
      </c>
    </row>
    <row r="53" spans="2:18">
      <c r="C53" t="s">
        <v>42</v>
      </c>
    </row>
    <row r="54" spans="2:18">
      <c r="C54" t="s">
        <v>43</v>
      </c>
      <c r="L54" t="s">
        <v>100</v>
      </c>
    </row>
    <row r="55" spans="2:18">
      <c r="B55">
        <v>32</v>
      </c>
      <c r="D55" t="s">
        <v>44</v>
      </c>
      <c r="H55">
        <v>163234</v>
      </c>
      <c r="L55" t="s">
        <v>101</v>
      </c>
    </row>
    <row r="56" spans="2:18">
      <c r="B56">
        <v>33</v>
      </c>
      <c r="D56" t="s">
        <v>45</v>
      </c>
      <c r="H56">
        <v>874076</v>
      </c>
      <c r="K56">
        <v>32</v>
      </c>
      <c r="M56" t="s">
        <v>81</v>
      </c>
      <c r="R56">
        <v>27143</v>
      </c>
    </row>
    <row r="57" spans="2:18">
      <c r="B57">
        <v>34</v>
      </c>
      <c r="D57" t="s">
        <v>46</v>
      </c>
      <c r="H57">
        <v>446138</v>
      </c>
      <c r="K57">
        <v>33</v>
      </c>
      <c r="M57" t="s">
        <v>102</v>
      </c>
      <c r="R57">
        <v>416918</v>
      </c>
    </row>
    <row r="58" spans="2:18">
      <c r="B58">
        <v>35</v>
      </c>
      <c r="D58" t="s">
        <v>26</v>
      </c>
      <c r="H58">
        <v>1013933</v>
      </c>
      <c r="K58">
        <v>34</v>
      </c>
      <c r="M58" t="s">
        <v>103</v>
      </c>
      <c r="R58">
        <v>88432</v>
      </c>
    </row>
    <row r="59" spans="2:18">
      <c r="B59">
        <v>36</v>
      </c>
      <c r="D59" t="s">
        <v>47</v>
      </c>
      <c r="H59">
        <v>242579</v>
      </c>
      <c r="K59">
        <v>35</v>
      </c>
      <c r="L59" t="s">
        <v>104</v>
      </c>
      <c r="R59">
        <f>SUM(R56:R58)</f>
        <v>532493</v>
      </c>
    </row>
    <row r="60" spans="2:18">
      <c r="B60">
        <v>37</v>
      </c>
      <c r="C60" t="s">
        <v>48</v>
      </c>
      <c r="H60">
        <f>SUM(H55:H59)</f>
        <v>2739960</v>
      </c>
    </row>
    <row r="61" spans="2:18">
      <c r="C61" t="s">
        <v>49</v>
      </c>
      <c r="L61" t="s">
        <v>49</v>
      </c>
    </row>
    <row r="62" spans="2:18">
      <c r="B62">
        <v>38</v>
      </c>
      <c r="D62" t="s">
        <v>44</v>
      </c>
      <c r="H62">
        <v>-34313</v>
      </c>
      <c r="K62">
        <v>36</v>
      </c>
      <c r="M62" t="s">
        <v>81</v>
      </c>
      <c r="R62">
        <v>-10472</v>
      </c>
    </row>
    <row r="63" spans="2:18">
      <c r="B63">
        <v>39</v>
      </c>
      <c r="D63" t="s">
        <v>45</v>
      </c>
      <c r="H63">
        <v>-347038</v>
      </c>
      <c r="K63">
        <v>37</v>
      </c>
      <c r="M63" t="s">
        <v>102</v>
      </c>
      <c r="R63">
        <v>-132896</v>
      </c>
    </row>
    <row r="64" spans="2:18">
      <c r="B64">
        <v>40</v>
      </c>
      <c r="D64" t="s">
        <v>46</v>
      </c>
      <c r="H64">
        <v>-136127</v>
      </c>
      <c r="K64">
        <v>38</v>
      </c>
      <c r="M64" t="s">
        <v>103</v>
      </c>
      <c r="R64">
        <v>-25025</v>
      </c>
    </row>
    <row r="65" spans="2:18">
      <c r="B65">
        <v>41</v>
      </c>
      <c r="D65" t="s">
        <v>26</v>
      </c>
      <c r="H65">
        <v>-305178</v>
      </c>
      <c r="K65">
        <v>39</v>
      </c>
      <c r="L65" t="s">
        <v>105</v>
      </c>
      <c r="R65">
        <f>SUM(R62:R64)</f>
        <v>-168393</v>
      </c>
    </row>
    <row r="66" spans="2:18">
      <c r="B66">
        <v>42</v>
      </c>
      <c r="D66" t="s">
        <v>47</v>
      </c>
      <c r="H66">
        <v>-83644</v>
      </c>
      <c r="K66">
        <v>40</v>
      </c>
      <c r="L66" t="s">
        <v>106</v>
      </c>
      <c r="R66">
        <f>SUM(R59,R65)</f>
        <v>364100</v>
      </c>
    </row>
    <row r="67" spans="2:18">
      <c r="B67">
        <v>43</v>
      </c>
      <c r="C67" t="s">
        <v>50</v>
      </c>
      <c r="H67">
        <f>SUM(H62:H66)</f>
        <v>-906300</v>
      </c>
      <c r="K67">
        <v>41</v>
      </c>
      <c r="L67" t="s">
        <v>107</v>
      </c>
      <c r="R67">
        <v>-79137</v>
      </c>
    </row>
    <row r="68" spans="2:18">
      <c r="B68">
        <v>44</v>
      </c>
      <c r="C68" t="s">
        <v>51</v>
      </c>
      <c r="H68">
        <f>SUM(H67,H60)</f>
        <v>1833660</v>
      </c>
      <c r="K68">
        <v>42</v>
      </c>
      <c r="L68" t="s">
        <v>53</v>
      </c>
      <c r="R68">
        <f>SUM(R66:R67)</f>
        <v>284963</v>
      </c>
    </row>
    <row r="69" spans="2:18">
      <c r="K69">
        <v>43</v>
      </c>
      <c r="L69" t="s">
        <v>108</v>
      </c>
      <c r="R69">
        <v>9116</v>
      </c>
    </row>
    <row r="70" spans="2:18">
      <c r="B70">
        <v>45</v>
      </c>
      <c r="C70" t="s">
        <v>52</v>
      </c>
      <c r="H70">
        <v>-379586</v>
      </c>
      <c r="K70">
        <v>44</v>
      </c>
      <c r="L70" t="s">
        <v>109</v>
      </c>
      <c r="R70">
        <v>0</v>
      </c>
    </row>
    <row r="71" spans="2:18">
      <c r="B71">
        <v>46</v>
      </c>
      <c r="D71" t="s">
        <v>53</v>
      </c>
      <c r="H71">
        <f>SUM(H68,H70)</f>
        <v>1454074</v>
      </c>
      <c r="K71">
        <v>45</v>
      </c>
      <c r="L71" t="s">
        <v>110</v>
      </c>
      <c r="R71">
        <v>1225</v>
      </c>
    </row>
    <row r="72" spans="2:18">
      <c r="B72">
        <v>47</v>
      </c>
      <c r="C72" t="s">
        <v>54</v>
      </c>
      <c r="H72">
        <v>-778</v>
      </c>
      <c r="K72">
        <v>46</v>
      </c>
      <c r="L72" t="s">
        <v>55</v>
      </c>
      <c r="R72">
        <v>11482</v>
      </c>
    </row>
    <row r="73" spans="2:18">
      <c r="B73">
        <v>48</v>
      </c>
      <c r="C73" t="s">
        <v>55</v>
      </c>
      <c r="H73">
        <v>58202</v>
      </c>
    </row>
    <row r="75" spans="2:18">
      <c r="B75">
        <v>49</v>
      </c>
      <c r="C75" t="s">
        <v>56</v>
      </c>
      <c r="H75">
        <f>SUM(H71:H73)</f>
        <v>1511498</v>
      </c>
      <c r="K75">
        <v>47</v>
      </c>
      <c r="L75" t="s">
        <v>111</v>
      </c>
      <c r="R75">
        <f>SUM(R68:R72)</f>
        <v>306786</v>
      </c>
    </row>
    <row r="76" spans="2:18">
      <c r="B76">
        <v>50</v>
      </c>
      <c r="C76" t="s">
        <v>57</v>
      </c>
      <c r="K76">
        <v>50</v>
      </c>
      <c r="L76" t="s">
        <v>57</v>
      </c>
    </row>
    <row r="77" spans="2:18">
      <c r="B77">
        <v>51</v>
      </c>
      <c r="C77" t="s">
        <v>58</v>
      </c>
      <c r="H77" s="23">
        <f>H82</f>
        <v>10034.114766363398</v>
      </c>
      <c r="K77">
        <v>51</v>
      </c>
      <c r="L77" t="s">
        <v>58</v>
      </c>
      <c r="R77" s="23">
        <f>R82</f>
        <v>1106.7156674109913</v>
      </c>
    </row>
    <row r="81" spans="3:18">
      <c r="C81" t="s">
        <v>61</v>
      </c>
      <c r="H81">
        <f>(H75*$Z$12)-H51</f>
        <v>6217.7295220099768</v>
      </c>
      <c r="L81" t="s">
        <v>61</v>
      </c>
      <c r="R81" s="23">
        <f>(R75*$Z$12)-R52</f>
        <v>685.94015722999757</v>
      </c>
    </row>
    <row r="82" spans="3:18">
      <c r="C82" t="s">
        <v>62</v>
      </c>
      <c r="H82">
        <f>H81/H84</f>
        <v>10034.114766363398</v>
      </c>
      <c r="L82" t="s">
        <v>62</v>
      </c>
      <c r="R82" s="23">
        <f>R81/Q84</f>
        <v>1106.7156674109913</v>
      </c>
    </row>
    <row r="84" spans="3:18">
      <c r="C84" t="s">
        <v>64</v>
      </c>
      <c r="H84">
        <f>'CSH-2 Electric Escalation'!F92</f>
        <v>0.61965899999999996</v>
      </c>
      <c r="L84" t="s">
        <v>64</v>
      </c>
      <c r="Q84">
        <f>'CSH-3 Natural Gas Escalation'!F93</f>
        <v>0.61979799999999996</v>
      </c>
    </row>
  </sheetData>
  <mergeCells count="2">
    <mergeCell ref="B1:H1"/>
    <mergeCell ref="K1:Q1"/>
  </mergeCells>
  <pageMargins left="0.7" right="0.7" top="0.75" bottom="0.75" header="0.3" footer="0.3"/>
  <cellWatches>
    <cellWatch r="R82"/>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
  <sheetViews>
    <sheetView workbookViewId="0">
      <selection activeCell="I17" sqref="I17"/>
    </sheetView>
  </sheetViews>
  <sheetFormatPr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topLeftCell="A67" workbookViewId="0">
      <selection activeCell="B89" sqref="B89"/>
    </sheetView>
  </sheetViews>
  <sheetFormatPr defaultColWidth="20.7109375" defaultRowHeight="12.75"/>
  <cols>
    <col min="1" max="1" width="20.7109375" style="42" customWidth="1"/>
    <col min="2" max="16384" width="20.7109375" style="42"/>
  </cols>
  <sheetData>
    <row r="1" spans="1:2">
      <c r="A1" s="42" t="s">
        <v>196</v>
      </c>
    </row>
    <row r="2" spans="1:2">
      <c r="A2" s="42" t="s">
        <v>197</v>
      </c>
    </row>
    <row r="3" spans="1:2">
      <c r="A3" s="42" t="s">
        <v>198</v>
      </c>
    </row>
    <row r="4" spans="1:2">
      <c r="A4" s="42" t="s">
        <v>199</v>
      </c>
    </row>
    <row r="5" spans="1:2">
      <c r="A5" s="42" t="s">
        <v>200</v>
      </c>
    </row>
    <row r="6" spans="1:2">
      <c r="A6" s="42" t="s">
        <v>201</v>
      </c>
    </row>
    <row r="8" spans="1:2">
      <c r="A8" s="42" t="s">
        <v>202</v>
      </c>
      <c r="B8" s="42" t="s">
        <v>203</v>
      </c>
    </row>
    <row r="10" spans="1:2">
      <c r="A10" s="42" t="s">
        <v>204</v>
      </c>
    </row>
    <row r="11" spans="1:2">
      <c r="A11" s="42" t="s">
        <v>205</v>
      </c>
      <c r="B11" s="42" t="s">
        <v>202</v>
      </c>
    </row>
    <row r="12" spans="1:2">
      <c r="A12" s="43">
        <v>37622</v>
      </c>
      <c r="B12" s="44">
        <v>87.9</v>
      </c>
    </row>
    <row r="13" spans="1:2">
      <c r="A13" s="43">
        <v>37712</v>
      </c>
      <c r="B13" s="44">
        <v>88.6</v>
      </c>
    </row>
    <row r="14" spans="1:2">
      <c r="A14" s="43">
        <v>37803</v>
      </c>
      <c r="B14" s="44">
        <v>89.7</v>
      </c>
    </row>
    <row r="15" spans="1:2">
      <c r="A15" s="43">
        <v>37895</v>
      </c>
      <c r="B15" s="44">
        <v>90.8</v>
      </c>
    </row>
    <row r="16" spans="1:2">
      <c r="A16" s="43">
        <v>37987</v>
      </c>
      <c r="B16" s="44">
        <v>92.2</v>
      </c>
    </row>
    <row r="17" spans="1:2">
      <c r="A17" s="43">
        <v>38078</v>
      </c>
      <c r="B17" s="44">
        <v>94.3</v>
      </c>
    </row>
    <row r="18" spans="1:2">
      <c r="A18" s="43">
        <v>38169</v>
      </c>
      <c r="B18" s="44">
        <v>95.2</v>
      </c>
    </row>
    <row r="19" spans="1:2">
      <c r="A19" s="43">
        <v>38261</v>
      </c>
      <c r="B19" s="44">
        <v>95.7</v>
      </c>
    </row>
    <row r="20" spans="1:2">
      <c r="A20" s="43">
        <v>38353</v>
      </c>
      <c r="B20" s="44">
        <v>98.1</v>
      </c>
    </row>
    <row r="21" spans="1:2">
      <c r="A21" s="43">
        <v>38443</v>
      </c>
      <c r="B21" s="44">
        <v>98.7</v>
      </c>
    </row>
    <row r="22" spans="1:2">
      <c r="A22" s="43">
        <v>38534</v>
      </c>
      <c r="B22" s="44">
        <v>99.5</v>
      </c>
    </row>
    <row r="23" spans="1:2">
      <c r="A23" s="43">
        <v>38626</v>
      </c>
      <c r="B23" s="44">
        <v>100.6</v>
      </c>
    </row>
    <row r="24" spans="1:2">
      <c r="A24" s="43">
        <v>38718</v>
      </c>
      <c r="B24" s="44">
        <v>107.7</v>
      </c>
    </row>
    <row r="25" spans="1:2">
      <c r="A25" s="43">
        <v>38808</v>
      </c>
      <c r="B25" s="44">
        <v>108.7</v>
      </c>
    </row>
    <row r="26" spans="1:2">
      <c r="A26" s="43">
        <v>38899</v>
      </c>
      <c r="B26" s="44">
        <v>110.1</v>
      </c>
    </row>
    <row r="27" spans="1:2">
      <c r="A27" s="43">
        <v>38991</v>
      </c>
      <c r="B27" s="44">
        <v>111.1</v>
      </c>
    </row>
    <row r="28" spans="1:2">
      <c r="A28" s="43">
        <v>39083</v>
      </c>
      <c r="B28" s="44">
        <v>102.8</v>
      </c>
    </row>
    <row r="29" spans="1:2">
      <c r="A29" s="43">
        <v>39173</v>
      </c>
      <c r="B29" s="44">
        <v>104.2</v>
      </c>
    </row>
    <row r="30" spans="1:2">
      <c r="A30" s="43">
        <v>39264</v>
      </c>
      <c r="B30" s="44">
        <v>104.9</v>
      </c>
    </row>
    <row r="31" spans="1:2">
      <c r="A31" s="43">
        <v>39356</v>
      </c>
      <c r="B31" s="44">
        <v>106.2</v>
      </c>
    </row>
    <row r="32" spans="1:2">
      <c r="A32" s="43">
        <v>39448</v>
      </c>
      <c r="B32" s="44">
        <v>106.5</v>
      </c>
    </row>
    <row r="33" spans="1:2">
      <c r="A33" s="43">
        <v>39539</v>
      </c>
      <c r="B33" s="44">
        <v>107.6</v>
      </c>
    </row>
    <row r="34" spans="1:2">
      <c r="A34" s="43">
        <v>39630</v>
      </c>
      <c r="B34" s="44">
        <v>108</v>
      </c>
    </row>
    <row r="35" spans="1:2">
      <c r="A35" s="43">
        <v>39722</v>
      </c>
      <c r="B35" s="44">
        <v>109.5</v>
      </c>
    </row>
    <row r="36" spans="1:2">
      <c r="A36" s="43">
        <v>39814</v>
      </c>
      <c r="B36" s="44">
        <v>109.6</v>
      </c>
    </row>
    <row r="37" spans="1:2">
      <c r="A37" s="43">
        <v>39904</v>
      </c>
      <c r="B37" s="44">
        <v>110.4</v>
      </c>
    </row>
    <row r="38" spans="1:2">
      <c r="A38" s="43">
        <v>39995</v>
      </c>
      <c r="B38" s="44">
        <v>111</v>
      </c>
    </row>
    <row r="39" spans="1:2">
      <c r="A39" s="43">
        <v>40087</v>
      </c>
      <c r="B39" s="44">
        <v>112.7</v>
      </c>
    </row>
    <row r="40" spans="1:2">
      <c r="A40" s="43">
        <v>40179</v>
      </c>
      <c r="B40" s="44">
        <v>115.5</v>
      </c>
    </row>
    <row r="41" spans="1:2">
      <c r="A41" s="43">
        <v>40269</v>
      </c>
      <c r="B41" s="44">
        <v>116.5</v>
      </c>
    </row>
    <row r="42" spans="1:2">
      <c r="A42" s="43">
        <v>40360</v>
      </c>
      <c r="B42" s="44">
        <v>117.7</v>
      </c>
    </row>
    <row r="43" spans="1:2">
      <c r="A43" s="43">
        <v>40452</v>
      </c>
      <c r="B43" s="44">
        <v>118</v>
      </c>
    </row>
    <row r="44" spans="1:2">
      <c r="A44" s="43">
        <v>40544</v>
      </c>
      <c r="B44" s="44">
        <v>119.4</v>
      </c>
    </row>
    <row r="45" spans="1:2">
      <c r="A45" s="43">
        <v>40634</v>
      </c>
      <c r="B45" s="44">
        <v>120.4</v>
      </c>
    </row>
    <row r="46" spans="1:2">
      <c r="A46" s="43">
        <v>40725</v>
      </c>
      <c r="B46" s="44">
        <v>121.5</v>
      </c>
    </row>
    <row r="47" spans="1:2">
      <c r="A47" s="43">
        <v>40817</v>
      </c>
      <c r="B47" s="44">
        <v>122.2</v>
      </c>
    </row>
    <row r="48" spans="1:2">
      <c r="A48" s="43">
        <v>40909</v>
      </c>
      <c r="B48" s="44">
        <v>122.9</v>
      </c>
    </row>
    <row r="49" spans="1:2">
      <c r="A49" s="43">
        <v>41000</v>
      </c>
      <c r="B49" s="44">
        <v>124.7</v>
      </c>
    </row>
    <row r="50" spans="1:2">
      <c r="A50" s="43">
        <v>41091</v>
      </c>
      <c r="B50" s="44">
        <v>125.3</v>
      </c>
    </row>
    <row r="51" spans="1:2">
      <c r="A51" s="43">
        <v>41183</v>
      </c>
      <c r="B51" s="44">
        <v>126.3</v>
      </c>
    </row>
    <row r="52" spans="1:2">
      <c r="A52" s="43">
        <v>41275</v>
      </c>
      <c r="B52" s="44">
        <v>126.5</v>
      </c>
    </row>
    <row r="53" spans="1:2">
      <c r="A53" s="43">
        <v>41365</v>
      </c>
      <c r="B53" s="44">
        <v>126.9</v>
      </c>
    </row>
    <row r="54" spans="1:2">
      <c r="A54" s="43">
        <v>41456</v>
      </c>
      <c r="B54" s="44">
        <v>126.3</v>
      </c>
    </row>
    <row r="55" spans="1:2">
      <c r="A55" s="43">
        <v>41548</v>
      </c>
      <c r="B55" s="44">
        <v>127.5</v>
      </c>
    </row>
    <row r="56" spans="1:2">
      <c r="A56" s="43">
        <v>41640</v>
      </c>
      <c r="B56" s="44">
        <v>128.30000000000001</v>
      </c>
    </row>
    <row r="57" spans="1:2">
      <c r="A57" s="43">
        <v>41730</v>
      </c>
      <c r="B57" s="44">
        <v>128.9</v>
      </c>
    </row>
    <row r="58" spans="1:2">
      <c r="A58" s="43">
        <v>41821</v>
      </c>
      <c r="B58" s="44">
        <v>129.80000000000001</v>
      </c>
    </row>
    <row r="59" spans="1:2">
      <c r="A59" s="43">
        <v>41913</v>
      </c>
      <c r="B59" s="44">
        <v>130.6</v>
      </c>
    </row>
    <row r="60" spans="1:2">
      <c r="A60" s="43">
        <v>42005</v>
      </c>
      <c r="B60" s="44">
        <v>132.1</v>
      </c>
    </row>
    <row r="61" spans="1:2">
      <c r="A61" s="43">
        <v>42095</v>
      </c>
      <c r="B61" s="44">
        <v>132.9</v>
      </c>
    </row>
    <row r="62" spans="1:2">
      <c r="A62" s="43">
        <v>42186</v>
      </c>
      <c r="B62" s="44">
        <v>134.1</v>
      </c>
    </row>
    <row r="63" spans="1:2">
      <c r="A63" s="43">
        <v>42278</v>
      </c>
      <c r="B63" s="44">
        <v>134.9</v>
      </c>
    </row>
    <row r="64" spans="1:2">
      <c r="A64" s="43">
        <v>42370</v>
      </c>
      <c r="B64" s="44">
        <v>135.69999999999999</v>
      </c>
    </row>
    <row r="65" spans="1:5">
      <c r="A65" s="43">
        <v>42461</v>
      </c>
      <c r="B65" s="44">
        <v>136.4</v>
      </c>
    </row>
    <row r="66" spans="1:5">
      <c r="A66" s="43">
        <v>42552</v>
      </c>
      <c r="B66" s="44">
        <v>137.30000000000001</v>
      </c>
    </row>
    <row r="67" spans="1:5">
      <c r="A67" s="43">
        <v>42644</v>
      </c>
      <c r="B67" s="44">
        <v>138.5</v>
      </c>
    </row>
    <row r="68" spans="1:5">
      <c r="A68" s="43">
        <v>42736</v>
      </c>
      <c r="B68" s="44">
        <v>139.19999999999999</v>
      </c>
    </row>
    <row r="69" spans="1:5">
      <c r="A69" s="43">
        <v>42826</v>
      </c>
      <c r="B69" s="44">
        <v>139.80000000000001</v>
      </c>
    </row>
    <row r="73" spans="1:5">
      <c r="E73" s="42" t="s">
        <v>206</v>
      </c>
    </row>
    <row r="74" spans="1:5">
      <c r="A74" s="42">
        <v>2003</v>
      </c>
      <c r="B74" s="45">
        <f>AVERAGE(B12:B15)</f>
        <v>89.25</v>
      </c>
      <c r="D74" s="42" t="s">
        <v>207</v>
      </c>
      <c r="E74" s="46">
        <f>RATE(13,,-B74,B$87)</f>
        <v>3.3499420043593631E-2</v>
      </c>
    </row>
    <row r="75" spans="1:5">
      <c r="A75" s="42">
        <v>2004</v>
      </c>
      <c r="B75" s="45">
        <f>AVERAGE(B16:B19)</f>
        <v>94.35</v>
      </c>
      <c r="D75" s="42" t="s">
        <v>186</v>
      </c>
      <c r="E75" s="46">
        <f>RATE(12,,-B75,B$87)</f>
        <v>3.1553167744932928E-2</v>
      </c>
    </row>
    <row r="76" spans="1:5">
      <c r="A76" s="42">
        <v>2005</v>
      </c>
      <c r="B76" s="45">
        <f>AVERAGE(B20:B23)</f>
        <v>99.224999999999994</v>
      </c>
      <c r="D76" s="42" t="s">
        <v>208</v>
      </c>
      <c r="E76" s="46">
        <f>RATE(11,,-B76,B$87)</f>
        <v>2.9743618481188956E-2</v>
      </c>
    </row>
    <row r="77" spans="1:5">
      <c r="A77" s="42">
        <v>2006</v>
      </c>
      <c r="B77" s="45">
        <f>AVERAGE(B24:B27)</f>
        <v>109.4</v>
      </c>
      <c r="D77" s="42" t="s">
        <v>209</v>
      </c>
      <c r="E77" s="46">
        <f>RATE(10,,-B77,B$87)</f>
        <v>2.2733304681441878E-2</v>
      </c>
    </row>
    <row r="78" spans="1:5">
      <c r="A78" s="42">
        <v>2007</v>
      </c>
      <c r="B78" s="45">
        <f>AVERAGE(B28:B31)</f>
        <v>104.52499999999999</v>
      </c>
      <c r="D78" s="42" t="s">
        <v>187</v>
      </c>
      <c r="E78" s="46">
        <f>RATE(9,,-B78,B$87)</f>
        <v>3.0497144150306379E-2</v>
      </c>
    </row>
    <row r="79" spans="1:5">
      <c r="A79" s="42">
        <v>2008</v>
      </c>
      <c r="B79" s="45">
        <f>AVERAGE(B32:B35)</f>
        <v>107.9</v>
      </c>
      <c r="D79" s="42" t="s">
        <v>210</v>
      </c>
      <c r="E79" s="46">
        <f>RATE(8,,-B79,B$87)</f>
        <v>3.0273390194313955E-2</v>
      </c>
    </row>
    <row r="80" spans="1:5">
      <c r="A80" s="42">
        <v>2009</v>
      </c>
      <c r="B80" s="45">
        <f>AVERAGE(B36:B39)</f>
        <v>110.925</v>
      </c>
      <c r="D80" s="42" t="s">
        <v>211</v>
      </c>
      <c r="E80" s="46">
        <f>RATE(7,,-B80,B$87)</f>
        <v>3.0593526641463555E-2</v>
      </c>
    </row>
    <row r="81" spans="1:9">
      <c r="A81" s="42">
        <v>2010</v>
      </c>
      <c r="B81" s="45">
        <f>AVERAGE(B40:B43)</f>
        <v>116.925</v>
      </c>
      <c r="D81" s="42" t="s">
        <v>212</v>
      </c>
      <c r="E81" s="46">
        <f>RATE(6,,-B81,B$87)</f>
        <v>2.6728589180522715E-2</v>
      </c>
    </row>
    <row r="82" spans="1:9">
      <c r="A82" s="42">
        <v>2011</v>
      </c>
      <c r="B82" s="45">
        <f>AVERAGE(B44:B47)</f>
        <v>120.875</v>
      </c>
      <c r="D82" s="42" t="s">
        <v>213</v>
      </c>
      <c r="E82" s="46">
        <f>RATE(5,,-B82,B$87)</f>
        <v>2.5323625274890644E-2</v>
      </c>
    </row>
    <row r="83" spans="1:9">
      <c r="A83" s="42">
        <v>2012</v>
      </c>
      <c r="B83" s="45">
        <f>AVERAGE(B48:B51)</f>
        <v>124.80000000000001</v>
      </c>
      <c r="D83" s="42" t="s">
        <v>214</v>
      </c>
      <c r="E83" s="46">
        <f>RATE(4,,-B83,B$87)</f>
        <v>2.3544386834374695E-2</v>
      </c>
    </row>
    <row r="84" spans="1:9">
      <c r="A84" s="42">
        <v>2013</v>
      </c>
      <c r="B84" s="45">
        <f>AVERAGE(B52:B55)</f>
        <v>126.8</v>
      </c>
      <c r="D84" s="42" t="s">
        <v>215</v>
      </c>
      <c r="E84" s="46">
        <f>RATE(3,,-B84,B$87)</f>
        <v>2.6062979582941039E-2</v>
      </c>
    </row>
    <row r="85" spans="1:9">
      <c r="A85" s="42">
        <v>2014</v>
      </c>
      <c r="B85" s="45">
        <f>AVERAGE(B56:B59)</f>
        <v>129.4</v>
      </c>
      <c r="D85" s="42" t="s">
        <v>216</v>
      </c>
      <c r="E85" s="46">
        <f>RATE(2,,-B85,B$87)</f>
        <v>2.8853445676753429E-2</v>
      </c>
    </row>
    <row r="86" spans="1:9">
      <c r="A86" s="42">
        <v>2015</v>
      </c>
      <c r="B86" s="45">
        <f>AVERAGE(B60:B63)</f>
        <v>133.5</v>
      </c>
      <c r="D86" s="42" t="s">
        <v>217</v>
      </c>
      <c r="E86" s="46">
        <f>RATE(1,,-B86,B$87)</f>
        <v>2.6029962546816769E-2</v>
      </c>
    </row>
    <row r="87" spans="1:9">
      <c r="A87" s="42">
        <v>2016</v>
      </c>
      <c r="B87" s="45">
        <f>AVERAGE(B64:B67)</f>
        <v>136.97500000000002</v>
      </c>
    </row>
    <row r="88" spans="1:9">
      <c r="A88" s="42" t="s">
        <v>218</v>
      </c>
      <c r="B88" s="46">
        <f>B107/B87</f>
        <v>2.6422649565558873E-2</v>
      </c>
    </row>
    <row r="89" spans="1:9">
      <c r="A89" s="42" t="s">
        <v>219</v>
      </c>
      <c r="B89" s="46">
        <f>B127/B87</f>
        <v>2.4777923299551346E-2</v>
      </c>
    </row>
    <row r="90" spans="1:9" ht="15">
      <c r="A90" t="s">
        <v>220</v>
      </c>
      <c r="B90"/>
      <c r="C90"/>
      <c r="D90"/>
      <c r="E90"/>
      <c r="F90"/>
      <c r="G90"/>
      <c r="H90"/>
      <c r="I90"/>
    </row>
    <row r="91" spans="1:9" ht="15.75" thickBot="1">
      <c r="A91"/>
      <c r="B91"/>
      <c r="C91"/>
      <c r="D91"/>
      <c r="E91"/>
      <c r="F91"/>
      <c r="G91"/>
      <c r="H91"/>
      <c r="I91"/>
    </row>
    <row r="92" spans="1:9" ht="15">
      <c r="A92" s="47" t="s">
        <v>124</v>
      </c>
      <c r="B92" s="47"/>
      <c r="C92"/>
      <c r="D92"/>
      <c r="E92"/>
      <c r="F92"/>
      <c r="G92"/>
      <c r="H92"/>
      <c r="I92"/>
    </row>
    <row r="93" spans="1:9" ht="15">
      <c r="A93" s="27" t="s">
        <v>125</v>
      </c>
      <c r="B93" s="27">
        <v>0.99544909746566212</v>
      </c>
      <c r="C93"/>
      <c r="D93"/>
      <c r="E93"/>
      <c r="F93"/>
      <c r="G93"/>
      <c r="H93"/>
      <c r="I93"/>
    </row>
    <row r="94" spans="1:9" ht="15">
      <c r="A94" s="27" t="s">
        <v>126</v>
      </c>
      <c r="B94" s="27">
        <v>0.99091890564520124</v>
      </c>
      <c r="C94"/>
      <c r="D94"/>
      <c r="E94"/>
      <c r="F94"/>
      <c r="G94"/>
      <c r="H94"/>
      <c r="I94"/>
    </row>
    <row r="95" spans="1:9" ht="15">
      <c r="A95" s="27" t="s">
        <v>127</v>
      </c>
      <c r="B95" s="27">
        <v>0.98978376885085151</v>
      </c>
      <c r="C95"/>
      <c r="D95"/>
      <c r="E95"/>
      <c r="F95"/>
      <c r="G95"/>
      <c r="H95"/>
      <c r="I95"/>
    </row>
    <row r="96" spans="1:9" ht="15">
      <c r="A96" s="27" t="s">
        <v>128</v>
      </c>
      <c r="B96" s="27">
        <v>1.1126272484257227</v>
      </c>
      <c r="C96"/>
      <c r="D96"/>
      <c r="E96"/>
      <c r="F96"/>
      <c r="G96"/>
      <c r="H96"/>
      <c r="I96"/>
    </row>
    <row r="97" spans="1:9" ht="15.75" thickBot="1">
      <c r="A97" s="28" t="s">
        <v>129</v>
      </c>
      <c r="B97" s="28">
        <v>10</v>
      </c>
      <c r="C97"/>
      <c r="D97"/>
      <c r="E97"/>
      <c r="F97"/>
      <c r="G97"/>
      <c r="H97"/>
      <c r="I97"/>
    </row>
    <row r="98" spans="1:9" ht="15">
      <c r="A98"/>
      <c r="B98"/>
      <c r="C98"/>
      <c r="D98"/>
      <c r="E98"/>
      <c r="F98"/>
      <c r="G98"/>
      <c r="H98"/>
      <c r="I98"/>
    </row>
    <row r="99" spans="1:9" ht="15.75" thickBot="1">
      <c r="A99" t="s">
        <v>130</v>
      </c>
      <c r="B99"/>
      <c r="C99"/>
      <c r="D99"/>
      <c r="E99"/>
      <c r="F99"/>
      <c r="G99"/>
      <c r="H99"/>
      <c r="I99"/>
    </row>
    <row r="100" spans="1:9" ht="15">
      <c r="A100" s="48"/>
      <c r="B100" s="48" t="s">
        <v>131</v>
      </c>
      <c r="C100" s="48" t="s">
        <v>132</v>
      </c>
      <c r="D100" s="48" t="s">
        <v>133</v>
      </c>
      <c r="E100" s="48" t="s">
        <v>134</v>
      </c>
      <c r="F100" s="48" t="s">
        <v>135</v>
      </c>
      <c r="G100"/>
      <c r="H100"/>
      <c r="I100"/>
    </row>
    <row r="101" spans="1:9" ht="15">
      <c r="A101" s="27" t="s">
        <v>136</v>
      </c>
      <c r="B101" s="27">
        <v>1</v>
      </c>
      <c r="C101" s="27">
        <v>1080.660547348486</v>
      </c>
      <c r="D101" s="27">
        <v>1080.660547348486</v>
      </c>
      <c r="E101" s="27">
        <v>872.95109327572743</v>
      </c>
      <c r="F101" s="27">
        <v>1.8663560378009721E-9</v>
      </c>
      <c r="G101"/>
      <c r="H101"/>
      <c r="I101"/>
    </row>
    <row r="102" spans="1:9" ht="15">
      <c r="A102" s="27" t="s">
        <v>137</v>
      </c>
      <c r="B102" s="27">
        <v>8</v>
      </c>
      <c r="C102" s="27">
        <v>9.9035151515151583</v>
      </c>
      <c r="D102" s="27">
        <v>1.2379393939393948</v>
      </c>
      <c r="E102" s="27"/>
      <c r="F102" s="27"/>
      <c r="G102"/>
      <c r="H102"/>
      <c r="I102"/>
    </row>
    <row r="103" spans="1:9" ht="15.75" thickBot="1">
      <c r="A103" s="28" t="s">
        <v>138</v>
      </c>
      <c r="B103" s="28">
        <v>9</v>
      </c>
      <c r="C103" s="28">
        <v>1090.5640625000012</v>
      </c>
      <c r="D103" s="28"/>
      <c r="E103" s="28"/>
      <c r="F103" s="28"/>
      <c r="G103"/>
      <c r="H103"/>
      <c r="I103"/>
    </row>
    <row r="104" spans="1:9" ht="15.75" thickBot="1">
      <c r="A104"/>
      <c r="B104"/>
      <c r="C104"/>
      <c r="D104"/>
      <c r="E104"/>
      <c r="F104"/>
      <c r="G104"/>
      <c r="H104"/>
      <c r="I104"/>
    </row>
    <row r="105" spans="1:9" ht="15">
      <c r="A105" s="48"/>
      <c r="B105" s="48" t="s">
        <v>139</v>
      </c>
      <c r="C105" s="48" t="s">
        <v>128</v>
      </c>
      <c r="D105" s="48" t="s">
        <v>140</v>
      </c>
      <c r="E105" s="48" t="s">
        <v>141</v>
      </c>
      <c r="F105" s="48" t="s">
        <v>142</v>
      </c>
      <c r="G105" s="48" t="s">
        <v>143</v>
      </c>
      <c r="H105" s="48" t="s">
        <v>144</v>
      </c>
      <c r="I105" s="48" t="s">
        <v>145</v>
      </c>
    </row>
    <row r="106" spans="1:9" ht="15">
      <c r="A106" s="27" t="s">
        <v>146</v>
      </c>
      <c r="B106" s="27">
        <v>-7158.8436363636429</v>
      </c>
      <c r="C106" s="27">
        <v>246.40141475301343</v>
      </c>
      <c r="D106" s="27">
        <v>-29.053581707473096</v>
      </c>
      <c r="E106" s="27">
        <v>2.1324144454697331E-9</v>
      </c>
      <c r="F106" s="27">
        <v>-7727.0463177042493</v>
      </c>
      <c r="G106" s="27">
        <v>-6590.6409550230364</v>
      </c>
      <c r="H106" s="27">
        <v>-7727.0463177042493</v>
      </c>
      <c r="I106" s="27">
        <v>-6590.6409550230364</v>
      </c>
    </row>
    <row r="107" spans="1:9" ht="15.75" thickBot="1">
      <c r="A107" s="28" t="s">
        <v>155</v>
      </c>
      <c r="B107" s="28">
        <v>3.6192424242424273</v>
      </c>
      <c r="C107" s="28">
        <v>0.12249622846089663</v>
      </c>
      <c r="D107" s="28">
        <v>29.545745772881208</v>
      </c>
      <c r="E107" s="28">
        <v>1.8663560378009655E-9</v>
      </c>
      <c r="F107" s="28">
        <v>3.3367656148646851</v>
      </c>
      <c r="G107" s="28">
        <v>3.9017192336201694</v>
      </c>
      <c r="H107" s="28">
        <v>3.3367656148646851</v>
      </c>
      <c r="I107" s="28">
        <v>3.9017192336201694</v>
      </c>
    </row>
    <row r="108" spans="1:9" ht="15">
      <c r="A108"/>
      <c r="B108"/>
      <c r="C108"/>
      <c r="D108"/>
      <c r="E108"/>
      <c r="F108"/>
      <c r="G108"/>
      <c r="H108"/>
      <c r="I108"/>
    </row>
    <row r="109" spans="1:9" ht="15">
      <c r="A109"/>
      <c r="B109"/>
      <c r="C109"/>
      <c r="D109"/>
      <c r="E109"/>
      <c r="F109"/>
      <c r="G109"/>
      <c r="H109"/>
      <c r="I109"/>
    </row>
    <row r="110" spans="1:9" ht="15">
      <c r="A110" t="s">
        <v>221</v>
      </c>
      <c r="B110"/>
      <c r="C110"/>
      <c r="D110"/>
      <c r="E110"/>
      <c r="F110"/>
      <c r="G110"/>
      <c r="H110"/>
      <c r="I110"/>
    </row>
    <row r="111" spans="1:9" ht="15.75" thickBot="1">
      <c r="A111"/>
      <c r="B111"/>
      <c r="C111"/>
      <c r="D111"/>
      <c r="E111"/>
      <c r="F111"/>
      <c r="G111"/>
      <c r="H111"/>
      <c r="I111"/>
    </row>
    <row r="112" spans="1:9" ht="15">
      <c r="A112" s="47" t="s">
        <v>124</v>
      </c>
      <c r="B112" s="47"/>
      <c r="C112"/>
      <c r="D112"/>
      <c r="E112"/>
      <c r="F112"/>
      <c r="G112"/>
      <c r="H112"/>
      <c r="I112"/>
    </row>
    <row r="113" spans="1:9" ht="15">
      <c r="A113" s="27" t="s">
        <v>125</v>
      </c>
      <c r="B113" s="27">
        <v>0.98592230355456512</v>
      </c>
      <c r="C113"/>
      <c r="D113"/>
      <c r="E113"/>
      <c r="F113"/>
      <c r="G113"/>
      <c r="H113"/>
      <c r="I113"/>
    </row>
    <row r="114" spans="1:9" ht="15">
      <c r="A114" s="27" t="s">
        <v>126</v>
      </c>
      <c r="B114" s="27">
        <v>0.97204278864633997</v>
      </c>
      <c r="C114"/>
      <c r="D114"/>
      <c r="E114"/>
      <c r="F114"/>
      <c r="G114"/>
      <c r="H114"/>
      <c r="I114"/>
    </row>
    <row r="115" spans="1:9" ht="15">
      <c r="A115" s="27" t="s">
        <v>127</v>
      </c>
      <c r="B115" s="27">
        <v>0.96950122397782545</v>
      </c>
      <c r="C115"/>
      <c r="D115"/>
      <c r="E115"/>
      <c r="F115"/>
      <c r="G115"/>
      <c r="H115"/>
      <c r="I115"/>
    </row>
    <row r="116" spans="1:9" ht="15">
      <c r="A116" s="27" t="s">
        <v>128</v>
      </c>
      <c r="B116" s="27">
        <v>2.3412608243748201</v>
      </c>
      <c r="C116"/>
      <c r="D116"/>
      <c r="E116"/>
      <c r="F116"/>
      <c r="G116"/>
      <c r="H116"/>
      <c r="I116"/>
    </row>
    <row r="117" spans="1:9" ht="15.75" thickBot="1">
      <c r="A117" s="28" t="s">
        <v>129</v>
      </c>
      <c r="B117" s="28">
        <v>13</v>
      </c>
      <c r="C117"/>
      <c r="D117"/>
      <c r="E117"/>
      <c r="F117"/>
      <c r="G117"/>
      <c r="H117"/>
      <c r="I117"/>
    </row>
    <row r="118" spans="1:9" ht="15">
      <c r="A118"/>
      <c r="B118"/>
      <c r="C118"/>
      <c r="D118"/>
      <c r="E118"/>
      <c r="F118"/>
      <c r="G118"/>
      <c r="H118"/>
      <c r="I118"/>
    </row>
    <row r="119" spans="1:9" ht="15.75" thickBot="1">
      <c r="A119" t="s">
        <v>130</v>
      </c>
      <c r="B119"/>
      <c r="C119"/>
      <c r="D119"/>
      <c r="E119"/>
      <c r="F119"/>
      <c r="G119"/>
      <c r="H119"/>
      <c r="I119"/>
    </row>
    <row r="120" spans="1:9" ht="15">
      <c r="A120" s="48"/>
      <c r="B120" s="48" t="s">
        <v>131</v>
      </c>
      <c r="C120" s="48" t="s">
        <v>132</v>
      </c>
      <c r="D120" s="48" t="s">
        <v>133</v>
      </c>
      <c r="E120" s="48" t="s">
        <v>134</v>
      </c>
      <c r="F120" s="48" t="s">
        <v>135</v>
      </c>
      <c r="G120"/>
      <c r="H120"/>
      <c r="I120"/>
    </row>
    <row r="121" spans="1:9" ht="15">
      <c r="A121" s="27" t="s">
        <v>136</v>
      </c>
      <c r="B121" s="27">
        <v>1</v>
      </c>
      <c r="C121" s="27">
        <v>2096.4466483516499</v>
      </c>
      <c r="D121" s="27">
        <v>2096.4466483516499</v>
      </c>
      <c r="E121" s="27">
        <v>382.45841260236944</v>
      </c>
      <c r="F121" s="27">
        <v>6.7967911874882158E-10</v>
      </c>
      <c r="G121"/>
      <c r="H121"/>
      <c r="I121"/>
    </row>
    <row r="122" spans="1:9" ht="15">
      <c r="A122" s="27" t="s">
        <v>137</v>
      </c>
      <c r="B122" s="27">
        <v>11</v>
      </c>
      <c r="C122" s="27">
        <v>60.296524725274878</v>
      </c>
      <c r="D122" s="27">
        <v>5.4815022477522612</v>
      </c>
      <c r="E122" s="27"/>
      <c r="F122" s="27"/>
      <c r="G122"/>
      <c r="H122"/>
      <c r="I122"/>
    </row>
    <row r="123" spans="1:9" ht="15.75" thickBot="1">
      <c r="A123" s="28" t="s">
        <v>138</v>
      </c>
      <c r="B123" s="28">
        <v>12</v>
      </c>
      <c r="C123" s="28">
        <v>2156.7431730769249</v>
      </c>
      <c r="D123" s="28"/>
      <c r="E123" s="28"/>
      <c r="F123" s="28"/>
      <c r="G123"/>
      <c r="H123"/>
      <c r="I123"/>
    </row>
    <row r="124" spans="1:9" ht="15.75" thickBot="1">
      <c r="A124"/>
      <c r="B124"/>
      <c r="C124"/>
      <c r="D124"/>
      <c r="E124"/>
      <c r="F124"/>
      <c r="G124"/>
      <c r="H124"/>
      <c r="I124"/>
    </row>
    <row r="125" spans="1:9" ht="15">
      <c r="A125" s="48"/>
      <c r="B125" s="48" t="s">
        <v>139</v>
      </c>
      <c r="C125" s="48" t="s">
        <v>128</v>
      </c>
      <c r="D125" s="48" t="s">
        <v>140</v>
      </c>
      <c r="E125" s="48" t="s">
        <v>141</v>
      </c>
      <c r="F125" s="48" t="s">
        <v>142</v>
      </c>
      <c r="G125" s="48" t="s">
        <v>143</v>
      </c>
      <c r="H125" s="48" t="s">
        <v>144</v>
      </c>
      <c r="I125" s="48" t="s">
        <v>145</v>
      </c>
    </row>
    <row r="126" spans="1:9" ht="15">
      <c r="A126" s="27" t="s">
        <v>146</v>
      </c>
      <c r="B126" s="27">
        <v>-6705.2670329670373</v>
      </c>
      <c r="C126" s="27">
        <v>348.82765961267137</v>
      </c>
      <c r="D126" s="27">
        <v>-19.222291719677223</v>
      </c>
      <c r="E126" s="27">
        <v>8.1751990104869054E-10</v>
      </c>
      <c r="F126" s="27">
        <v>-7473.0315352040243</v>
      </c>
      <c r="G126" s="27">
        <v>-5937.5025307300502</v>
      </c>
      <c r="H126" s="27">
        <v>-7473.0315352040243</v>
      </c>
      <c r="I126" s="27">
        <v>-5937.5025307300502</v>
      </c>
    </row>
    <row r="127" spans="1:9" ht="15.75" thickBot="1">
      <c r="A127" s="28" t="s">
        <v>155</v>
      </c>
      <c r="B127" s="28">
        <v>3.3939560439560461</v>
      </c>
      <c r="C127" s="28">
        <v>0.17354579861932418</v>
      </c>
      <c r="D127" s="28">
        <v>19.55654398410848</v>
      </c>
      <c r="E127" s="28">
        <v>6.796791187488192E-10</v>
      </c>
      <c r="F127" s="28">
        <v>3.0119843165986615</v>
      </c>
      <c r="G127" s="28">
        <v>3.7759277713134307</v>
      </c>
      <c r="H127" s="28">
        <v>3.0119843165986615</v>
      </c>
      <c r="I127" s="28">
        <v>3.7759277713134307</v>
      </c>
    </row>
    <row r="128" spans="1:9" ht="15">
      <c r="A128"/>
      <c r="B128"/>
      <c r="C128"/>
      <c r="D128"/>
      <c r="E128"/>
      <c r="F128"/>
      <c r="G128"/>
      <c r="H128"/>
      <c r="I128"/>
    </row>
    <row r="129" spans="1:9" ht="15">
      <c r="A129"/>
      <c r="B129"/>
      <c r="C129"/>
      <c r="D129"/>
      <c r="E129"/>
      <c r="F129"/>
      <c r="G129"/>
      <c r="H129"/>
      <c r="I129"/>
    </row>
    <row r="130" spans="1:9" ht="15">
      <c r="A130"/>
      <c r="B130"/>
      <c r="C130"/>
      <c r="D130"/>
      <c r="E130"/>
      <c r="F130"/>
      <c r="G130"/>
      <c r="H130"/>
      <c r="I130"/>
    </row>
  </sheetData>
  <pageMargins left="0.75" right="0.75" top="1" bottom="1" header="0.5" footer="0.5"/>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topLeftCell="A52" workbookViewId="0">
      <selection activeCell="E58" sqref="E58"/>
    </sheetView>
  </sheetViews>
  <sheetFormatPr defaultRowHeight="12.75"/>
  <cols>
    <col min="1" max="256" width="20.7109375" style="42" customWidth="1"/>
    <col min="257" max="16384" width="9.140625" style="42"/>
  </cols>
  <sheetData>
    <row r="1" spans="1:2">
      <c r="A1" s="42" t="s">
        <v>196</v>
      </c>
    </row>
    <row r="2" spans="1:2">
      <c r="A2" s="42" t="s">
        <v>197</v>
      </c>
    </row>
    <row r="3" spans="1:2">
      <c r="A3" s="42" t="s">
        <v>198</v>
      </c>
    </row>
    <row r="4" spans="1:2">
      <c r="A4" s="42" t="s">
        <v>199</v>
      </c>
    </row>
    <row r="5" spans="1:2">
      <c r="A5" s="42" t="s">
        <v>200</v>
      </c>
    </row>
    <row r="6" spans="1:2">
      <c r="A6" s="42" t="s">
        <v>201</v>
      </c>
    </row>
    <row r="8" spans="1:2">
      <c r="A8" s="42" t="s">
        <v>222</v>
      </c>
      <c r="B8" s="42" t="s">
        <v>223</v>
      </c>
    </row>
    <row r="10" spans="1:2">
      <c r="A10" s="42" t="s">
        <v>224</v>
      </c>
    </row>
    <row r="11" spans="1:2">
      <c r="A11" s="42" t="s">
        <v>205</v>
      </c>
      <c r="B11" s="42" t="s">
        <v>222</v>
      </c>
    </row>
    <row r="12" spans="1:2">
      <c r="A12" s="43">
        <v>37956</v>
      </c>
      <c r="B12" s="44">
        <v>100</v>
      </c>
    </row>
    <row r="13" spans="1:2">
      <c r="A13" s="43">
        <v>37987</v>
      </c>
      <c r="B13" s="44">
        <v>101.7</v>
      </c>
    </row>
    <row r="14" spans="1:2">
      <c r="A14" s="43">
        <v>38018</v>
      </c>
      <c r="B14" s="44">
        <v>102.5</v>
      </c>
    </row>
    <row r="15" spans="1:2">
      <c r="A15" s="43">
        <v>38047</v>
      </c>
      <c r="B15" s="44">
        <v>101.2</v>
      </c>
    </row>
    <row r="16" spans="1:2">
      <c r="A16" s="43">
        <v>38078</v>
      </c>
      <c r="B16" s="44">
        <v>101.8</v>
      </c>
    </row>
    <row r="17" spans="1:2">
      <c r="A17" s="43">
        <v>38108</v>
      </c>
      <c r="B17" s="44">
        <v>103.1</v>
      </c>
    </row>
    <row r="18" spans="1:2">
      <c r="A18" s="43">
        <v>38139</v>
      </c>
      <c r="B18" s="44">
        <v>106.9</v>
      </c>
    </row>
    <row r="19" spans="1:2">
      <c r="A19" s="43">
        <v>38169</v>
      </c>
      <c r="B19" s="44">
        <v>107.1</v>
      </c>
    </row>
    <row r="20" spans="1:2">
      <c r="A20" s="43">
        <v>38200</v>
      </c>
      <c r="B20" s="44">
        <v>107.4</v>
      </c>
    </row>
    <row r="21" spans="1:2">
      <c r="A21" s="43">
        <v>38231</v>
      </c>
      <c r="B21" s="44">
        <v>105.2</v>
      </c>
    </row>
    <row r="22" spans="1:2">
      <c r="A22" s="43">
        <v>38261</v>
      </c>
      <c r="B22" s="44">
        <v>104.3</v>
      </c>
    </row>
    <row r="23" spans="1:2">
      <c r="A23" s="43">
        <v>38292</v>
      </c>
      <c r="B23" s="44">
        <v>108.8</v>
      </c>
    </row>
    <row r="24" spans="1:2">
      <c r="A24" s="43">
        <v>38322</v>
      </c>
      <c r="B24" s="44">
        <v>108.9</v>
      </c>
    </row>
    <row r="25" spans="1:2">
      <c r="A25" s="43">
        <v>38353</v>
      </c>
      <c r="B25" s="44">
        <v>108.3</v>
      </c>
    </row>
    <row r="26" spans="1:2">
      <c r="A26" s="43">
        <v>38384</v>
      </c>
      <c r="B26" s="44">
        <v>107.5</v>
      </c>
    </row>
    <row r="27" spans="1:2">
      <c r="A27" s="43">
        <v>38412</v>
      </c>
      <c r="B27" s="44">
        <v>108.7</v>
      </c>
    </row>
    <row r="28" spans="1:2">
      <c r="A28" s="43">
        <v>38443</v>
      </c>
      <c r="B28" s="44">
        <v>110.6</v>
      </c>
    </row>
    <row r="29" spans="1:2">
      <c r="A29" s="43">
        <v>38473</v>
      </c>
      <c r="B29" s="44">
        <v>111.2</v>
      </c>
    </row>
    <row r="30" spans="1:2">
      <c r="A30" s="43">
        <v>38504</v>
      </c>
      <c r="B30" s="44">
        <v>112.2</v>
      </c>
    </row>
    <row r="31" spans="1:2">
      <c r="A31" s="43">
        <v>38534</v>
      </c>
      <c r="B31" s="44">
        <v>116.2</v>
      </c>
    </row>
    <row r="32" spans="1:2">
      <c r="A32" s="43">
        <v>38565</v>
      </c>
      <c r="B32" s="44">
        <v>119.9</v>
      </c>
    </row>
    <row r="33" spans="1:8">
      <c r="A33" s="43">
        <v>38596</v>
      </c>
      <c r="B33" s="44">
        <v>125.5</v>
      </c>
    </row>
    <row r="34" spans="1:8">
      <c r="A34" s="43">
        <v>38626</v>
      </c>
      <c r="B34" s="44">
        <v>131.19999999999999</v>
      </c>
    </row>
    <row r="35" spans="1:8">
      <c r="A35" s="43">
        <v>38657</v>
      </c>
      <c r="B35" s="44">
        <v>130</v>
      </c>
    </row>
    <row r="36" spans="1:8">
      <c r="A36" s="43">
        <v>38687</v>
      </c>
      <c r="B36" s="44">
        <v>129.6</v>
      </c>
    </row>
    <row r="37" spans="1:8">
      <c r="A37" s="43">
        <v>38718</v>
      </c>
      <c r="B37" s="44">
        <v>131.30000000000001</v>
      </c>
    </row>
    <row r="38" spans="1:8">
      <c r="A38" s="43">
        <v>38749</v>
      </c>
      <c r="B38" s="44">
        <v>127</v>
      </c>
    </row>
    <row r="39" spans="1:8">
      <c r="A39" s="43">
        <v>38777</v>
      </c>
      <c r="B39" s="44">
        <v>123.5</v>
      </c>
    </row>
    <row r="40" spans="1:8">
      <c r="A40" s="43">
        <v>38808</v>
      </c>
      <c r="B40" s="44">
        <v>121.5</v>
      </c>
    </row>
    <row r="41" spans="1:8">
      <c r="A41" s="43">
        <v>38838</v>
      </c>
      <c r="B41" s="44">
        <v>121</v>
      </c>
    </row>
    <row r="42" spans="1:8">
      <c r="A42" s="43">
        <v>38869</v>
      </c>
      <c r="B42" s="44">
        <v>120.8</v>
      </c>
    </row>
    <row r="43" spans="1:8">
      <c r="A43" s="43">
        <v>38899</v>
      </c>
      <c r="B43" s="44">
        <v>122.3</v>
      </c>
      <c r="D43" s="386" t="s">
        <v>225</v>
      </c>
      <c r="E43" s="386"/>
    </row>
    <row r="44" spans="1:8">
      <c r="A44" s="43">
        <v>38930</v>
      </c>
      <c r="B44" s="44">
        <v>126.2</v>
      </c>
      <c r="D44" s="49" t="s">
        <v>115</v>
      </c>
      <c r="E44" s="49" t="s">
        <v>226</v>
      </c>
    </row>
    <row r="45" spans="1:8">
      <c r="A45" s="43">
        <v>38961</v>
      </c>
      <c r="B45" s="44">
        <v>123.3</v>
      </c>
      <c r="D45" s="42">
        <v>2004</v>
      </c>
      <c r="E45" s="45">
        <f>AVERAGE(B13:B24)</f>
        <v>104.90833333333335</v>
      </c>
      <c r="G45" s="42" t="s">
        <v>186</v>
      </c>
      <c r="H45" s="46">
        <f>RATE(12,,-E45,E$57)</f>
        <v>2.1138169999925321E-2</v>
      </c>
    </row>
    <row r="46" spans="1:8">
      <c r="A46" s="43">
        <v>38991</v>
      </c>
      <c r="B46" s="44">
        <v>116.3</v>
      </c>
      <c r="D46" s="42">
        <v>2005</v>
      </c>
      <c r="E46" s="45">
        <f>AVERAGE(B25:B36)</f>
        <v>117.575</v>
      </c>
      <c r="G46" s="42" t="s">
        <v>208</v>
      </c>
      <c r="H46" s="46">
        <f>RATE(11,,-E46,E$57)</f>
        <v>1.2534711193851061E-2</v>
      </c>
    </row>
    <row r="47" spans="1:8">
      <c r="A47" s="43">
        <v>39022</v>
      </c>
      <c r="B47" s="44">
        <v>121.4</v>
      </c>
      <c r="D47" s="42">
        <v>2006</v>
      </c>
      <c r="E47" s="45">
        <f>AVERAGE(B37:B48)</f>
        <v>123.125</v>
      </c>
      <c r="G47" s="42" t="s">
        <v>209</v>
      </c>
      <c r="H47" s="46">
        <f>RATE(10,,-E47,E$57)</f>
        <v>9.1315556802655431E-3</v>
      </c>
    </row>
    <row r="48" spans="1:8">
      <c r="A48" s="43">
        <v>39052</v>
      </c>
      <c r="B48" s="44">
        <v>122.9</v>
      </c>
      <c r="D48" s="42">
        <v>2007</v>
      </c>
      <c r="E48" s="45">
        <f>AVERAGE(B49:B60)</f>
        <v>127.05833333333334</v>
      </c>
      <c r="G48" s="42" t="s">
        <v>187</v>
      </c>
      <c r="H48" s="46">
        <f>RATE(9,,-E48,E$57)</f>
        <v>6.6279742347605001E-3</v>
      </c>
    </row>
    <row r="49" spans="1:8">
      <c r="A49" s="43">
        <v>39083</v>
      </c>
      <c r="B49" s="44">
        <v>122</v>
      </c>
      <c r="D49" s="42">
        <v>2008</v>
      </c>
      <c r="E49" s="45">
        <f>AVERAGE(B61:B72)</f>
        <v>136.46666666666667</v>
      </c>
      <c r="G49" s="42" t="s">
        <v>210</v>
      </c>
      <c r="H49" s="46">
        <f>RATE(8,,-E49,E$57)</f>
        <v>-1.4962712067706741E-3</v>
      </c>
    </row>
    <row r="50" spans="1:8">
      <c r="A50" s="43">
        <v>39114</v>
      </c>
      <c r="B50" s="44">
        <v>125.6</v>
      </c>
      <c r="D50" s="42">
        <v>2009</v>
      </c>
      <c r="E50" s="45">
        <f>AVERAGE(B73:B84)</f>
        <v>130.17500000000001</v>
      </c>
      <c r="G50" s="42" t="s">
        <v>211</v>
      </c>
      <c r="H50" s="46">
        <f>RATE(7,,-E50,E$57)</f>
        <v>5.0443302343863928E-3</v>
      </c>
    </row>
    <row r="51" spans="1:8">
      <c r="A51" s="43">
        <v>39142</v>
      </c>
      <c r="B51" s="44">
        <v>124.4</v>
      </c>
      <c r="D51" s="42">
        <v>2010</v>
      </c>
      <c r="E51" s="45">
        <f>AVERAGE(B85:B96)</f>
        <v>133.4</v>
      </c>
      <c r="G51" s="42" t="s">
        <v>212</v>
      </c>
      <c r="H51" s="46">
        <f>RATE(6,,-E51,E$57)</f>
        <v>1.7931252525680383E-3</v>
      </c>
    </row>
    <row r="52" spans="1:8">
      <c r="A52" s="43">
        <v>39173</v>
      </c>
      <c r="B52" s="44">
        <v>124.5</v>
      </c>
      <c r="D52" s="42">
        <v>2011</v>
      </c>
      <c r="E52" s="45">
        <f>AVERAGE(B97:B108)</f>
        <v>135.57500000000002</v>
      </c>
      <c r="G52" s="42" t="s">
        <v>213</v>
      </c>
      <c r="H52" s="46">
        <f>RATE(5,,-E52,E$57)</f>
        <v>-1.0841602949786934E-3</v>
      </c>
    </row>
    <row r="53" spans="1:8">
      <c r="A53" s="43">
        <v>39203</v>
      </c>
      <c r="B53" s="44">
        <v>125.4</v>
      </c>
      <c r="D53" s="42">
        <v>2012</v>
      </c>
      <c r="E53" s="45">
        <f>AVERAGE(B109:B120)</f>
        <v>131.10833333333332</v>
      </c>
      <c r="G53" s="42" t="s">
        <v>214</v>
      </c>
      <c r="H53" s="46">
        <f>RATE(4,,-E53,E$57)</f>
        <v>7.0440174911383649E-3</v>
      </c>
    </row>
    <row r="54" spans="1:8">
      <c r="A54" s="43">
        <v>39234</v>
      </c>
      <c r="B54" s="44">
        <v>129.9</v>
      </c>
      <c r="D54" s="42">
        <v>2013</v>
      </c>
      <c r="E54" s="45">
        <f>AVERAGE(B121:B132)</f>
        <v>135.68333333333334</v>
      </c>
      <c r="G54" s="42" t="s">
        <v>215</v>
      </c>
      <c r="H54" s="46">
        <f>RATE(3,,-E54,E$57)</f>
        <v>-2.0720133218766171E-3</v>
      </c>
    </row>
    <row r="55" spans="1:8">
      <c r="A55" s="43">
        <v>39264</v>
      </c>
      <c r="B55" s="44">
        <v>131.6</v>
      </c>
      <c r="D55" s="42">
        <v>2014</v>
      </c>
      <c r="E55" s="45">
        <f>AVERAGE(B133:B144)</f>
        <v>144.04166666666666</v>
      </c>
      <c r="G55" s="42" t="s">
        <v>216</v>
      </c>
      <c r="H55" s="46">
        <f>RATE(2,,-E55,E$57)</f>
        <v>-3.2462097831869159E-2</v>
      </c>
    </row>
    <row r="56" spans="1:8">
      <c r="A56" s="43">
        <v>39295</v>
      </c>
      <c r="B56" s="44">
        <v>130.80000000000001</v>
      </c>
      <c r="D56" s="42">
        <v>2015</v>
      </c>
      <c r="E56" s="45">
        <f>AVERAGE(B145:B156)</f>
        <v>138.55000000000001</v>
      </c>
      <c r="G56" s="42" t="s">
        <v>217</v>
      </c>
      <c r="H56" s="46">
        <f>RATE(1,,-E56,E$57)</f>
        <v>-2.6765307349934025E-2</v>
      </c>
    </row>
    <row r="57" spans="1:8">
      <c r="A57" s="43">
        <v>39326</v>
      </c>
      <c r="B57" s="44">
        <v>129.30000000000001</v>
      </c>
      <c r="D57" s="42">
        <v>2016</v>
      </c>
      <c r="E57" s="45">
        <f>AVERAGE(B157:B168)</f>
        <v>134.84166666666667</v>
      </c>
    </row>
    <row r="58" spans="1:8">
      <c r="A58" s="43">
        <v>39356</v>
      </c>
      <c r="B58" s="44">
        <v>127.2</v>
      </c>
      <c r="D58" s="42" t="s">
        <v>227</v>
      </c>
      <c r="E58" s="46">
        <f>E104/E57</f>
        <v>7.0273216061486196E-3</v>
      </c>
    </row>
    <row r="59" spans="1:8">
      <c r="A59" s="43">
        <v>39387</v>
      </c>
      <c r="B59" s="44">
        <v>126.6</v>
      </c>
      <c r="D59" s="42" t="s">
        <v>228</v>
      </c>
      <c r="E59" s="46">
        <f>E128/E57</f>
        <v>1.583868205214228E-2</v>
      </c>
    </row>
    <row r="60" spans="1:8">
      <c r="A60" s="43">
        <v>39417</v>
      </c>
      <c r="B60" s="44">
        <v>127.4</v>
      </c>
    </row>
    <row r="61" spans="1:8">
      <c r="A61" s="43">
        <v>39448</v>
      </c>
      <c r="B61" s="44">
        <v>127.8</v>
      </c>
    </row>
    <row r="62" spans="1:8">
      <c r="A62" s="43">
        <v>39479</v>
      </c>
      <c r="B62" s="44">
        <v>129.69999999999999</v>
      </c>
    </row>
    <row r="63" spans="1:8">
      <c r="A63" s="43">
        <v>39508</v>
      </c>
      <c r="B63" s="44">
        <v>131.1</v>
      </c>
    </row>
    <row r="64" spans="1:8">
      <c r="A64" s="43">
        <v>39539</v>
      </c>
      <c r="B64" s="44">
        <v>134.5</v>
      </c>
    </row>
    <row r="65" spans="1:2">
      <c r="A65" s="43">
        <v>39569</v>
      </c>
      <c r="B65" s="44">
        <v>137</v>
      </c>
    </row>
    <row r="66" spans="1:2">
      <c r="A66" s="43">
        <v>39600</v>
      </c>
      <c r="B66" s="44">
        <v>141.69999999999999</v>
      </c>
    </row>
    <row r="67" spans="1:2">
      <c r="A67" s="43">
        <v>39630</v>
      </c>
      <c r="B67" s="44">
        <v>146.80000000000001</v>
      </c>
    </row>
    <row r="68" spans="1:2">
      <c r="A68" s="43">
        <v>39661</v>
      </c>
      <c r="B68" s="44">
        <v>145.69999999999999</v>
      </c>
    </row>
    <row r="69" spans="1:2">
      <c r="A69" s="43">
        <v>39692</v>
      </c>
      <c r="B69" s="44">
        <v>140.80000000000001</v>
      </c>
    </row>
    <row r="70" spans="1:2">
      <c r="A70" s="43">
        <v>39722</v>
      </c>
      <c r="B70" s="44">
        <v>136</v>
      </c>
    </row>
    <row r="71" spans="1:2">
      <c r="A71" s="43">
        <v>39753</v>
      </c>
      <c r="B71" s="44">
        <v>133.4</v>
      </c>
    </row>
    <row r="72" spans="1:2">
      <c r="A72" s="43">
        <v>39783</v>
      </c>
      <c r="B72" s="44">
        <v>133.1</v>
      </c>
    </row>
    <row r="73" spans="1:2">
      <c r="A73" s="43">
        <v>39814</v>
      </c>
      <c r="B73" s="44">
        <v>133.9</v>
      </c>
    </row>
    <row r="74" spans="1:2">
      <c r="A74" s="43">
        <v>39845</v>
      </c>
      <c r="B74" s="44">
        <v>132.9</v>
      </c>
    </row>
    <row r="75" spans="1:2">
      <c r="A75" s="43">
        <v>39873</v>
      </c>
      <c r="B75" s="44">
        <v>130.4</v>
      </c>
    </row>
    <row r="76" spans="1:2">
      <c r="A76" s="43">
        <v>39904</v>
      </c>
      <c r="B76" s="44">
        <v>128.1</v>
      </c>
    </row>
    <row r="77" spans="1:2">
      <c r="A77" s="43">
        <v>39934</v>
      </c>
      <c r="B77" s="44">
        <v>128</v>
      </c>
    </row>
    <row r="78" spans="1:2">
      <c r="A78" s="43">
        <v>39965</v>
      </c>
      <c r="B78" s="44">
        <v>129</v>
      </c>
    </row>
    <row r="79" spans="1:2">
      <c r="A79" s="43">
        <v>39995</v>
      </c>
      <c r="B79" s="44">
        <v>130.9</v>
      </c>
    </row>
    <row r="80" spans="1:2">
      <c r="A80" s="43">
        <v>40026</v>
      </c>
      <c r="B80" s="44">
        <v>131.80000000000001</v>
      </c>
    </row>
    <row r="81" spans="1:12">
      <c r="A81" s="43">
        <v>40057</v>
      </c>
      <c r="B81" s="44">
        <v>130</v>
      </c>
    </row>
    <row r="82" spans="1:12">
      <c r="A82" s="43">
        <v>40087</v>
      </c>
      <c r="B82" s="44">
        <v>128.80000000000001</v>
      </c>
    </row>
    <row r="83" spans="1:12">
      <c r="A83" s="43">
        <v>40118</v>
      </c>
      <c r="B83" s="44">
        <v>128.9</v>
      </c>
    </row>
    <row r="84" spans="1:12">
      <c r="A84" s="43">
        <v>40148</v>
      </c>
      <c r="B84" s="44">
        <v>129.4</v>
      </c>
    </row>
    <row r="85" spans="1:12">
      <c r="A85" s="43">
        <v>40179</v>
      </c>
      <c r="B85" s="44">
        <v>132.19999999999999</v>
      </c>
    </row>
    <row r="86" spans="1:12">
      <c r="A86" s="43">
        <v>40210</v>
      </c>
      <c r="B86" s="44">
        <v>133</v>
      </c>
    </row>
    <row r="87" spans="1:12" ht="15">
      <c r="A87" s="43">
        <v>40238</v>
      </c>
      <c r="B87" s="44">
        <v>132.19999999999999</v>
      </c>
      <c r="D87" t="s">
        <v>220</v>
      </c>
      <c r="E87"/>
      <c r="F87"/>
      <c r="G87"/>
      <c r="H87"/>
      <c r="I87"/>
      <c r="J87"/>
      <c r="K87"/>
      <c r="L87"/>
    </row>
    <row r="88" spans="1:12" ht="15.75" thickBot="1">
      <c r="A88" s="43">
        <v>40269</v>
      </c>
      <c r="B88" s="44">
        <v>131</v>
      </c>
      <c r="D88"/>
      <c r="E88"/>
      <c r="F88"/>
      <c r="G88"/>
      <c r="H88"/>
      <c r="I88"/>
      <c r="J88"/>
      <c r="K88"/>
      <c r="L88"/>
    </row>
    <row r="89" spans="1:12" ht="15">
      <c r="A89" s="43">
        <v>40299</v>
      </c>
      <c r="B89" s="44">
        <v>131.30000000000001</v>
      </c>
      <c r="D89" s="47" t="s">
        <v>124</v>
      </c>
      <c r="E89" s="47"/>
      <c r="F89"/>
      <c r="G89"/>
      <c r="H89"/>
      <c r="I89"/>
      <c r="J89"/>
      <c r="K89"/>
      <c r="L89"/>
    </row>
    <row r="90" spans="1:12" ht="15">
      <c r="A90" s="43">
        <v>40330</v>
      </c>
      <c r="B90" s="44">
        <v>134.5</v>
      </c>
      <c r="D90" s="27" t="s">
        <v>125</v>
      </c>
      <c r="E90" s="27">
        <v>0.60794936229271235</v>
      </c>
      <c r="F90"/>
      <c r="G90"/>
      <c r="H90"/>
      <c r="I90"/>
      <c r="J90"/>
      <c r="K90"/>
      <c r="L90"/>
    </row>
    <row r="91" spans="1:12" ht="15">
      <c r="A91" s="43">
        <v>40360</v>
      </c>
      <c r="B91" s="44">
        <v>137.1</v>
      </c>
      <c r="D91" s="27" t="s">
        <v>126</v>
      </c>
      <c r="E91" s="27">
        <v>0.36960242711211561</v>
      </c>
      <c r="F91"/>
      <c r="G91"/>
      <c r="H91"/>
      <c r="I91"/>
      <c r="J91"/>
      <c r="K91"/>
      <c r="L91"/>
    </row>
    <row r="92" spans="1:12" ht="15">
      <c r="A92" s="43">
        <v>40391</v>
      </c>
      <c r="B92" s="44">
        <v>138.80000000000001</v>
      </c>
      <c r="D92" s="27" t="s">
        <v>127</v>
      </c>
      <c r="E92" s="27">
        <v>0.29080273050113004</v>
      </c>
      <c r="F92"/>
      <c r="G92"/>
      <c r="H92"/>
      <c r="I92"/>
      <c r="J92"/>
      <c r="K92"/>
      <c r="L92"/>
    </row>
    <row r="93" spans="1:12" ht="15">
      <c r="A93" s="43">
        <v>40422</v>
      </c>
      <c r="B93" s="44">
        <v>136</v>
      </c>
      <c r="D93" s="27" t="s">
        <v>128</v>
      </c>
      <c r="E93" s="27">
        <v>3.9740724570570416</v>
      </c>
      <c r="F93"/>
      <c r="G93"/>
      <c r="H93"/>
      <c r="I93"/>
      <c r="J93"/>
      <c r="K93"/>
      <c r="L93"/>
    </row>
    <row r="94" spans="1:12" ht="15.75" thickBot="1">
      <c r="A94" s="43">
        <v>40452</v>
      </c>
      <c r="B94" s="44">
        <v>131.80000000000001</v>
      </c>
      <c r="D94" s="28" t="s">
        <v>129</v>
      </c>
      <c r="E94" s="28">
        <v>10</v>
      </c>
      <c r="F94"/>
      <c r="G94"/>
      <c r="H94"/>
      <c r="I94"/>
      <c r="J94"/>
      <c r="K94"/>
      <c r="L94"/>
    </row>
    <row r="95" spans="1:12" ht="15">
      <c r="A95" s="43">
        <v>40483</v>
      </c>
      <c r="B95" s="44">
        <v>130.5</v>
      </c>
      <c r="D95"/>
      <c r="E95"/>
      <c r="F95"/>
      <c r="G95"/>
      <c r="H95"/>
      <c r="I95"/>
      <c r="J95"/>
      <c r="K95"/>
      <c r="L95"/>
    </row>
    <row r="96" spans="1:12" ht="15.75" thickBot="1">
      <c r="A96" s="43">
        <v>40513</v>
      </c>
      <c r="B96" s="44">
        <v>132.4</v>
      </c>
      <c r="D96" t="s">
        <v>130</v>
      </c>
      <c r="E96"/>
      <c r="F96"/>
      <c r="G96"/>
      <c r="H96"/>
      <c r="I96"/>
      <c r="J96"/>
      <c r="K96"/>
      <c r="L96"/>
    </row>
    <row r="97" spans="1:12" ht="15">
      <c r="A97" s="43">
        <v>40544</v>
      </c>
      <c r="B97" s="44">
        <v>134.4</v>
      </c>
      <c r="D97" s="48"/>
      <c r="E97" s="48" t="s">
        <v>131</v>
      </c>
      <c r="F97" s="48" t="s">
        <v>132</v>
      </c>
      <c r="G97" s="48" t="s">
        <v>133</v>
      </c>
      <c r="H97" s="48" t="s">
        <v>134</v>
      </c>
      <c r="I97" s="48" t="s">
        <v>135</v>
      </c>
      <c r="J97"/>
      <c r="K97"/>
      <c r="L97"/>
    </row>
    <row r="98" spans="1:12" ht="15">
      <c r="A98" s="43">
        <v>40575</v>
      </c>
      <c r="B98" s="44">
        <v>135</v>
      </c>
      <c r="D98" s="27" t="s">
        <v>136</v>
      </c>
      <c r="E98" s="27">
        <v>1</v>
      </c>
      <c r="F98" s="27">
        <v>74.076734848484719</v>
      </c>
      <c r="G98" s="27">
        <v>74.076734848484719</v>
      </c>
      <c r="H98" s="27">
        <v>4.6904041894571069</v>
      </c>
      <c r="I98" s="27">
        <v>6.2230865451072009E-2</v>
      </c>
      <c r="J98"/>
      <c r="K98"/>
      <c r="L98"/>
    </row>
    <row r="99" spans="1:12" ht="15">
      <c r="A99" s="43">
        <v>40603</v>
      </c>
      <c r="B99" s="44">
        <v>133.19999999999999</v>
      </c>
      <c r="D99" s="27" t="s">
        <v>137</v>
      </c>
      <c r="E99" s="27">
        <v>8</v>
      </c>
      <c r="F99" s="27">
        <v>126.34601515151515</v>
      </c>
      <c r="G99" s="27">
        <v>15.793251893939393</v>
      </c>
      <c r="H99" s="27"/>
      <c r="I99" s="27"/>
      <c r="J99"/>
      <c r="K99"/>
      <c r="L99"/>
    </row>
    <row r="100" spans="1:12" ht="15.75" thickBot="1">
      <c r="A100" s="43">
        <v>40634</v>
      </c>
      <c r="B100" s="44">
        <v>133.5</v>
      </c>
      <c r="D100" s="28" t="s">
        <v>138</v>
      </c>
      <c r="E100" s="28">
        <v>9</v>
      </c>
      <c r="F100" s="28">
        <v>200.42274999999987</v>
      </c>
      <c r="G100" s="28"/>
      <c r="H100" s="28"/>
      <c r="I100" s="28"/>
      <c r="J100"/>
      <c r="K100"/>
      <c r="L100"/>
    </row>
    <row r="101" spans="1:12" ht="15.75" thickBot="1">
      <c r="A101" s="43">
        <v>40664</v>
      </c>
      <c r="B101" s="44">
        <v>134.69999999999999</v>
      </c>
      <c r="D101"/>
      <c r="E101"/>
      <c r="F101"/>
      <c r="G101"/>
      <c r="H101"/>
      <c r="I101"/>
      <c r="J101"/>
      <c r="K101"/>
      <c r="L101"/>
    </row>
    <row r="102" spans="1:12" ht="15">
      <c r="A102" s="43">
        <v>40695</v>
      </c>
      <c r="B102" s="44">
        <v>138.80000000000001</v>
      </c>
      <c r="D102" s="48"/>
      <c r="E102" s="48" t="s">
        <v>139</v>
      </c>
      <c r="F102" s="48" t="s">
        <v>128</v>
      </c>
      <c r="G102" s="48" t="s">
        <v>140</v>
      </c>
      <c r="H102" s="48" t="s">
        <v>141</v>
      </c>
      <c r="I102" s="48" t="s">
        <v>142</v>
      </c>
      <c r="J102" s="48" t="s">
        <v>143</v>
      </c>
      <c r="K102" s="48" t="s">
        <v>144</v>
      </c>
      <c r="L102" s="48" t="s">
        <v>145</v>
      </c>
    </row>
    <row r="103" spans="1:12" ht="15">
      <c r="A103" s="43">
        <v>40725</v>
      </c>
      <c r="B103" s="44">
        <v>140.4</v>
      </c>
      <c r="D103" s="27" t="s">
        <v>146</v>
      </c>
      <c r="E103" s="27">
        <v>-1771.3586363636346</v>
      </c>
      <c r="F103" s="27">
        <v>880.09445853079012</v>
      </c>
      <c r="G103" s="27">
        <v>-2.0126915005472261</v>
      </c>
      <c r="H103" s="27">
        <v>7.8948132878687516E-2</v>
      </c>
      <c r="I103" s="27">
        <v>-3800.8600971059091</v>
      </c>
      <c r="J103" s="27">
        <v>258.14282437863994</v>
      </c>
      <c r="K103" s="27">
        <v>-3800.8600971059091</v>
      </c>
      <c r="L103" s="27">
        <v>258.14282437863994</v>
      </c>
    </row>
    <row r="104" spans="1:12" ht="15.75" thickBot="1">
      <c r="A104" s="43">
        <v>40756</v>
      </c>
      <c r="B104" s="44">
        <v>141.5</v>
      </c>
      <c r="D104" s="28" t="s">
        <v>155</v>
      </c>
      <c r="E104" s="28">
        <v>0.94757575757575674</v>
      </c>
      <c r="F104" s="28">
        <v>0.43753097752064879</v>
      </c>
      <c r="G104" s="28">
        <v>2.165734099435364</v>
      </c>
      <c r="H104" s="28">
        <v>6.2230865451071961E-2</v>
      </c>
      <c r="I104" s="28">
        <v>-6.1372485866780901E-2</v>
      </c>
      <c r="J104" s="28">
        <v>1.9565240010182943</v>
      </c>
      <c r="K104" s="28">
        <v>-6.1372485866780901E-2</v>
      </c>
      <c r="L104" s="28">
        <v>1.9565240010182943</v>
      </c>
    </row>
    <row r="105" spans="1:12" ht="15">
      <c r="A105" s="43">
        <v>40787</v>
      </c>
      <c r="B105" s="44">
        <v>139.19999999999999</v>
      </c>
      <c r="D105"/>
      <c r="E105"/>
      <c r="F105"/>
      <c r="G105"/>
      <c r="H105"/>
      <c r="I105"/>
      <c r="J105"/>
      <c r="K105"/>
      <c r="L105"/>
    </row>
    <row r="106" spans="1:12" ht="15">
      <c r="A106" s="43">
        <v>40817</v>
      </c>
      <c r="B106" s="44">
        <v>133.4</v>
      </c>
      <c r="D106"/>
      <c r="E106"/>
      <c r="F106"/>
      <c r="G106"/>
      <c r="H106"/>
      <c r="I106"/>
      <c r="J106"/>
      <c r="K106"/>
      <c r="L106"/>
    </row>
    <row r="107" spans="1:12" ht="15">
      <c r="A107" s="43">
        <v>40848</v>
      </c>
      <c r="B107" s="44">
        <v>131.4</v>
      </c>
      <c r="D107"/>
      <c r="E107"/>
      <c r="F107"/>
      <c r="G107"/>
      <c r="H107"/>
      <c r="I107"/>
      <c r="J107"/>
      <c r="K107"/>
      <c r="L107"/>
    </row>
    <row r="108" spans="1:12">
      <c r="A108" s="43">
        <v>40878</v>
      </c>
      <c r="B108" s="44">
        <v>131.4</v>
      </c>
    </row>
    <row r="109" spans="1:12">
      <c r="A109" s="43">
        <v>40909</v>
      </c>
      <c r="B109" s="44">
        <v>130.4</v>
      </c>
    </row>
    <row r="110" spans="1:12">
      <c r="A110" s="43">
        <v>40940</v>
      </c>
      <c r="B110" s="44">
        <v>129.4</v>
      </c>
    </row>
    <row r="111" spans="1:12" ht="15">
      <c r="A111" s="43">
        <v>40969</v>
      </c>
      <c r="B111" s="44">
        <v>128.19999999999999</v>
      </c>
      <c r="D111" t="s">
        <v>221</v>
      </c>
      <c r="E111"/>
      <c r="F111"/>
      <c r="G111"/>
      <c r="H111"/>
      <c r="I111"/>
      <c r="J111"/>
      <c r="K111"/>
      <c r="L111"/>
    </row>
    <row r="112" spans="1:12" ht="15.75" thickBot="1">
      <c r="A112" s="43">
        <v>41000</v>
      </c>
      <c r="B112" s="44">
        <v>127</v>
      </c>
      <c r="D112"/>
      <c r="E112"/>
      <c r="F112"/>
      <c r="G112"/>
      <c r="H112"/>
      <c r="I112"/>
      <c r="J112"/>
      <c r="K112"/>
      <c r="L112"/>
    </row>
    <row r="113" spans="1:12" ht="15">
      <c r="A113" s="43">
        <v>41030</v>
      </c>
      <c r="B113" s="44">
        <v>128.4</v>
      </c>
      <c r="D113" s="47" t="s">
        <v>124</v>
      </c>
      <c r="E113" s="47"/>
      <c r="F113"/>
      <c r="G113"/>
      <c r="H113"/>
      <c r="I113"/>
      <c r="J113"/>
      <c r="K113"/>
      <c r="L113"/>
    </row>
    <row r="114" spans="1:12" ht="15">
      <c r="A114" s="43">
        <v>41061</v>
      </c>
      <c r="B114" s="44">
        <v>131.4</v>
      </c>
      <c r="D114" s="27" t="s">
        <v>125</v>
      </c>
      <c r="E114" s="27">
        <v>0.81456600530738543</v>
      </c>
      <c r="F114"/>
      <c r="G114"/>
      <c r="H114"/>
      <c r="I114"/>
      <c r="J114"/>
      <c r="K114"/>
      <c r="L114"/>
    </row>
    <row r="115" spans="1:12" ht="15">
      <c r="A115" s="43">
        <v>41091</v>
      </c>
      <c r="B115" s="44">
        <v>134.5</v>
      </c>
      <c r="D115" s="27" t="s">
        <v>126</v>
      </c>
      <c r="E115" s="27">
        <v>0.66351777700243142</v>
      </c>
      <c r="F115"/>
      <c r="G115"/>
      <c r="H115"/>
      <c r="I115"/>
      <c r="J115"/>
      <c r="K115"/>
      <c r="L115"/>
    </row>
    <row r="116" spans="1:12" ht="15">
      <c r="A116" s="43">
        <v>41122</v>
      </c>
      <c r="B116" s="44">
        <v>134.69999999999999</v>
      </c>
      <c r="D116" s="27" t="s">
        <v>127</v>
      </c>
      <c r="E116" s="27">
        <v>0.63292848400265245</v>
      </c>
      <c r="F116"/>
      <c r="G116"/>
      <c r="H116"/>
      <c r="I116"/>
      <c r="J116"/>
      <c r="K116"/>
      <c r="L116"/>
    </row>
    <row r="117" spans="1:12" ht="15">
      <c r="A117" s="43">
        <v>41153</v>
      </c>
      <c r="B117" s="44">
        <v>133.6</v>
      </c>
      <c r="D117" s="27" t="s">
        <v>128</v>
      </c>
      <c r="E117" s="27">
        <v>6.1863898530499508</v>
      </c>
      <c r="F117"/>
      <c r="G117"/>
      <c r="H117"/>
      <c r="I117"/>
      <c r="J117"/>
      <c r="K117"/>
      <c r="L117"/>
    </row>
    <row r="118" spans="1:12" ht="15.75" thickBot="1">
      <c r="A118" s="43">
        <v>41183</v>
      </c>
      <c r="B118" s="44">
        <v>131.19999999999999</v>
      </c>
      <c r="D118" s="28" t="s">
        <v>129</v>
      </c>
      <c r="E118" s="28">
        <v>13</v>
      </c>
      <c r="F118"/>
      <c r="G118"/>
      <c r="H118"/>
      <c r="I118"/>
      <c r="J118"/>
      <c r="K118"/>
      <c r="L118"/>
    </row>
    <row r="119" spans="1:12" ht="15">
      <c r="A119" s="43">
        <v>41214</v>
      </c>
      <c r="B119" s="44">
        <v>131.69999999999999</v>
      </c>
      <c r="D119"/>
      <c r="E119"/>
      <c r="F119"/>
      <c r="G119"/>
      <c r="H119"/>
      <c r="I119"/>
      <c r="J119"/>
      <c r="K119"/>
      <c r="L119"/>
    </row>
    <row r="120" spans="1:12" ht="15.75" thickBot="1">
      <c r="A120" s="43">
        <v>41244</v>
      </c>
      <c r="B120" s="44">
        <v>132.80000000000001</v>
      </c>
      <c r="D120" t="s">
        <v>130</v>
      </c>
      <c r="E120"/>
      <c r="F120"/>
      <c r="G120"/>
      <c r="H120"/>
      <c r="I120"/>
      <c r="J120"/>
      <c r="K120"/>
      <c r="L120"/>
    </row>
    <row r="121" spans="1:12" ht="15">
      <c r="A121" s="43">
        <v>41275</v>
      </c>
      <c r="B121" s="44">
        <v>132.30000000000001</v>
      </c>
      <c r="D121" s="48"/>
      <c r="E121" s="48" t="s">
        <v>131</v>
      </c>
      <c r="F121" s="48" t="s">
        <v>132</v>
      </c>
      <c r="G121" s="48" t="s">
        <v>133</v>
      </c>
      <c r="H121" s="48" t="s">
        <v>134</v>
      </c>
      <c r="I121" s="48" t="s">
        <v>135</v>
      </c>
      <c r="J121"/>
      <c r="K121"/>
      <c r="L121"/>
    </row>
    <row r="122" spans="1:12" ht="15">
      <c r="A122" s="43">
        <v>41306</v>
      </c>
      <c r="B122" s="44">
        <v>132.4</v>
      </c>
      <c r="D122" s="27" t="s">
        <v>136</v>
      </c>
      <c r="E122" s="27">
        <v>1</v>
      </c>
      <c r="F122" s="27">
        <v>830.15214285714251</v>
      </c>
      <c r="G122" s="27">
        <v>830.15214285714251</v>
      </c>
      <c r="H122" s="27">
        <v>21.69117726935454</v>
      </c>
      <c r="I122" s="27">
        <v>6.9667644286898359E-4</v>
      </c>
      <c r="J122"/>
      <c r="K122"/>
      <c r="L122"/>
    </row>
    <row r="123" spans="1:12" ht="15">
      <c r="A123" s="43">
        <v>41334</v>
      </c>
      <c r="B123" s="44">
        <v>132.19999999999999</v>
      </c>
      <c r="D123" s="27" t="s">
        <v>137</v>
      </c>
      <c r="E123" s="27">
        <v>11</v>
      </c>
      <c r="F123" s="27">
        <v>420.98561355311335</v>
      </c>
      <c r="G123" s="27">
        <v>38.271419413919396</v>
      </c>
      <c r="H123" s="27"/>
      <c r="I123" s="27"/>
      <c r="J123"/>
      <c r="K123"/>
      <c r="L123"/>
    </row>
    <row r="124" spans="1:12" ht="15.75" thickBot="1">
      <c r="A124" s="43">
        <v>41365</v>
      </c>
      <c r="B124" s="44">
        <v>133.30000000000001</v>
      </c>
      <c r="D124" s="28" t="s">
        <v>138</v>
      </c>
      <c r="E124" s="28">
        <v>12</v>
      </c>
      <c r="F124" s="28">
        <v>1251.1377564102559</v>
      </c>
      <c r="G124" s="28"/>
      <c r="H124" s="28"/>
      <c r="I124" s="28"/>
      <c r="J124"/>
      <c r="K124"/>
      <c r="L124"/>
    </row>
    <row r="125" spans="1:12" ht="15.75" thickBot="1">
      <c r="A125" s="43">
        <v>41395</v>
      </c>
      <c r="B125" s="44">
        <v>136.1</v>
      </c>
      <c r="D125"/>
      <c r="E125"/>
      <c r="F125"/>
      <c r="G125"/>
      <c r="H125"/>
      <c r="I125"/>
      <c r="J125"/>
      <c r="K125"/>
      <c r="L125"/>
    </row>
    <row r="126" spans="1:12" ht="15">
      <c r="A126" s="43">
        <v>41426</v>
      </c>
      <c r="B126" s="44">
        <v>137.6</v>
      </c>
      <c r="D126" s="48"/>
      <c r="E126" s="48" t="s">
        <v>139</v>
      </c>
      <c r="F126" s="48" t="s">
        <v>128</v>
      </c>
      <c r="G126" s="48" t="s">
        <v>140</v>
      </c>
      <c r="H126" s="48" t="s">
        <v>141</v>
      </c>
      <c r="I126" s="48" t="s">
        <v>142</v>
      </c>
      <c r="J126" s="48" t="s">
        <v>143</v>
      </c>
      <c r="K126" s="48" t="s">
        <v>144</v>
      </c>
      <c r="L126" s="48" t="s">
        <v>145</v>
      </c>
    </row>
    <row r="127" spans="1:12" ht="15">
      <c r="A127" s="43">
        <v>41456</v>
      </c>
      <c r="B127" s="44">
        <v>139.4</v>
      </c>
      <c r="D127" s="27" t="s">
        <v>146</v>
      </c>
      <c r="E127" s="27">
        <v>-4162.5927655677651</v>
      </c>
      <c r="F127" s="27">
        <v>921.71870447934077</v>
      </c>
      <c r="G127" s="27">
        <v>-4.5161205315011212</v>
      </c>
      <c r="H127" s="27">
        <v>8.7762129943123955E-4</v>
      </c>
      <c r="I127" s="27">
        <v>-6191.2819559056843</v>
      </c>
      <c r="J127" s="27">
        <v>-2133.903575229846</v>
      </c>
      <c r="K127" s="27">
        <v>-6191.2819559056843</v>
      </c>
      <c r="L127" s="27">
        <v>-2133.903575229846</v>
      </c>
    </row>
    <row r="128" spans="1:12" ht="15.75" thickBot="1">
      <c r="A128" s="43">
        <v>41487</v>
      </c>
      <c r="B128" s="44">
        <v>137.4</v>
      </c>
      <c r="D128" s="28" t="s">
        <v>155</v>
      </c>
      <c r="E128" s="28">
        <v>2.1357142857142852</v>
      </c>
      <c r="F128" s="28">
        <v>0.45856572511724464</v>
      </c>
      <c r="G128" s="28">
        <v>4.6573787981389856</v>
      </c>
      <c r="H128" s="28">
        <v>6.9667644286898359E-4</v>
      </c>
      <c r="I128" s="28">
        <v>1.1264179298045682</v>
      </c>
      <c r="J128" s="28">
        <v>3.145010641624002</v>
      </c>
      <c r="K128" s="28">
        <v>1.1264179298045682</v>
      </c>
      <c r="L128" s="28">
        <v>3.145010641624002</v>
      </c>
    </row>
    <row r="129" spans="1:12" ht="15">
      <c r="A129" s="43">
        <v>41518</v>
      </c>
      <c r="B129" s="44">
        <v>138.4</v>
      </c>
      <c r="D129"/>
      <c r="E129"/>
      <c r="F129"/>
      <c r="G129"/>
      <c r="H129"/>
      <c r="I129"/>
      <c r="J129"/>
      <c r="K129"/>
      <c r="L129"/>
    </row>
    <row r="130" spans="1:12" ht="15">
      <c r="A130" s="43">
        <v>41548</v>
      </c>
      <c r="B130" s="44">
        <v>134.5</v>
      </c>
      <c r="D130"/>
      <c r="E130"/>
      <c r="F130"/>
      <c r="G130"/>
      <c r="H130"/>
      <c r="I130"/>
      <c r="J130"/>
      <c r="K130"/>
      <c r="L130"/>
    </row>
    <row r="131" spans="1:12" ht="15">
      <c r="A131" s="43">
        <v>41579</v>
      </c>
      <c r="B131" s="44">
        <v>134.30000000000001</v>
      </c>
      <c r="D131"/>
      <c r="E131"/>
      <c r="F131"/>
      <c r="G131"/>
      <c r="H131"/>
      <c r="I131"/>
      <c r="J131"/>
      <c r="K131"/>
      <c r="L131"/>
    </row>
    <row r="132" spans="1:12">
      <c r="A132" s="43">
        <v>41609</v>
      </c>
      <c r="B132" s="44">
        <v>140.30000000000001</v>
      </c>
    </row>
    <row r="133" spans="1:12">
      <c r="A133" s="43">
        <v>41640</v>
      </c>
      <c r="B133" s="44">
        <v>148</v>
      </c>
    </row>
    <row r="134" spans="1:12">
      <c r="A134" s="43">
        <v>41671</v>
      </c>
      <c r="B134" s="44">
        <v>150</v>
      </c>
    </row>
    <row r="135" spans="1:12">
      <c r="A135" s="43">
        <v>41699</v>
      </c>
      <c r="B135" s="44">
        <v>147.80000000000001</v>
      </c>
    </row>
    <row r="136" spans="1:12">
      <c r="A136" s="43">
        <v>41730</v>
      </c>
      <c r="B136" s="44">
        <v>145.69999999999999</v>
      </c>
    </row>
    <row r="137" spans="1:12">
      <c r="A137" s="43">
        <v>41760</v>
      </c>
      <c r="B137" s="44">
        <v>142</v>
      </c>
    </row>
    <row r="138" spans="1:12">
      <c r="A138" s="43">
        <v>41791</v>
      </c>
      <c r="B138" s="44">
        <v>144.19999999999999</v>
      </c>
    </row>
    <row r="139" spans="1:12">
      <c r="A139" s="43">
        <v>41821</v>
      </c>
      <c r="B139" s="44">
        <v>145.30000000000001</v>
      </c>
    </row>
    <row r="140" spans="1:12">
      <c r="A140" s="43">
        <v>41852</v>
      </c>
      <c r="B140" s="44">
        <v>143.9</v>
      </c>
    </row>
    <row r="141" spans="1:12">
      <c r="A141" s="43">
        <v>41883</v>
      </c>
      <c r="B141" s="44">
        <v>143.6</v>
      </c>
    </row>
    <row r="142" spans="1:12">
      <c r="A142" s="43">
        <v>41913</v>
      </c>
      <c r="B142" s="44">
        <v>140.19999999999999</v>
      </c>
    </row>
    <row r="143" spans="1:12">
      <c r="A143" s="43">
        <v>41944</v>
      </c>
      <c r="B143" s="44">
        <v>138.1</v>
      </c>
    </row>
    <row r="144" spans="1:12">
      <c r="A144" s="43">
        <v>41974</v>
      </c>
      <c r="B144" s="44">
        <v>139.69999999999999</v>
      </c>
    </row>
    <row r="145" spans="1:2">
      <c r="A145" s="43">
        <v>42005</v>
      </c>
      <c r="B145" s="44">
        <v>142.30000000000001</v>
      </c>
    </row>
    <row r="146" spans="1:2">
      <c r="A146" s="43">
        <v>42036</v>
      </c>
      <c r="B146" s="44">
        <v>138.19999999999999</v>
      </c>
    </row>
    <row r="147" spans="1:2">
      <c r="A147" s="43">
        <v>42064</v>
      </c>
      <c r="B147" s="44">
        <v>143</v>
      </c>
    </row>
    <row r="148" spans="1:2">
      <c r="A148" s="43">
        <v>42095</v>
      </c>
      <c r="B148" s="44">
        <v>135.9</v>
      </c>
    </row>
    <row r="149" spans="1:2">
      <c r="A149" s="43">
        <v>42125</v>
      </c>
      <c r="B149" s="44">
        <v>135.6</v>
      </c>
    </row>
    <row r="150" spans="1:2">
      <c r="A150" s="43">
        <v>42156</v>
      </c>
      <c r="B150" s="44">
        <v>140.69999999999999</v>
      </c>
    </row>
    <row r="151" spans="1:2">
      <c r="A151" s="43">
        <v>42186</v>
      </c>
      <c r="B151" s="44">
        <v>142.9</v>
      </c>
    </row>
    <row r="152" spans="1:2">
      <c r="A152" s="43">
        <v>42217</v>
      </c>
      <c r="B152" s="44">
        <v>142.19999999999999</v>
      </c>
    </row>
    <row r="153" spans="1:2">
      <c r="A153" s="43">
        <v>42248</v>
      </c>
      <c r="B153" s="44">
        <v>140.4</v>
      </c>
    </row>
    <row r="154" spans="1:2">
      <c r="A154" s="43">
        <v>42278</v>
      </c>
      <c r="B154" s="44">
        <v>135.5</v>
      </c>
    </row>
    <row r="155" spans="1:2">
      <c r="A155" s="43">
        <v>42309</v>
      </c>
      <c r="B155" s="44">
        <v>133</v>
      </c>
    </row>
    <row r="156" spans="1:2">
      <c r="A156" s="43">
        <v>42339</v>
      </c>
      <c r="B156" s="44">
        <v>132.9</v>
      </c>
    </row>
    <row r="157" spans="1:2">
      <c r="A157" s="43">
        <v>42370</v>
      </c>
      <c r="B157" s="44">
        <v>132.9</v>
      </c>
    </row>
    <row r="158" spans="1:2">
      <c r="A158" s="43">
        <v>42401</v>
      </c>
      <c r="B158" s="44">
        <v>131.5</v>
      </c>
    </row>
    <row r="159" spans="1:2">
      <c r="A159" s="43">
        <v>42430</v>
      </c>
      <c r="B159" s="44">
        <v>130.80000000000001</v>
      </c>
    </row>
    <row r="160" spans="1:2">
      <c r="A160" s="43">
        <v>42461</v>
      </c>
      <c r="B160" s="44">
        <v>130.19999999999999</v>
      </c>
    </row>
    <row r="161" spans="1:3">
      <c r="A161" s="43">
        <v>42491</v>
      </c>
      <c r="B161" s="44">
        <v>131.4</v>
      </c>
    </row>
    <row r="162" spans="1:3">
      <c r="A162" s="43">
        <v>42522</v>
      </c>
      <c r="B162" s="44">
        <v>136.1</v>
      </c>
    </row>
    <row r="163" spans="1:3">
      <c r="A163" s="43">
        <v>42552</v>
      </c>
      <c r="B163" s="44">
        <v>138.6</v>
      </c>
    </row>
    <row r="164" spans="1:3">
      <c r="A164" s="43">
        <v>42583</v>
      </c>
      <c r="B164" s="44">
        <v>140.4</v>
      </c>
    </row>
    <row r="165" spans="1:3">
      <c r="A165" s="43">
        <v>42614</v>
      </c>
      <c r="B165" s="44">
        <v>139.9</v>
      </c>
    </row>
    <row r="166" spans="1:3">
      <c r="A166" s="43">
        <v>42644</v>
      </c>
      <c r="B166" s="44">
        <v>136.1</v>
      </c>
    </row>
    <row r="167" spans="1:3">
      <c r="A167" s="43">
        <v>42675</v>
      </c>
      <c r="B167" s="44">
        <v>134</v>
      </c>
    </row>
    <row r="168" spans="1:3">
      <c r="A168" s="43">
        <v>42705</v>
      </c>
      <c r="B168" s="44">
        <v>136.19999999999999</v>
      </c>
    </row>
    <row r="169" spans="1:3">
      <c r="A169" s="43">
        <v>42736</v>
      </c>
      <c r="B169" s="44">
        <v>140.4</v>
      </c>
    </row>
    <row r="170" spans="1:3">
      <c r="A170" s="43">
        <v>42767</v>
      </c>
      <c r="B170" s="44">
        <v>139.5</v>
      </c>
    </row>
    <row r="171" spans="1:3">
      <c r="A171" s="43">
        <v>42795</v>
      </c>
      <c r="B171" s="44">
        <v>138.1</v>
      </c>
    </row>
    <row r="172" spans="1:3">
      <c r="A172" s="43">
        <v>42826</v>
      </c>
      <c r="B172" s="44">
        <v>138.69999999999999</v>
      </c>
      <c r="C172" s="45"/>
    </row>
    <row r="173" spans="1:3">
      <c r="A173" s="43">
        <v>42856</v>
      </c>
      <c r="B173" s="44">
        <v>139.6</v>
      </c>
    </row>
    <row r="174" spans="1:3">
      <c r="A174" s="43">
        <v>42887</v>
      </c>
      <c r="B174" s="44">
        <v>142.9</v>
      </c>
    </row>
    <row r="175" spans="1:3">
      <c r="A175" s="43">
        <v>42917</v>
      </c>
      <c r="B175" s="44">
        <v>145.6</v>
      </c>
    </row>
    <row r="176" spans="1:3">
      <c r="A176" s="43">
        <v>42948</v>
      </c>
      <c r="B176" s="44">
        <v>145.1</v>
      </c>
    </row>
  </sheetData>
  <mergeCells count="1">
    <mergeCell ref="D43:E43"/>
  </mergeCells>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topLeftCell="A64" workbookViewId="0">
      <selection activeCell="E58" sqref="E58"/>
    </sheetView>
  </sheetViews>
  <sheetFormatPr defaultRowHeight="12.75"/>
  <cols>
    <col min="1" max="256" width="20.7109375" style="42" customWidth="1"/>
    <col min="257" max="16384" width="9.140625" style="42"/>
  </cols>
  <sheetData>
    <row r="1" spans="1:2">
      <c r="A1" s="42" t="s">
        <v>196</v>
      </c>
    </row>
    <row r="2" spans="1:2">
      <c r="A2" s="42" t="s">
        <v>197</v>
      </c>
    </row>
    <row r="3" spans="1:2">
      <c r="A3" s="42" t="s">
        <v>198</v>
      </c>
    </row>
    <row r="4" spans="1:2">
      <c r="A4" s="42" t="s">
        <v>199</v>
      </c>
    </row>
    <row r="5" spans="1:2">
      <c r="A5" s="42" t="s">
        <v>200</v>
      </c>
    </row>
    <row r="6" spans="1:2">
      <c r="A6" s="42" t="s">
        <v>201</v>
      </c>
    </row>
    <row r="8" spans="1:2">
      <c r="A8" s="42" t="s">
        <v>229</v>
      </c>
      <c r="B8" s="42" t="s">
        <v>230</v>
      </c>
    </row>
    <row r="10" spans="1:2">
      <c r="A10" s="42" t="s">
        <v>224</v>
      </c>
    </row>
    <row r="11" spans="1:2">
      <c r="A11" s="42" t="s">
        <v>205</v>
      </c>
      <c r="B11" s="42" t="s">
        <v>229</v>
      </c>
    </row>
    <row r="12" spans="1:2">
      <c r="A12" s="43">
        <v>37956</v>
      </c>
      <c r="B12" s="44">
        <v>100</v>
      </c>
    </row>
    <row r="13" spans="1:2">
      <c r="A13" s="43">
        <v>37987</v>
      </c>
      <c r="B13" s="44">
        <v>102.2</v>
      </c>
    </row>
    <row r="14" spans="1:2">
      <c r="A14" s="43">
        <v>38018</v>
      </c>
      <c r="B14" s="44">
        <v>102.1</v>
      </c>
    </row>
    <row r="15" spans="1:2">
      <c r="A15" s="43">
        <v>38047</v>
      </c>
      <c r="B15" s="44">
        <v>101.8</v>
      </c>
    </row>
    <row r="16" spans="1:2">
      <c r="A16" s="43">
        <v>38078</v>
      </c>
      <c r="B16" s="44">
        <v>101.6</v>
      </c>
    </row>
    <row r="17" spans="1:2">
      <c r="A17" s="43">
        <v>38108</v>
      </c>
      <c r="B17" s="44">
        <v>102.8</v>
      </c>
    </row>
    <row r="18" spans="1:2">
      <c r="A18" s="43">
        <v>38139</v>
      </c>
      <c r="B18" s="44">
        <v>101.9</v>
      </c>
    </row>
    <row r="19" spans="1:2">
      <c r="A19" s="43">
        <v>38169</v>
      </c>
      <c r="B19" s="44">
        <v>100.9</v>
      </c>
    </row>
    <row r="20" spans="1:2">
      <c r="A20" s="43">
        <v>38200</v>
      </c>
      <c r="B20" s="44">
        <v>100.8</v>
      </c>
    </row>
    <row r="21" spans="1:2">
      <c r="A21" s="43">
        <v>38231</v>
      </c>
      <c r="B21" s="44">
        <v>101.9</v>
      </c>
    </row>
    <row r="22" spans="1:2">
      <c r="A22" s="43">
        <v>38261</v>
      </c>
      <c r="B22" s="44">
        <v>98.6</v>
      </c>
    </row>
    <row r="23" spans="1:2">
      <c r="A23" s="43">
        <v>38292</v>
      </c>
      <c r="B23" s="44">
        <v>99.3</v>
      </c>
    </row>
    <row r="24" spans="1:2">
      <c r="A24" s="43">
        <v>38322</v>
      </c>
      <c r="B24" s="44">
        <v>103.1</v>
      </c>
    </row>
    <row r="25" spans="1:2">
      <c r="A25" s="43">
        <v>38353</v>
      </c>
      <c r="B25" s="44">
        <v>101.5</v>
      </c>
    </row>
    <row r="26" spans="1:2">
      <c r="A26" s="43">
        <v>38384</v>
      </c>
      <c r="B26" s="44">
        <v>101.6</v>
      </c>
    </row>
    <row r="27" spans="1:2">
      <c r="A27" s="43">
        <v>38412</v>
      </c>
      <c r="B27" s="44">
        <v>101.3</v>
      </c>
    </row>
    <row r="28" spans="1:2">
      <c r="A28" s="43">
        <v>38443</v>
      </c>
      <c r="B28" s="44">
        <v>102.5</v>
      </c>
    </row>
    <row r="29" spans="1:2">
      <c r="A29" s="43">
        <v>38473</v>
      </c>
      <c r="B29" s="44">
        <v>102.3</v>
      </c>
    </row>
    <row r="30" spans="1:2">
      <c r="A30" s="43">
        <v>38504</v>
      </c>
      <c r="B30" s="44">
        <v>103.5</v>
      </c>
    </row>
    <row r="31" spans="1:2">
      <c r="A31" s="43">
        <v>38534</v>
      </c>
      <c r="B31" s="44">
        <v>102.7</v>
      </c>
    </row>
    <row r="32" spans="1:2">
      <c r="A32" s="43">
        <v>38565</v>
      </c>
      <c r="B32" s="44">
        <v>99.7</v>
      </c>
    </row>
    <row r="33" spans="1:8">
      <c r="A33" s="43">
        <v>38596</v>
      </c>
      <c r="B33" s="44">
        <v>99.8</v>
      </c>
    </row>
    <row r="34" spans="1:8">
      <c r="A34" s="43">
        <v>38626</v>
      </c>
      <c r="B34" s="44">
        <v>99.6</v>
      </c>
    </row>
    <row r="35" spans="1:8">
      <c r="A35" s="43">
        <v>38657</v>
      </c>
      <c r="B35" s="44">
        <v>99.9</v>
      </c>
    </row>
    <row r="36" spans="1:8">
      <c r="A36" s="43">
        <v>38687</v>
      </c>
      <c r="B36" s="44">
        <v>101.3</v>
      </c>
    </row>
    <row r="37" spans="1:8">
      <c r="A37" s="43">
        <v>38718</v>
      </c>
      <c r="B37" s="44">
        <v>101.9</v>
      </c>
    </row>
    <row r="38" spans="1:8">
      <c r="A38" s="43">
        <v>38749</v>
      </c>
      <c r="B38" s="44">
        <v>104</v>
      </c>
    </row>
    <row r="39" spans="1:8">
      <c r="A39" s="43">
        <v>38777</v>
      </c>
      <c r="B39" s="44">
        <v>104.2</v>
      </c>
    </row>
    <row r="40" spans="1:8">
      <c r="A40" s="43">
        <v>38808</v>
      </c>
      <c r="B40" s="44">
        <v>103.2</v>
      </c>
    </row>
    <row r="41" spans="1:8">
      <c r="A41" s="43">
        <v>38838</v>
      </c>
      <c r="B41" s="44">
        <v>103.8</v>
      </c>
    </row>
    <row r="42" spans="1:8">
      <c r="A42" s="43">
        <v>38869</v>
      </c>
      <c r="B42" s="44">
        <v>105.2</v>
      </c>
    </row>
    <row r="43" spans="1:8">
      <c r="A43" s="43">
        <v>38899</v>
      </c>
      <c r="B43" s="44">
        <v>104.4</v>
      </c>
      <c r="D43" s="386" t="s">
        <v>225</v>
      </c>
      <c r="E43" s="386"/>
    </row>
    <row r="44" spans="1:8">
      <c r="A44" s="43">
        <v>38930</v>
      </c>
      <c r="B44" s="44">
        <v>101</v>
      </c>
      <c r="D44" s="49" t="s">
        <v>115</v>
      </c>
      <c r="E44" s="49" t="s">
        <v>226</v>
      </c>
    </row>
    <row r="45" spans="1:8">
      <c r="A45" s="43">
        <v>38961</v>
      </c>
      <c r="B45" s="44">
        <v>101.9</v>
      </c>
      <c r="D45" s="42">
        <v>2004</v>
      </c>
      <c r="E45" s="45">
        <f>AVERAGE(B13:B24)</f>
        <v>101.41666666666667</v>
      </c>
      <c r="G45" s="42" t="s">
        <v>186</v>
      </c>
      <c r="H45" s="46">
        <f>RATE(12,,-E45,E$57)</f>
        <v>3.732683560754179E-2</v>
      </c>
    </row>
    <row r="46" spans="1:8">
      <c r="A46" s="43">
        <v>38991</v>
      </c>
      <c r="B46" s="44">
        <v>102.1</v>
      </c>
      <c r="D46" s="42">
        <v>2005</v>
      </c>
      <c r="E46" s="45">
        <f>AVERAGE(B25:B36)</f>
        <v>101.30833333333334</v>
      </c>
      <c r="G46" s="42" t="s">
        <v>208</v>
      </c>
      <c r="H46" s="46">
        <f>RATE(11,,-E46,E$57)</f>
        <v>4.088963434631479E-2</v>
      </c>
    </row>
    <row r="47" spans="1:8">
      <c r="A47" s="43">
        <v>39022</v>
      </c>
      <c r="B47" s="44">
        <v>104.2</v>
      </c>
      <c r="D47" s="42">
        <v>2006</v>
      </c>
      <c r="E47" s="45">
        <f>AVERAGE(B37:B48)</f>
        <v>103.31666666666668</v>
      </c>
      <c r="G47" s="42" t="s">
        <v>209</v>
      </c>
      <c r="H47" s="46">
        <f>RATE(10,,-E47,E$57)</f>
        <v>4.3019986425317361E-2</v>
      </c>
    </row>
    <row r="48" spans="1:8">
      <c r="A48" s="43">
        <v>39052</v>
      </c>
      <c r="B48" s="44">
        <v>103.9</v>
      </c>
      <c r="D48" s="42">
        <v>2007</v>
      </c>
      <c r="E48" s="45">
        <f>AVERAGE(B49:B60)</f>
        <v>104.71666666666668</v>
      </c>
      <c r="G48" s="42" t="s">
        <v>187</v>
      </c>
      <c r="H48" s="46">
        <f>RATE(9,,-E48,E$57)</f>
        <v>4.6346807325043725E-2</v>
      </c>
    </row>
    <row r="49" spans="1:12">
      <c r="A49" s="43">
        <v>39083</v>
      </c>
      <c r="B49" s="44">
        <v>103.2</v>
      </c>
      <c r="D49" s="42">
        <v>2008</v>
      </c>
      <c r="E49" s="45">
        <f>AVERAGE(B61:B72)</f>
        <v>110.75000000000001</v>
      </c>
      <c r="G49" s="42" t="s">
        <v>210</v>
      </c>
      <c r="H49" s="46">
        <f>RATE(8,,-E49,E$57)</f>
        <v>4.4946653585864159E-2</v>
      </c>
    </row>
    <row r="50" spans="1:12">
      <c r="A50" s="43">
        <v>39114</v>
      </c>
      <c r="B50" s="44">
        <v>105.1</v>
      </c>
      <c r="D50" s="42">
        <v>2009</v>
      </c>
      <c r="E50" s="45">
        <f>AVERAGE(B73:B84)</f>
        <v>112.60000000000001</v>
      </c>
      <c r="G50" s="42" t="s">
        <v>211</v>
      </c>
      <c r="H50" s="46">
        <f>RATE(7,,-E50,E$57)</f>
        <v>4.9044818230267941E-2</v>
      </c>
    </row>
    <row r="51" spans="1:12">
      <c r="A51" s="43">
        <v>39142</v>
      </c>
      <c r="B51" s="44">
        <v>104.8</v>
      </c>
      <c r="D51" s="42">
        <v>2010</v>
      </c>
      <c r="E51" s="45">
        <f>AVERAGE(B85:B96)</f>
        <v>116.90833333333332</v>
      </c>
      <c r="G51" s="42" t="s">
        <v>212</v>
      </c>
      <c r="H51" s="46">
        <f>RATE(6,,-E51,E$57)</f>
        <v>5.0852762574538947E-2</v>
      </c>
    </row>
    <row r="52" spans="1:12">
      <c r="A52" s="43">
        <v>39173</v>
      </c>
      <c r="B52" s="44">
        <v>105.3</v>
      </c>
      <c r="D52" s="42">
        <v>2011</v>
      </c>
      <c r="E52" s="45">
        <f>AVERAGE(B97:B108)</f>
        <v>123.80833333333334</v>
      </c>
      <c r="G52" s="42" t="s">
        <v>213</v>
      </c>
      <c r="H52" s="46">
        <f>RATE(5,,-E52,E$57)</f>
        <v>4.9226770118367007E-2</v>
      </c>
    </row>
    <row r="53" spans="1:12">
      <c r="A53" s="43">
        <v>39203</v>
      </c>
      <c r="B53" s="44">
        <v>104.5</v>
      </c>
      <c r="D53" s="42">
        <v>2012</v>
      </c>
      <c r="E53" s="45">
        <f>AVERAGE(B109:B120)</f>
        <v>125.63333333333333</v>
      </c>
      <c r="G53" s="42" t="s">
        <v>214</v>
      </c>
      <c r="H53" s="46">
        <f>RATE(4,,-E53,E$57)</f>
        <v>5.8029926716211211E-2</v>
      </c>
    </row>
    <row r="54" spans="1:12">
      <c r="A54" s="43">
        <v>39234</v>
      </c>
      <c r="B54" s="44">
        <v>105.7</v>
      </c>
      <c r="D54" s="42">
        <v>2013</v>
      </c>
      <c r="E54" s="45">
        <f>AVERAGE(B121:B132)</f>
        <v>135.71666666666667</v>
      </c>
      <c r="G54" s="42" t="s">
        <v>215</v>
      </c>
      <c r="H54" s="46">
        <f>RATE(3,,-E54,E$57)</f>
        <v>5.0722023901389197E-2</v>
      </c>
    </row>
    <row r="55" spans="1:12">
      <c r="A55" s="43">
        <v>39264</v>
      </c>
      <c r="B55" s="44">
        <v>105.6</v>
      </c>
      <c r="D55" s="42">
        <v>2014</v>
      </c>
      <c r="E55" s="45">
        <f>AVERAGE(B133:B144)</f>
        <v>146.56666666666666</v>
      </c>
      <c r="G55" s="42" t="s">
        <v>216</v>
      </c>
      <c r="H55" s="46">
        <f>RATE(2,,-E55,E$57)</f>
        <v>3.6407960259510194E-2</v>
      </c>
    </row>
    <row r="56" spans="1:12">
      <c r="A56" s="43">
        <v>39295</v>
      </c>
      <c r="B56" s="44">
        <v>104</v>
      </c>
      <c r="D56" s="42">
        <v>2015</v>
      </c>
      <c r="E56" s="45">
        <f>AVERAGE(B145:B156)</f>
        <v>153.14166666666668</v>
      </c>
      <c r="G56" s="42" t="s">
        <v>217</v>
      </c>
      <c r="H56" s="46">
        <f>RATE(1,,-E56,E$57)</f>
        <v>2.8024160635576903E-2</v>
      </c>
    </row>
    <row r="57" spans="1:12">
      <c r="A57" s="43">
        <v>39326</v>
      </c>
      <c r="B57" s="44">
        <v>104.3</v>
      </c>
      <c r="D57" s="42">
        <v>2016</v>
      </c>
      <c r="E57" s="45">
        <f>AVERAGE(B157:B168)</f>
        <v>157.43333333333334</v>
      </c>
    </row>
    <row r="58" spans="1:12">
      <c r="A58" s="43">
        <v>39356</v>
      </c>
      <c r="B58" s="44">
        <v>104.2</v>
      </c>
      <c r="D58" s="42" t="s">
        <v>227</v>
      </c>
      <c r="E58" s="46">
        <f>E78/E57</f>
        <v>3.8468423382672798E-2</v>
      </c>
    </row>
    <row r="59" spans="1:12">
      <c r="A59" s="43">
        <v>39387</v>
      </c>
      <c r="B59" s="44">
        <v>104.7</v>
      </c>
      <c r="D59" s="42" t="s">
        <v>228</v>
      </c>
      <c r="E59" s="46">
        <f>E99/E57</f>
        <v>3.1488705027769175E-2</v>
      </c>
    </row>
    <row r="60" spans="1:12">
      <c r="A60" s="43">
        <v>39417</v>
      </c>
      <c r="B60" s="44">
        <v>105.2</v>
      </c>
    </row>
    <row r="61" spans="1:12" ht="15">
      <c r="A61" s="43">
        <v>39448</v>
      </c>
      <c r="B61" s="44">
        <v>106.4</v>
      </c>
      <c r="D61" t="s">
        <v>221</v>
      </c>
      <c r="E61"/>
      <c r="F61"/>
      <c r="G61"/>
      <c r="H61"/>
      <c r="I61"/>
      <c r="J61"/>
      <c r="K61"/>
      <c r="L61"/>
    </row>
    <row r="62" spans="1:12" ht="15.75" thickBot="1">
      <c r="A62" s="43">
        <v>39479</v>
      </c>
      <c r="B62" s="44">
        <v>109.7</v>
      </c>
      <c r="D62"/>
      <c r="E62"/>
      <c r="F62"/>
      <c r="G62"/>
      <c r="H62"/>
      <c r="I62"/>
      <c r="J62"/>
      <c r="K62"/>
      <c r="L62"/>
    </row>
    <row r="63" spans="1:12" ht="15">
      <c r="A63" s="43">
        <v>39508</v>
      </c>
      <c r="B63" s="44">
        <v>111</v>
      </c>
      <c r="D63" s="47" t="s">
        <v>124</v>
      </c>
      <c r="E63" s="47"/>
      <c r="F63"/>
      <c r="G63"/>
      <c r="H63"/>
      <c r="I63"/>
      <c r="J63"/>
      <c r="K63"/>
      <c r="L63"/>
    </row>
    <row r="64" spans="1:12" ht="15">
      <c r="A64" s="43">
        <v>39539</v>
      </c>
      <c r="B64" s="44">
        <v>110.7</v>
      </c>
      <c r="D64" s="27" t="s">
        <v>125</v>
      </c>
      <c r="E64" s="27">
        <v>0.98473792761977641</v>
      </c>
      <c r="F64"/>
      <c r="G64"/>
      <c r="H64"/>
      <c r="I64"/>
      <c r="J64"/>
      <c r="K64"/>
      <c r="L64"/>
    </row>
    <row r="65" spans="1:12" ht="15">
      <c r="A65" s="43">
        <v>39569</v>
      </c>
      <c r="B65" s="44">
        <v>114.4</v>
      </c>
      <c r="D65" s="27" t="s">
        <v>126</v>
      </c>
      <c r="E65" s="27">
        <v>0.96970878609289191</v>
      </c>
      <c r="F65"/>
      <c r="G65"/>
      <c r="H65"/>
      <c r="I65"/>
      <c r="J65"/>
      <c r="K65"/>
      <c r="L65"/>
    </row>
    <row r="66" spans="1:12" ht="15">
      <c r="A66" s="43">
        <v>39600</v>
      </c>
      <c r="B66" s="44">
        <v>114.2</v>
      </c>
      <c r="D66" s="27" t="s">
        <v>127</v>
      </c>
      <c r="E66" s="27">
        <v>0.96592238435450328</v>
      </c>
      <c r="F66"/>
      <c r="G66"/>
      <c r="H66"/>
      <c r="I66"/>
      <c r="J66"/>
      <c r="K66"/>
      <c r="L66"/>
    </row>
    <row r="67" spans="1:12" ht="15">
      <c r="A67" s="43">
        <v>39630</v>
      </c>
      <c r="B67" s="44">
        <v>114.6</v>
      </c>
      <c r="D67" s="27" t="s">
        <v>128</v>
      </c>
      <c r="E67" s="27">
        <v>3.4373260745715335</v>
      </c>
      <c r="F67"/>
      <c r="G67"/>
      <c r="H67"/>
      <c r="I67"/>
      <c r="J67"/>
      <c r="K67"/>
      <c r="L67"/>
    </row>
    <row r="68" spans="1:12" ht="15.75" thickBot="1">
      <c r="A68" s="43">
        <v>39661</v>
      </c>
      <c r="B68" s="44">
        <v>107.4</v>
      </c>
      <c r="D68" s="28" t="s">
        <v>129</v>
      </c>
      <c r="E68" s="28">
        <v>10</v>
      </c>
      <c r="F68"/>
      <c r="G68"/>
      <c r="H68"/>
      <c r="I68"/>
      <c r="J68"/>
      <c r="K68"/>
      <c r="L68"/>
    </row>
    <row r="69" spans="1:12" ht="15">
      <c r="A69" s="43">
        <v>39692</v>
      </c>
      <c r="B69" s="44">
        <v>108.6</v>
      </c>
      <c r="D69"/>
      <c r="E69"/>
      <c r="F69"/>
      <c r="G69"/>
      <c r="H69"/>
      <c r="I69"/>
      <c r="J69"/>
      <c r="K69"/>
      <c r="L69"/>
    </row>
    <row r="70" spans="1:12" ht="15.75" thickBot="1">
      <c r="A70" s="43">
        <v>39722</v>
      </c>
      <c r="B70" s="44">
        <v>109.3</v>
      </c>
      <c r="D70" t="s">
        <v>130</v>
      </c>
      <c r="E70"/>
      <c r="F70"/>
      <c r="G70"/>
      <c r="H70"/>
      <c r="I70"/>
      <c r="J70"/>
      <c r="K70"/>
      <c r="L70"/>
    </row>
    <row r="71" spans="1:12" ht="15">
      <c r="A71" s="43">
        <v>39753</v>
      </c>
      <c r="B71" s="44">
        <v>110.9</v>
      </c>
      <c r="D71" s="48"/>
      <c r="E71" s="48" t="s">
        <v>131</v>
      </c>
      <c r="F71" s="48" t="s">
        <v>132</v>
      </c>
      <c r="G71" s="48" t="s">
        <v>133</v>
      </c>
      <c r="H71" s="48" t="s">
        <v>134</v>
      </c>
      <c r="I71" s="48" t="s">
        <v>135</v>
      </c>
      <c r="J71"/>
      <c r="K71"/>
      <c r="L71"/>
    </row>
    <row r="72" spans="1:12" ht="15">
      <c r="A72" s="43">
        <v>39783</v>
      </c>
      <c r="B72" s="44">
        <v>111.8</v>
      </c>
      <c r="D72" s="27" t="s">
        <v>136</v>
      </c>
      <c r="E72" s="27">
        <v>1</v>
      </c>
      <c r="F72" s="27">
        <v>3025.9106837121208</v>
      </c>
      <c r="G72" s="27">
        <v>3025.9106837121208</v>
      </c>
      <c r="H72" s="27">
        <v>256.10298459919841</v>
      </c>
      <c r="I72" s="27">
        <v>2.3305363624571575E-7</v>
      </c>
      <c r="J72"/>
      <c r="K72"/>
      <c r="L72"/>
    </row>
    <row r="73" spans="1:12" ht="15">
      <c r="A73" s="43">
        <v>39814</v>
      </c>
      <c r="B73" s="44">
        <v>109.6</v>
      </c>
      <c r="D73" s="27" t="s">
        <v>137</v>
      </c>
      <c r="E73" s="27">
        <v>8</v>
      </c>
      <c r="F73" s="27">
        <v>94.521684343434771</v>
      </c>
      <c r="G73" s="27">
        <v>11.815210542929346</v>
      </c>
      <c r="H73" s="27"/>
      <c r="I73" s="27"/>
      <c r="J73"/>
      <c r="K73"/>
      <c r="L73"/>
    </row>
    <row r="74" spans="1:12" ht="15.75" thickBot="1">
      <c r="A74" s="43">
        <v>39845</v>
      </c>
      <c r="B74" s="44">
        <v>109.7</v>
      </c>
      <c r="D74" s="28" t="s">
        <v>138</v>
      </c>
      <c r="E74" s="28">
        <v>9</v>
      </c>
      <c r="F74" s="28">
        <v>3120.4323680555553</v>
      </c>
      <c r="G74" s="28"/>
      <c r="H74" s="28"/>
      <c r="I74" s="28"/>
      <c r="J74"/>
      <c r="K74"/>
      <c r="L74"/>
    </row>
    <row r="75" spans="1:12" ht="15.75" thickBot="1">
      <c r="A75" s="43">
        <v>39873</v>
      </c>
      <c r="B75" s="44">
        <v>112.4</v>
      </c>
      <c r="D75"/>
      <c r="E75"/>
      <c r="F75"/>
      <c r="G75"/>
      <c r="H75"/>
      <c r="I75"/>
      <c r="J75"/>
      <c r="K75"/>
      <c r="L75"/>
    </row>
    <row r="76" spans="1:12" ht="15">
      <c r="A76" s="43">
        <v>39904</v>
      </c>
      <c r="B76" s="44">
        <v>113</v>
      </c>
      <c r="D76" s="48"/>
      <c r="E76" s="48" t="s">
        <v>139</v>
      </c>
      <c r="F76" s="48" t="s">
        <v>128</v>
      </c>
      <c r="G76" s="48" t="s">
        <v>140</v>
      </c>
      <c r="H76" s="48" t="s">
        <v>141</v>
      </c>
      <c r="I76" s="48" t="s">
        <v>142</v>
      </c>
      <c r="J76" s="48" t="s">
        <v>143</v>
      </c>
      <c r="K76" s="48" t="s">
        <v>144</v>
      </c>
      <c r="L76" s="48" t="s">
        <v>145</v>
      </c>
    </row>
    <row r="77" spans="1:12" ht="15">
      <c r="A77" s="43">
        <v>39934</v>
      </c>
      <c r="B77" s="44">
        <v>114.8</v>
      </c>
      <c r="D77" s="27" t="s">
        <v>146</v>
      </c>
      <c r="E77" s="27">
        <v>-12053.34318181818</v>
      </c>
      <c r="F77" s="27">
        <v>761.22709464488719</v>
      </c>
      <c r="G77" s="27">
        <v>-15.834096377561377</v>
      </c>
      <c r="H77" s="27">
        <v>2.5313424235594106E-7</v>
      </c>
      <c r="I77" s="27">
        <v>-13808.736009898743</v>
      </c>
      <c r="J77" s="27">
        <v>-10297.950353737617</v>
      </c>
      <c r="K77" s="27">
        <v>-13808.736009898743</v>
      </c>
      <c r="L77" s="27">
        <v>-10297.950353737617</v>
      </c>
    </row>
    <row r="78" spans="1:12" ht="15.75" thickBot="1">
      <c r="A78" s="43">
        <v>39965</v>
      </c>
      <c r="B78" s="44">
        <v>112.6</v>
      </c>
      <c r="D78" s="28" t="s">
        <v>155</v>
      </c>
      <c r="E78" s="28">
        <v>6.0562121212121207</v>
      </c>
      <c r="F78" s="28">
        <v>0.37843714570272891</v>
      </c>
      <c r="G78" s="28">
        <v>16.003217945125858</v>
      </c>
      <c r="H78" s="28">
        <v>2.3305363624571615E-7</v>
      </c>
      <c r="I78" s="28">
        <v>5.1835344983067664</v>
      </c>
      <c r="J78" s="28">
        <v>6.928889744117475</v>
      </c>
      <c r="K78" s="28">
        <v>5.1835344983067664</v>
      </c>
      <c r="L78" s="28">
        <v>6.928889744117475</v>
      </c>
    </row>
    <row r="79" spans="1:12" ht="15">
      <c r="A79" s="43">
        <v>39995</v>
      </c>
      <c r="B79" s="44">
        <v>114.7</v>
      </c>
      <c r="D79"/>
      <c r="E79"/>
      <c r="F79"/>
      <c r="G79"/>
      <c r="H79"/>
      <c r="I79"/>
      <c r="J79"/>
      <c r="K79"/>
      <c r="L79"/>
    </row>
    <row r="80" spans="1:12" ht="15">
      <c r="A80" s="43">
        <v>40026</v>
      </c>
      <c r="B80" s="44">
        <v>116.5</v>
      </c>
      <c r="D80"/>
      <c r="E80"/>
      <c r="F80"/>
      <c r="G80"/>
      <c r="H80"/>
      <c r="I80"/>
      <c r="J80"/>
      <c r="K80"/>
      <c r="L80"/>
    </row>
    <row r="81" spans="1:12" ht="15">
      <c r="A81" s="43">
        <v>40057</v>
      </c>
      <c r="B81" s="44">
        <v>113.8</v>
      </c>
      <c r="D81"/>
      <c r="E81"/>
      <c r="F81"/>
      <c r="G81"/>
      <c r="H81"/>
      <c r="I81"/>
      <c r="J81"/>
      <c r="K81"/>
      <c r="L81"/>
    </row>
    <row r="82" spans="1:12" ht="15">
      <c r="A82" s="43">
        <v>40087</v>
      </c>
      <c r="B82" s="44">
        <v>112.3</v>
      </c>
      <c r="D82" t="s">
        <v>221</v>
      </c>
      <c r="E82"/>
      <c r="F82"/>
      <c r="G82"/>
      <c r="H82"/>
      <c r="I82"/>
      <c r="J82"/>
      <c r="K82"/>
      <c r="L82"/>
    </row>
    <row r="83" spans="1:12" ht="15.75" thickBot="1">
      <c r="A83" s="43">
        <v>40118</v>
      </c>
      <c r="B83" s="44">
        <v>109.8</v>
      </c>
      <c r="D83"/>
      <c r="E83"/>
      <c r="F83"/>
      <c r="G83"/>
      <c r="H83"/>
      <c r="I83"/>
      <c r="J83"/>
      <c r="K83"/>
      <c r="L83"/>
    </row>
    <row r="84" spans="1:12" ht="15">
      <c r="A84" s="43">
        <v>40148</v>
      </c>
      <c r="B84" s="44">
        <v>112</v>
      </c>
      <c r="D84" s="47" t="s">
        <v>124</v>
      </c>
      <c r="E84" s="47"/>
      <c r="F84"/>
      <c r="G84"/>
      <c r="H84"/>
      <c r="I84"/>
      <c r="J84"/>
      <c r="K84"/>
      <c r="L84"/>
    </row>
    <row r="85" spans="1:12" ht="15">
      <c r="A85" s="43">
        <v>40179</v>
      </c>
      <c r="B85" s="44">
        <v>112.8</v>
      </c>
      <c r="D85" s="27" t="s">
        <v>125</v>
      </c>
      <c r="E85" s="27">
        <v>0.96836133041773298</v>
      </c>
      <c r="F85"/>
      <c r="G85"/>
      <c r="H85"/>
      <c r="I85"/>
      <c r="J85"/>
      <c r="K85"/>
      <c r="L85"/>
    </row>
    <row r="86" spans="1:12" ht="15">
      <c r="A86" s="43">
        <v>40210</v>
      </c>
      <c r="B86" s="44">
        <v>116.9</v>
      </c>
      <c r="D86" s="27" t="s">
        <v>126</v>
      </c>
      <c r="E86" s="27">
        <v>0.93772366624840187</v>
      </c>
      <c r="F86"/>
      <c r="G86"/>
      <c r="H86"/>
      <c r="I86"/>
      <c r="J86"/>
      <c r="K86"/>
      <c r="L86"/>
    </row>
    <row r="87" spans="1:12" ht="15">
      <c r="A87" s="43">
        <v>40238</v>
      </c>
      <c r="B87" s="44">
        <v>114.5</v>
      </c>
      <c r="D87" s="27" t="s">
        <v>127</v>
      </c>
      <c r="E87" s="27">
        <v>0.93206218136189289</v>
      </c>
      <c r="F87"/>
      <c r="G87"/>
      <c r="H87"/>
      <c r="I87"/>
      <c r="J87"/>
      <c r="K87"/>
      <c r="L87"/>
    </row>
    <row r="88" spans="1:12" ht="15">
      <c r="A88" s="43">
        <v>40269</v>
      </c>
      <c r="B88" s="44">
        <v>116.6</v>
      </c>
      <c r="D88" s="27" t="s">
        <v>128</v>
      </c>
      <c r="E88" s="27">
        <v>5.1965477611988877</v>
      </c>
      <c r="F88"/>
      <c r="G88"/>
      <c r="H88"/>
      <c r="I88"/>
      <c r="J88"/>
      <c r="K88"/>
      <c r="L88"/>
    </row>
    <row r="89" spans="1:12" ht="15.75" thickBot="1">
      <c r="A89" s="43">
        <v>40299</v>
      </c>
      <c r="B89" s="44">
        <v>115.1</v>
      </c>
      <c r="D89" s="28" t="s">
        <v>129</v>
      </c>
      <c r="E89" s="28">
        <v>13</v>
      </c>
      <c r="F89"/>
      <c r="G89"/>
      <c r="H89"/>
      <c r="I89"/>
      <c r="J89"/>
      <c r="K89"/>
      <c r="L89"/>
    </row>
    <row r="90" spans="1:12" ht="15">
      <c r="A90" s="43">
        <v>40330</v>
      </c>
      <c r="B90" s="44">
        <v>116.6</v>
      </c>
      <c r="D90"/>
      <c r="E90"/>
      <c r="F90"/>
      <c r="G90"/>
      <c r="H90"/>
      <c r="I90"/>
      <c r="J90"/>
      <c r="K90"/>
      <c r="L90"/>
    </row>
    <row r="91" spans="1:12" ht="15.75" thickBot="1">
      <c r="A91" s="43">
        <v>40360</v>
      </c>
      <c r="B91" s="44">
        <v>118.6</v>
      </c>
      <c r="D91" t="s">
        <v>130</v>
      </c>
      <c r="E91"/>
      <c r="F91"/>
      <c r="G91"/>
      <c r="H91"/>
      <c r="I91"/>
      <c r="J91"/>
      <c r="K91"/>
      <c r="L91"/>
    </row>
    <row r="92" spans="1:12" ht="15">
      <c r="A92" s="43">
        <v>40391</v>
      </c>
      <c r="B92" s="44">
        <v>118</v>
      </c>
      <c r="D92" s="48"/>
      <c r="E92" s="48" t="s">
        <v>131</v>
      </c>
      <c r="F92" s="48" t="s">
        <v>132</v>
      </c>
      <c r="G92" s="48" t="s">
        <v>133</v>
      </c>
      <c r="H92" s="48" t="s">
        <v>134</v>
      </c>
      <c r="I92" s="48" t="s">
        <v>135</v>
      </c>
      <c r="J92"/>
      <c r="K92"/>
      <c r="L92"/>
    </row>
    <row r="93" spans="1:12" ht="15">
      <c r="A93" s="43">
        <v>40422</v>
      </c>
      <c r="B93" s="44">
        <v>116.1</v>
      </c>
      <c r="D93" s="27" t="s">
        <v>136</v>
      </c>
      <c r="E93" s="27">
        <v>1</v>
      </c>
      <c r="F93" s="27">
        <v>4472.7473904914514</v>
      </c>
      <c r="G93" s="27">
        <v>4472.7473904914514</v>
      </c>
      <c r="H93" s="27">
        <v>165.63210624883206</v>
      </c>
      <c r="I93" s="27">
        <v>5.6484701459598787E-8</v>
      </c>
      <c r="J93"/>
      <c r="K93"/>
      <c r="L93"/>
    </row>
    <row r="94" spans="1:12" ht="15">
      <c r="A94" s="43">
        <v>40452</v>
      </c>
      <c r="B94" s="44">
        <v>117.3</v>
      </c>
      <c r="D94" s="27" t="s">
        <v>137</v>
      </c>
      <c r="E94" s="27">
        <v>11</v>
      </c>
      <c r="F94" s="27">
        <v>297.04519497863294</v>
      </c>
      <c r="G94" s="27">
        <v>27.004108634421176</v>
      </c>
      <c r="H94" s="27"/>
      <c r="I94" s="27"/>
      <c r="J94"/>
      <c r="K94"/>
      <c r="L94"/>
    </row>
    <row r="95" spans="1:12" ht="15.75" thickBot="1">
      <c r="A95" s="43">
        <v>40483</v>
      </c>
      <c r="B95" s="44">
        <v>118.1</v>
      </c>
      <c r="D95" s="28" t="s">
        <v>138</v>
      </c>
      <c r="E95" s="28">
        <v>12</v>
      </c>
      <c r="F95" s="28">
        <v>4769.7925854700843</v>
      </c>
      <c r="G95" s="28"/>
      <c r="H95" s="28"/>
      <c r="I95" s="28"/>
      <c r="J95"/>
      <c r="K95"/>
      <c r="L95"/>
    </row>
    <row r="96" spans="1:12" ht="15.75" thickBot="1">
      <c r="A96" s="43">
        <v>40513</v>
      </c>
      <c r="B96" s="44">
        <v>122.3</v>
      </c>
      <c r="D96"/>
      <c r="E96"/>
      <c r="F96"/>
      <c r="G96"/>
      <c r="H96"/>
      <c r="I96"/>
      <c r="J96"/>
      <c r="K96"/>
      <c r="L96"/>
    </row>
    <row r="97" spans="1:12" ht="15">
      <c r="A97" s="43">
        <v>40544</v>
      </c>
      <c r="B97" s="44">
        <v>122.6</v>
      </c>
      <c r="D97" s="48"/>
      <c r="E97" s="48" t="s">
        <v>139</v>
      </c>
      <c r="F97" s="48" t="s">
        <v>128</v>
      </c>
      <c r="G97" s="48" t="s">
        <v>140</v>
      </c>
      <c r="H97" s="48" t="s">
        <v>141</v>
      </c>
      <c r="I97" s="48" t="s">
        <v>142</v>
      </c>
      <c r="J97" s="48" t="s">
        <v>143</v>
      </c>
      <c r="K97" s="48" t="s">
        <v>144</v>
      </c>
      <c r="L97" s="48" t="s">
        <v>145</v>
      </c>
    </row>
    <row r="98" spans="1:12" ht="15">
      <c r="A98" s="43">
        <v>40575</v>
      </c>
      <c r="B98" s="44">
        <v>125.1</v>
      </c>
      <c r="D98" s="27" t="s">
        <v>146</v>
      </c>
      <c r="E98" s="27">
        <v>-9841.7544871794853</v>
      </c>
      <c r="F98" s="27">
        <v>774.24077434367666</v>
      </c>
      <c r="G98" s="27">
        <v>-12.711490809202516</v>
      </c>
      <c r="H98" s="27">
        <v>6.4212997610385901E-8</v>
      </c>
      <c r="I98" s="27">
        <v>-11545.846941847776</v>
      </c>
      <c r="J98" s="27">
        <v>-8137.6620325111944</v>
      </c>
      <c r="K98" s="27">
        <v>-11545.846941847776</v>
      </c>
      <c r="L98" s="27">
        <v>-8137.6620325111944</v>
      </c>
    </row>
    <row r="99" spans="1:12" ht="15.75" thickBot="1">
      <c r="A99" s="43">
        <v>40603</v>
      </c>
      <c r="B99" s="44">
        <v>128.80000000000001</v>
      </c>
      <c r="D99" s="28" t="s">
        <v>155</v>
      </c>
      <c r="E99" s="28">
        <v>4.9573717948717944</v>
      </c>
      <c r="F99" s="28">
        <v>0.38519374769854509</v>
      </c>
      <c r="G99" s="28">
        <v>12.869813761233381</v>
      </c>
      <c r="H99" s="28">
        <v>5.6484701459598582E-8</v>
      </c>
      <c r="I99" s="28">
        <v>4.1095660724272136</v>
      </c>
      <c r="J99" s="28">
        <v>5.8051775173163751</v>
      </c>
      <c r="K99" s="28">
        <v>4.1095660724272136</v>
      </c>
      <c r="L99" s="28">
        <v>5.8051775173163751</v>
      </c>
    </row>
    <row r="100" spans="1:12" ht="15">
      <c r="A100" s="43">
        <v>40634</v>
      </c>
      <c r="B100" s="44">
        <v>125.9</v>
      </c>
      <c r="D100"/>
      <c r="E100"/>
      <c r="F100"/>
      <c r="G100"/>
      <c r="H100"/>
      <c r="I100"/>
      <c r="J100"/>
      <c r="K100"/>
      <c r="L100"/>
    </row>
    <row r="101" spans="1:12" ht="15">
      <c r="A101" s="43">
        <v>40664</v>
      </c>
      <c r="B101" s="44">
        <v>122.5</v>
      </c>
      <c r="D101"/>
      <c r="E101"/>
      <c r="F101"/>
      <c r="G101"/>
      <c r="H101"/>
      <c r="I101"/>
      <c r="J101"/>
      <c r="K101"/>
      <c r="L101"/>
    </row>
    <row r="102" spans="1:12" ht="15">
      <c r="A102" s="43">
        <v>40695</v>
      </c>
      <c r="B102" s="44">
        <v>122.7</v>
      </c>
      <c r="D102"/>
      <c r="E102"/>
      <c r="F102"/>
      <c r="G102"/>
      <c r="H102"/>
      <c r="I102"/>
      <c r="J102"/>
      <c r="K102"/>
      <c r="L102"/>
    </row>
    <row r="103" spans="1:12">
      <c r="A103" s="43">
        <v>40725</v>
      </c>
      <c r="B103" s="44">
        <v>120.7</v>
      </c>
    </row>
    <row r="104" spans="1:12">
      <c r="A104" s="43">
        <v>40756</v>
      </c>
      <c r="B104" s="44">
        <v>120.7</v>
      </c>
    </row>
    <row r="105" spans="1:12">
      <c r="A105" s="43">
        <v>40787</v>
      </c>
      <c r="B105" s="44">
        <v>123.4</v>
      </c>
    </row>
    <row r="106" spans="1:12">
      <c r="A106" s="43">
        <v>40817</v>
      </c>
      <c r="B106" s="44">
        <v>124.7</v>
      </c>
    </row>
    <row r="107" spans="1:12">
      <c r="A107" s="43">
        <v>40848</v>
      </c>
      <c r="B107" s="44">
        <v>125</v>
      </c>
    </row>
    <row r="108" spans="1:12">
      <c r="A108" s="43">
        <v>40878</v>
      </c>
      <c r="B108" s="44">
        <v>123.6</v>
      </c>
    </row>
    <row r="109" spans="1:12">
      <c r="A109" s="43">
        <v>40909</v>
      </c>
      <c r="B109" s="44">
        <v>123.6</v>
      </c>
    </row>
    <row r="110" spans="1:12">
      <c r="A110" s="43">
        <v>40940</v>
      </c>
      <c r="B110" s="44">
        <v>125.8</v>
      </c>
    </row>
    <row r="111" spans="1:12">
      <c r="A111" s="43">
        <v>40969</v>
      </c>
      <c r="B111" s="44">
        <v>125.7</v>
      </c>
    </row>
    <row r="112" spans="1:12">
      <c r="A112" s="43">
        <v>41000</v>
      </c>
      <c r="B112" s="44">
        <v>124.2</v>
      </c>
    </row>
    <row r="113" spans="1:2">
      <c r="A113" s="43">
        <v>41030</v>
      </c>
      <c r="B113" s="44">
        <v>123.1</v>
      </c>
    </row>
    <row r="114" spans="1:2">
      <c r="A114" s="43">
        <v>41061</v>
      </c>
      <c r="B114" s="44">
        <v>124.3</v>
      </c>
    </row>
    <row r="115" spans="1:2">
      <c r="A115" s="43">
        <v>41091</v>
      </c>
      <c r="B115" s="44">
        <v>125.1</v>
      </c>
    </row>
    <row r="116" spans="1:2">
      <c r="A116" s="43">
        <v>41122</v>
      </c>
      <c r="B116" s="44">
        <v>125.1</v>
      </c>
    </row>
    <row r="117" spans="1:2">
      <c r="A117" s="43">
        <v>41153</v>
      </c>
      <c r="B117" s="44">
        <v>127.3</v>
      </c>
    </row>
    <row r="118" spans="1:2">
      <c r="A118" s="43">
        <v>41183</v>
      </c>
      <c r="B118" s="44">
        <v>128.1</v>
      </c>
    </row>
    <row r="119" spans="1:2">
      <c r="A119" s="43">
        <v>41214</v>
      </c>
      <c r="B119" s="44">
        <v>127.8</v>
      </c>
    </row>
    <row r="120" spans="1:2">
      <c r="A120" s="43">
        <v>41244</v>
      </c>
      <c r="B120" s="44">
        <v>127.5</v>
      </c>
    </row>
    <row r="121" spans="1:2">
      <c r="A121" s="43">
        <v>41275</v>
      </c>
      <c r="B121" s="44">
        <v>131.5</v>
      </c>
    </row>
    <row r="122" spans="1:2">
      <c r="A122" s="43">
        <v>41306</v>
      </c>
      <c r="B122" s="44">
        <v>135.30000000000001</v>
      </c>
    </row>
    <row r="123" spans="1:2">
      <c r="A123" s="43">
        <v>41334</v>
      </c>
      <c r="B123" s="44">
        <v>134.80000000000001</v>
      </c>
    </row>
    <row r="124" spans="1:2">
      <c r="A124" s="43">
        <v>41365</v>
      </c>
      <c r="B124" s="44">
        <v>133.5</v>
      </c>
    </row>
    <row r="125" spans="1:2">
      <c r="A125" s="43">
        <v>41395</v>
      </c>
      <c r="B125" s="44">
        <v>132.1</v>
      </c>
    </row>
    <row r="126" spans="1:2">
      <c r="A126" s="43">
        <v>41426</v>
      </c>
      <c r="B126" s="44">
        <v>134.5</v>
      </c>
    </row>
    <row r="127" spans="1:2">
      <c r="A127" s="43">
        <v>41456</v>
      </c>
      <c r="B127" s="44">
        <v>136.19999999999999</v>
      </c>
    </row>
    <row r="128" spans="1:2">
      <c r="A128" s="43">
        <v>41487</v>
      </c>
      <c r="B128" s="44">
        <v>136.6</v>
      </c>
    </row>
    <row r="129" spans="1:2">
      <c r="A129" s="43">
        <v>41518</v>
      </c>
      <c r="B129" s="44">
        <v>136.6</v>
      </c>
    </row>
    <row r="130" spans="1:2">
      <c r="A130" s="43">
        <v>41548</v>
      </c>
      <c r="B130" s="44">
        <v>141.1</v>
      </c>
    </row>
    <row r="131" spans="1:2">
      <c r="A131" s="43">
        <v>41579</v>
      </c>
      <c r="B131" s="44">
        <v>139.19999999999999</v>
      </c>
    </row>
    <row r="132" spans="1:2">
      <c r="A132" s="43">
        <v>41609</v>
      </c>
      <c r="B132" s="44">
        <v>137.19999999999999</v>
      </c>
    </row>
    <row r="133" spans="1:2">
      <c r="A133" s="43">
        <v>41640</v>
      </c>
      <c r="B133" s="44">
        <v>142.19999999999999</v>
      </c>
    </row>
    <row r="134" spans="1:2">
      <c r="A134" s="43">
        <v>41671</v>
      </c>
      <c r="B134" s="44">
        <v>143.9</v>
      </c>
    </row>
    <row r="135" spans="1:2">
      <c r="A135" s="43">
        <v>41699</v>
      </c>
      <c r="B135" s="44">
        <v>142.6</v>
      </c>
    </row>
    <row r="136" spans="1:2">
      <c r="A136" s="43">
        <v>41730</v>
      </c>
      <c r="B136" s="44">
        <v>147</v>
      </c>
    </row>
    <row r="137" spans="1:2">
      <c r="A137" s="43">
        <v>41760</v>
      </c>
      <c r="B137" s="44">
        <v>145.4</v>
      </c>
    </row>
    <row r="138" spans="1:2">
      <c r="A138" s="43">
        <v>41791</v>
      </c>
      <c r="B138" s="44">
        <v>150.1</v>
      </c>
    </row>
    <row r="139" spans="1:2">
      <c r="A139" s="43">
        <v>41821</v>
      </c>
      <c r="B139" s="44">
        <v>149.5</v>
      </c>
    </row>
    <row r="140" spans="1:2">
      <c r="A140" s="43">
        <v>41852</v>
      </c>
      <c r="B140" s="44">
        <v>149.69999999999999</v>
      </c>
    </row>
    <row r="141" spans="1:2">
      <c r="A141" s="43">
        <v>41883</v>
      </c>
      <c r="B141" s="44">
        <v>147.6</v>
      </c>
    </row>
    <row r="142" spans="1:2">
      <c r="A142" s="43">
        <v>41913</v>
      </c>
      <c r="B142" s="44">
        <v>148.30000000000001</v>
      </c>
    </row>
    <row r="143" spans="1:2">
      <c r="A143" s="43">
        <v>41944</v>
      </c>
      <c r="B143" s="44">
        <v>147</v>
      </c>
    </row>
    <row r="144" spans="1:2">
      <c r="A144" s="43">
        <v>41974</v>
      </c>
      <c r="B144" s="44">
        <v>145.5</v>
      </c>
    </row>
    <row r="145" spans="1:2">
      <c r="A145" s="43">
        <v>42005</v>
      </c>
      <c r="B145" s="44">
        <v>150.69999999999999</v>
      </c>
    </row>
    <row r="146" spans="1:2">
      <c r="A146" s="43">
        <v>42036</v>
      </c>
      <c r="B146" s="44">
        <v>152.5</v>
      </c>
    </row>
    <row r="147" spans="1:2">
      <c r="A147" s="43">
        <v>42064</v>
      </c>
      <c r="B147" s="44">
        <v>151.80000000000001</v>
      </c>
    </row>
    <row r="148" spans="1:2">
      <c r="A148" s="43">
        <v>42095</v>
      </c>
      <c r="B148" s="44">
        <v>151.80000000000001</v>
      </c>
    </row>
    <row r="149" spans="1:2">
      <c r="A149" s="43">
        <v>42125</v>
      </c>
      <c r="B149" s="44">
        <v>151.1</v>
      </c>
    </row>
    <row r="150" spans="1:2">
      <c r="A150" s="43">
        <v>42156</v>
      </c>
      <c r="B150" s="44">
        <v>151.19999999999999</v>
      </c>
    </row>
    <row r="151" spans="1:2">
      <c r="A151" s="43">
        <v>42186</v>
      </c>
      <c r="B151" s="44">
        <v>152.69999999999999</v>
      </c>
    </row>
    <row r="152" spans="1:2">
      <c r="A152" s="43">
        <v>42217</v>
      </c>
      <c r="B152" s="44">
        <v>153.4</v>
      </c>
    </row>
    <row r="153" spans="1:2">
      <c r="A153" s="43">
        <v>42248</v>
      </c>
      <c r="B153" s="44">
        <v>154.6</v>
      </c>
    </row>
    <row r="154" spans="1:2">
      <c r="A154" s="43">
        <v>42278</v>
      </c>
      <c r="B154" s="44">
        <v>157.4</v>
      </c>
    </row>
    <row r="155" spans="1:2">
      <c r="A155" s="43">
        <v>42309</v>
      </c>
      <c r="B155" s="44">
        <v>155.4</v>
      </c>
    </row>
    <row r="156" spans="1:2">
      <c r="A156" s="43">
        <v>42339</v>
      </c>
      <c r="B156" s="44">
        <v>155.1</v>
      </c>
    </row>
    <row r="157" spans="1:2">
      <c r="A157" s="43">
        <v>42370</v>
      </c>
      <c r="B157" s="44">
        <v>159.19999999999999</v>
      </c>
    </row>
    <row r="158" spans="1:2">
      <c r="A158" s="43">
        <v>42401</v>
      </c>
      <c r="B158" s="44">
        <v>159.4</v>
      </c>
    </row>
    <row r="159" spans="1:2">
      <c r="A159" s="43">
        <v>42430</v>
      </c>
      <c r="B159" s="44">
        <v>157.1</v>
      </c>
    </row>
    <row r="160" spans="1:2">
      <c r="A160" s="43">
        <v>42461</v>
      </c>
      <c r="B160" s="44">
        <v>157.19999999999999</v>
      </c>
    </row>
    <row r="161" spans="1:2">
      <c r="A161" s="43">
        <v>42491</v>
      </c>
      <c r="B161" s="44">
        <v>153.80000000000001</v>
      </c>
    </row>
    <row r="162" spans="1:2">
      <c r="A162" s="43">
        <v>42522</v>
      </c>
      <c r="B162" s="44">
        <v>154.5</v>
      </c>
    </row>
    <row r="163" spans="1:2">
      <c r="A163" s="43">
        <v>42552</v>
      </c>
      <c r="B163" s="44">
        <v>157.5</v>
      </c>
    </row>
    <row r="164" spans="1:2">
      <c r="A164" s="43">
        <v>42583</v>
      </c>
      <c r="B164" s="44">
        <v>157.80000000000001</v>
      </c>
    </row>
    <row r="165" spans="1:2">
      <c r="A165" s="43">
        <v>42614</v>
      </c>
      <c r="B165" s="44">
        <v>157.80000000000001</v>
      </c>
    </row>
    <row r="166" spans="1:2">
      <c r="A166" s="43">
        <v>42644</v>
      </c>
      <c r="B166" s="44">
        <v>158.69999999999999</v>
      </c>
    </row>
    <row r="167" spans="1:2">
      <c r="A167" s="43">
        <v>42675</v>
      </c>
      <c r="B167" s="44">
        <v>158.4</v>
      </c>
    </row>
    <row r="168" spans="1:2">
      <c r="A168" s="43">
        <v>42705</v>
      </c>
      <c r="B168" s="44">
        <v>157.80000000000001</v>
      </c>
    </row>
    <row r="169" spans="1:2">
      <c r="A169" s="43">
        <v>42736</v>
      </c>
      <c r="B169" s="44">
        <v>159.19999999999999</v>
      </c>
    </row>
    <row r="170" spans="1:2">
      <c r="A170" s="43">
        <v>42767</v>
      </c>
      <c r="B170" s="44">
        <v>158.5</v>
      </c>
    </row>
    <row r="171" spans="1:2">
      <c r="A171" s="43">
        <v>42795</v>
      </c>
      <c r="B171" s="44">
        <v>158.6</v>
      </c>
    </row>
    <row r="172" spans="1:2">
      <c r="A172" s="43">
        <v>42826</v>
      </c>
      <c r="B172" s="44">
        <v>160.6</v>
      </c>
    </row>
    <row r="173" spans="1:2">
      <c r="A173" s="43">
        <v>42856</v>
      </c>
      <c r="B173" s="44">
        <v>160.4</v>
      </c>
    </row>
    <row r="174" spans="1:2">
      <c r="A174" s="43">
        <v>42887</v>
      </c>
      <c r="B174" s="44">
        <v>163.9</v>
      </c>
    </row>
    <row r="175" spans="1:2">
      <c r="A175" s="43">
        <v>42917</v>
      </c>
      <c r="B175" s="44">
        <v>164.7</v>
      </c>
    </row>
    <row r="176" spans="1:2">
      <c r="A176" s="43">
        <v>42948</v>
      </c>
      <c r="B176" s="44">
        <v>163.80000000000001</v>
      </c>
    </row>
  </sheetData>
  <mergeCells count="1">
    <mergeCell ref="D43:E43"/>
  </mergeCells>
  <pageMargins left="0.75" right="0.75" top="1" bottom="1" header="0.5" footer="0.5"/>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topLeftCell="A46" workbookViewId="0">
      <selection activeCell="F68" sqref="F68"/>
    </sheetView>
  </sheetViews>
  <sheetFormatPr defaultRowHeight="12.75"/>
  <cols>
    <col min="1" max="256" width="20.7109375" style="42" customWidth="1"/>
    <col min="257" max="16384" width="9.140625" style="42"/>
  </cols>
  <sheetData>
    <row r="1" spans="1:2">
      <c r="A1" s="42" t="s">
        <v>196</v>
      </c>
    </row>
    <row r="2" spans="1:2">
      <c r="A2" s="42" t="s">
        <v>197</v>
      </c>
    </row>
    <row r="3" spans="1:2">
      <c r="A3" s="42" t="s">
        <v>198</v>
      </c>
    </row>
    <row r="4" spans="1:2">
      <c r="A4" s="42" t="s">
        <v>199</v>
      </c>
    </row>
    <row r="5" spans="1:2">
      <c r="A5" s="42" t="s">
        <v>200</v>
      </c>
    </row>
    <row r="6" spans="1:2">
      <c r="A6" s="42" t="s">
        <v>201</v>
      </c>
    </row>
    <row r="8" spans="1:2">
      <c r="A8" s="42" t="s">
        <v>231</v>
      </c>
      <c r="B8" s="42" t="s">
        <v>232</v>
      </c>
    </row>
    <row r="10" spans="1:2">
      <c r="A10" s="42" t="s">
        <v>224</v>
      </c>
    </row>
    <row r="11" spans="1:2">
      <c r="A11" s="42" t="s">
        <v>205</v>
      </c>
      <c r="B11" s="42" t="s">
        <v>231</v>
      </c>
    </row>
    <row r="12" spans="1:2">
      <c r="A12" s="43">
        <v>37956</v>
      </c>
      <c r="B12" s="44">
        <v>100</v>
      </c>
    </row>
    <row r="13" spans="1:2">
      <c r="A13" s="43">
        <v>37987</v>
      </c>
      <c r="B13" s="44">
        <v>100.1</v>
      </c>
    </row>
    <row r="14" spans="1:2">
      <c r="A14" s="43">
        <v>38018</v>
      </c>
      <c r="B14" s="44">
        <v>100.1</v>
      </c>
    </row>
    <row r="15" spans="1:2">
      <c r="A15" s="43">
        <v>38047</v>
      </c>
      <c r="B15" s="44">
        <v>100.2</v>
      </c>
    </row>
    <row r="16" spans="1:2">
      <c r="A16" s="43">
        <v>38078</v>
      </c>
      <c r="B16" s="44">
        <v>100.3</v>
      </c>
    </row>
    <row r="17" spans="1:2">
      <c r="A17" s="43">
        <v>38108</v>
      </c>
      <c r="B17" s="44">
        <v>101.1</v>
      </c>
    </row>
    <row r="18" spans="1:2">
      <c r="A18" s="43">
        <v>38139</v>
      </c>
      <c r="B18" s="44">
        <v>104.5</v>
      </c>
    </row>
    <row r="19" spans="1:2">
      <c r="A19" s="43">
        <v>38169</v>
      </c>
      <c r="B19" s="44">
        <v>104.9</v>
      </c>
    </row>
    <row r="20" spans="1:2">
      <c r="A20" s="43">
        <v>38200</v>
      </c>
      <c r="B20" s="44">
        <v>105.8</v>
      </c>
    </row>
    <row r="21" spans="1:2">
      <c r="A21" s="43">
        <v>38231</v>
      </c>
      <c r="B21" s="44">
        <v>105.9</v>
      </c>
    </row>
    <row r="22" spans="1:2">
      <c r="A22" s="43">
        <v>38261</v>
      </c>
      <c r="B22" s="44">
        <v>103</v>
      </c>
    </row>
    <row r="23" spans="1:2">
      <c r="A23" s="43">
        <v>38292</v>
      </c>
      <c r="B23" s="44">
        <v>101.9</v>
      </c>
    </row>
    <row r="24" spans="1:2">
      <c r="A24" s="43">
        <v>38322</v>
      </c>
      <c r="B24" s="44">
        <v>102.3</v>
      </c>
    </row>
    <row r="25" spans="1:2">
      <c r="A25" s="43">
        <v>38353</v>
      </c>
      <c r="B25" s="44">
        <v>103.3</v>
      </c>
    </row>
    <row r="26" spans="1:2">
      <c r="A26" s="43">
        <v>38384</v>
      </c>
      <c r="B26" s="44">
        <v>103.1</v>
      </c>
    </row>
    <row r="27" spans="1:2">
      <c r="A27" s="43">
        <v>38412</v>
      </c>
      <c r="B27" s="44">
        <v>103.3</v>
      </c>
    </row>
    <row r="28" spans="1:2">
      <c r="A28" s="43">
        <v>38443</v>
      </c>
      <c r="B28" s="44">
        <v>103.5</v>
      </c>
    </row>
    <row r="29" spans="1:2">
      <c r="A29" s="43">
        <v>38473</v>
      </c>
      <c r="B29" s="44">
        <v>104.6</v>
      </c>
    </row>
    <row r="30" spans="1:2">
      <c r="A30" s="43">
        <v>38504</v>
      </c>
      <c r="B30" s="44">
        <v>108.7</v>
      </c>
    </row>
    <row r="31" spans="1:2">
      <c r="A31" s="43">
        <v>38534</v>
      </c>
      <c r="B31" s="44">
        <v>109.9</v>
      </c>
    </row>
    <row r="32" spans="1:2">
      <c r="A32" s="43">
        <v>38565</v>
      </c>
      <c r="B32" s="44">
        <v>110.3</v>
      </c>
    </row>
    <row r="33" spans="1:8">
      <c r="A33" s="43">
        <v>38596</v>
      </c>
      <c r="B33" s="44">
        <v>110.5</v>
      </c>
    </row>
    <row r="34" spans="1:8">
      <c r="A34" s="43">
        <v>38626</v>
      </c>
      <c r="B34" s="44">
        <v>109.3</v>
      </c>
    </row>
    <row r="35" spans="1:8">
      <c r="A35" s="43">
        <v>38657</v>
      </c>
      <c r="B35" s="44">
        <v>109.1</v>
      </c>
    </row>
    <row r="36" spans="1:8">
      <c r="A36" s="43">
        <v>38687</v>
      </c>
      <c r="B36" s="44">
        <v>109.4</v>
      </c>
    </row>
    <row r="37" spans="1:8">
      <c r="A37" s="43">
        <v>38718</v>
      </c>
      <c r="B37" s="44">
        <v>112.7</v>
      </c>
    </row>
    <row r="38" spans="1:8">
      <c r="A38" s="43">
        <v>38749</v>
      </c>
      <c r="B38" s="44">
        <v>113.2</v>
      </c>
    </row>
    <row r="39" spans="1:8">
      <c r="A39" s="43">
        <v>38777</v>
      </c>
      <c r="B39" s="44">
        <v>112.7</v>
      </c>
    </row>
    <row r="40" spans="1:8">
      <c r="A40" s="43">
        <v>38808</v>
      </c>
      <c r="B40" s="44">
        <v>113.4</v>
      </c>
    </row>
    <row r="41" spans="1:8">
      <c r="A41" s="43">
        <v>38838</v>
      </c>
      <c r="B41" s="44">
        <v>114.1</v>
      </c>
    </row>
    <row r="42" spans="1:8">
      <c r="A42" s="43">
        <v>38869</v>
      </c>
      <c r="B42" s="44">
        <v>118.1</v>
      </c>
    </row>
    <row r="43" spans="1:8">
      <c r="A43" s="43">
        <v>38899</v>
      </c>
      <c r="B43" s="44">
        <v>118.7</v>
      </c>
      <c r="D43" s="386" t="s">
        <v>225</v>
      </c>
      <c r="E43" s="386"/>
    </row>
    <row r="44" spans="1:8">
      <c r="A44" s="43">
        <v>38930</v>
      </c>
      <c r="B44" s="44">
        <v>118.4</v>
      </c>
      <c r="D44" s="49" t="s">
        <v>115</v>
      </c>
      <c r="E44" s="49" t="s">
        <v>226</v>
      </c>
    </row>
    <row r="45" spans="1:8">
      <c r="A45" s="43">
        <v>38961</v>
      </c>
      <c r="B45" s="44">
        <v>118.9</v>
      </c>
      <c r="D45" s="42">
        <v>2004</v>
      </c>
      <c r="E45" s="45">
        <f>AVERAGE(B13:B24)</f>
        <v>102.50833333333333</v>
      </c>
      <c r="G45" s="42" t="s">
        <v>186</v>
      </c>
      <c r="H45" s="46">
        <f>RATE(12,,-E45,E$57)</f>
        <v>2.8040180867226792E-2</v>
      </c>
    </row>
    <row r="46" spans="1:8">
      <c r="A46" s="43">
        <v>38991</v>
      </c>
      <c r="B46" s="44">
        <v>115</v>
      </c>
      <c r="D46" s="42">
        <v>2005</v>
      </c>
      <c r="E46" s="45">
        <f>AVERAGE(B25:B36)</f>
        <v>107.08333333333333</v>
      </c>
      <c r="G46" s="42" t="s">
        <v>208</v>
      </c>
      <c r="H46" s="46">
        <f>RATE(11,,-E46,E$57)</f>
        <v>2.6545096902603621E-2</v>
      </c>
    </row>
    <row r="47" spans="1:8">
      <c r="A47" s="43">
        <v>39022</v>
      </c>
      <c r="B47" s="44">
        <v>112.6</v>
      </c>
      <c r="D47" s="42">
        <v>2006</v>
      </c>
      <c r="E47" s="45">
        <f>AVERAGE(B37:B48)</f>
        <v>115.05833333333334</v>
      </c>
      <c r="G47" s="42" t="s">
        <v>209</v>
      </c>
      <c r="H47" s="46">
        <f>RATE(10,,-E47,E$57)</f>
        <v>2.1871334697240834E-2</v>
      </c>
    </row>
    <row r="48" spans="1:8">
      <c r="A48" s="43">
        <v>39052</v>
      </c>
      <c r="B48" s="44">
        <v>112.9</v>
      </c>
      <c r="D48" s="42">
        <v>2007</v>
      </c>
      <c r="E48" s="45">
        <f>AVERAGE(B49:B60)</f>
        <v>118.85000000000001</v>
      </c>
      <c r="G48" s="42" t="s">
        <v>187</v>
      </c>
      <c r="H48" s="46">
        <f>RATE(9,,-E48,E$57)</f>
        <v>2.0647258054317826E-2</v>
      </c>
    </row>
    <row r="49" spans="1:8">
      <c r="A49" s="43">
        <v>39083</v>
      </c>
      <c r="B49" s="44">
        <v>114.6</v>
      </c>
      <c r="D49" s="42">
        <v>2008</v>
      </c>
      <c r="E49" s="45">
        <f>AVERAGE(B61:B72)</f>
        <v>124.8</v>
      </c>
      <c r="G49" s="42" t="s">
        <v>210</v>
      </c>
      <c r="H49" s="46">
        <f>RATE(8,,-E49,E$57)</f>
        <v>1.7028697120663117E-2</v>
      </c>
    </row>
    <row r="50" spans="1:8">
      <c r="A50" s="43">
        <v>39114</v>
      </c>
      <c r="B50" s="44">
        <v>115.7</v>
      </c>
      <c r="D50" s="42">
        <v>2009</v>
      </c>
      <c r="E50" s="45">
        <f>AVERAGE(B73:B84)</f>
        <v>127.70833333333336</v>
      </c>
      <c r="G50" s="42" t="s">
        <v>211</v>
      </c>
      <c r="H50" s="46">
        <f>RATE(7,,-E50,E$57)</f>
        <v>1.6135378907955009E-2</v>
      </c>
    </row>
    <row r="51" spans="1:8">
      <c r="A51" s="43">
        <v>39142</v>
      </c>
      <c r="B51" s="44">
        <v>114.9</v>
      </c>
      <c r="D51" s="42">
        <v>2010</v>
      </c>
      <c r="E51" s="45">
        <f>AVERAGE(B85:B96)</f>
        <v>130.58333333333334</v>
      </c>
      <c r="G51" s="42" t="s">
        <v>212</v>
      </c>
      <c r="H51" s="46">
        <f>RATE(6,,-E51,E$57)</f>
        <v>1.5076442722330876E-2</v>
      </c>
    </row>
    <row r="52" spans="1:8">
      <c r="A52" s="43">
        <v>39173</v>
      </c>
      <c r="B52" s="44">
        <v>115.5</v>
      </c>
      <c r="D52" s="42">
        <v>2011</v>
      </c>
      <c r="E52" s="45">
        <f>AVERAGE(B97:B108)</f>
        <v>133.9</v>
      </c>
      <c r="G52" s="42" t="s">
        <v>213</v>
      </c>
      <c r="H52" s="46">
        <f>RATE(5,,-E52,E$57)</f>
        <v>1.3024464173869696E-2</v>
      </c>
    </row>
    <row r="53" spans="1:8">
      <c r="A53" s="43">
        <v>39203</v>
      </c>
      <c r="B53" s="44">
        <v>117.8</v>
      </c>
      <c r="D53" s="42">
        <v>2012</v>
      </c>
      <c r="E53" s="45">
        <f>AVERAGE(B109:B120)</f>
        <v>135.29166666666666</v>
      </c>
      <c r="G53" s="42" t="s">
        <v>214</v>
      </c>
      <c r="H53" s="46">
        <f>RATE(4,,-E53,E$57)</f>
        <v>1.3683318005765381E-2</v>
      </c>
    </row>
    <row r="54" spans="1:8">
      <c r="A54" s="43">
        <v>39234</v>
      </c>
      <c r="B54" s="44">
        <v>122.3</v>
      </c>
      <c r="D54" s="42">
        <v>2013</v>
      </c>
      <c r="E54" s="45">
        <f>AVERAGE(B121:B132)</f>
        <v>137.06666666666663</v>
      </c>
      <c r="G54" s="42" t="s">
        <v>215</v>
      </c>
      <c r="H54" s="46">
        <f>RATE(3,,-E54,E$57)</f>
        <v>1.3871226019164537E-2</v>
      </c>
    </row>
    <row r="55" spans="1:8">
      <c r="A55" s="43">
        <v>39264</v>
      </c>
      <c r="B55" s="44">
        <v>122.9</v>
      </c>
      <c r="D55" s="42">
        <v>2014</v>
      </c>
      <c r="E55" s="45">
        <f>AVERAGE(B133:B144)</f>
        <v>142.16666666666666</v>
      </c>
      <c r="G55" s="42" t="s">
        <v>216</v>
      </c>
      <c r="H55" s="46">
        <f>RATE(2,,-E55,E$57)</f>
        <v>2.4004015683943298E-3</v>
      </c>
    </row>
    <row r="56" spans="1:8">
      <c r="A56" s="43">
        <v>39295</v>
      </c>
      <c r="B56" s="44">
        <v>122.9</v>
      </c>
      <c r="D56" s="42">
        <v>2015</v>
      </c>
      <c r="E56" s="45">
        <f>AVERAGE(B145:B156)</f>
        <v>144.49166666666667</v>
      </c>
      <c r="G56" s="42" t="s">
        <v>217</v>
      </c>
      <c r="H56" s="46">
        <f>RATE(1,,-E56,E$57)</f>
        <v>-1.1361670223196361E-2</v>
      </c>
    </row>
    <row r="57" spans="1:8">
      <c r="A57" s="43">
        <v>39326</v>
      </c>
      <c r="B57" s="44">
        <v>123.2</v>
      </c>
      <c r="D57" s="42">
        <v>2016</v>
      </c>
      <c r="E57" s="45">
        <f>AVERAGE(B157:B168)</f>
        <v>142.85</v>
      </c>
    </row>
    <row r="58" spans="1:8">
      <c r="A58" s="43">
        <v>39356</v>
      </c>
      <c r="B58" s="44">
        <v>119.8</v>
      </c>
      <c r="D58" s="42" t="s">
        <v>227</v>
      </c>
      <c r="E58" s="46">
        <f>E104/E57</f>
        <v>1.8963523933772437E-2</v>
      </c>
    </row>
    <row r="59" spans="1:8">
      <c r="A59" s="43">
        <v>39387</v>
      </c>
      <c r="B59" s="44">
        <v>118.2</v>
      </c>
      <c r="D59" s="42" t="s">
        <v>186</v>
      </c>
      <c r="E59" s="46">
        <f>E126/E57</f>
        <v>2.3822344963402013E-2</v>
      </c>
    </row>
    <row r="60" spans="1:8">
      <c r="A60" s="43">
        <v>39417</v>
      </c>
      <c r="B60" s="44">
        <v>118.4</v>
      </c>
    </row>
    <row r="61" spans="1:8">
      <c r="A61" s="43">
        <v>39448</v>
      </c>
      <c r="B61" s="44">
        <v>119.6</v>
      </c>
    </row>
    <row r="62" spans="1:8">
      <c r="A62" s="43">
        <v>39479</v>
      </c>
      <c r="B62" s="44">
        <v>119</v>
      </c>
    </row>
    <row r="63" spans="1:8">
      <c r="A63" s="43">
        <v>39508</v>
      </c>
      <c r="B63" s="44">
        <v>120.1</v>
      </c>
    </row>
    <row r="64" spans="1:8">
      <c r="A64" s="43">
        <v>39539</v>
      </c>
      <c r="B64" s="44">
        <v>121.3</v>
      </c>
    </row>
    <row r="65" spans="1:2">
      <c r="A65" s="43">
        <v>39569</v>
      </c>
      <c r="B65" s="44">
        <v>123.4</v>
      </c>
    </row>
    <row r="66" spans="1:2">
      <c r="A66" s="43">
        <v>39600</v>
      </c>
      <c r="B66" s="44">
        <v>127</v>
      </c>
    </row>
    <row r="67" spans="1:2">
      <c r="A67" s="43">
        <v>39630</v>
      </c>
      <c r="B67" s="44">
        <v>129.69999999999999</v>
      </c>
    </row>
    <row r="68" spans="1:2">
      <c r="A68" s="43">
        <v>39661</v>
      </c>
      <c r="B68" s="44">
        <v>130</v>
      </c>
    </row>
    <row r="69" spans="1:2">
      <c r="A69" s="43">
        <v>39692</v>
      </c>
      <c r="B69" s="44">
        <v>129.6</v>
      </c>
    </row>
    <row r="70" spans="1:2">
      <c r="A70" s="43">
        <v>39722</v>
      </c>
      <c r="B70" s="44">
        <v>127.4</v>
      </c>
    </row>
    <row r="71" spans="1:2">
      <c r="A71" s="43">
        <v>39753</v>
      </c>
      <c r="B71" s="44">
        <v>125.1</v>
      </c>
    </row>
    <row r="72" spans="1:2">
      <c r="A72" s="43">
        <v>39783</v>
      </c>
      <c r="B72" s="44">
        <v>125.4</v>
      </c>
    </row>
    <row r="73" spans="1:2">
      <c r="A73" s="43">
        <v>39814</v>
      </c>
      <c r="B73" s="44">
        <v>126.7</v>
      </c>
    </row>
    <row r="74" spans="1:2">
      <c r="A74" s="43">
        <v>39845</v>
      </c>
      <c r="B74" s="44">
        <v>127</v>
      </c>
    </row>
    <row r="75" spans="1:2">
      <c r="A75" s="43">
        <v>39873</v>
      </c>
      <c r="B75" s="44">
        <v>126</v>
      </c>
    </row>
    <row r="76" spans="1:2">
      <c r="A76" s="43">
        <v>39904</v>
      </c>
      <c r="B76" s="44">
        <v>125.8</v>
      </c>
    </row>
    <row r="77" spans="1:2">
      <c r="A77" s="43">
        <v>39934</v>
      </c>
      <c r="B77" s="44">
        <v>127.5</v>
      </c>
    </row>
    <row r="78" spans="1:2">
      <c r="A78" s="43">
        <v>39965</v>
      </c>
      <c r="B78" s="44">
        <v>129.5</v>
      </c>
    </row>
    <row r="79" spans="1:2">
      <c r="A79" s="43">
        <v>39995</v>
      </c>
      <c r="B79" s="44">
        <v>131</v>
      </c>
    </row>
    <row r="80" spans="1:2">
      <c r="A80" s="43">
        <v>40026</v>
      </c>
      <c r="B80" s="44">
        <v>130.4</v>
      </c>
    </row>
    <row r="81" spans="1:12">
      <c r="A81" s="43">
        <v>40057</v>
      </c>
      <c r="B81" s="44">
        <v>130.5</v>
      </c>
    </row>
    <row r="82" spans="1:12">
      <c r="A82" s="43">
        <v>40087</v>
      </c>
      <c r="B82" s="44">
        <v>127.2</v>
      </c>
    </row>
    <row r="83" spans="1:12">
      <c r="A83" s="43">
        <v>40118</v>
      </c>
      <c r="B83" s="44">
        <v>125.4</v>
      </c>
    </row>
    <row r="84" spans="1:12">
      <c r="A84" s="43">
        <v>40148</v>
      </c>
      <c r="B84" s="44">
        <v>125.5</v>
      </c>
    </row>
    <row r="85" spans="1:12">
      <c r="A85" s="43">
        <v>40179</v>
      </c>
      <c r="B85" s="44">
        <v>125.9</v>
      </c>
    </row>
    <row r="86" spans="1:12">
      <c r="A86" s="43">
        <v>40210</v>
      </c>
      <c r="B86" s="44">
        <v>126.4</v>
      </c>
    </row>
    <row r="87" spans="1:12" ht="15">
      <c r="A87" s="43">
        <v>40238</v>
      </c>
      <c r="B87" s="44">
        <v>127.7</v>
      </c>
      <c r="D87" t="s">
        <v>220</v>
      </c>
      <c r="E87"/>
      <c r="F87"/>
      <c r="G87"/>
      <c r="H87"/>
      <c r="I87"/>
      <c r="J87"/>
      <c r="K87"/>
      <c r="L87"/>
    </row>
    <row r="88" spans="1:12" ht="15.75" thickBot="1">
      <c r="A88" s="43">
        <v>40269</v>
      </c>
      <c r="B88" s="44">
        <v>128.30000000000001</v>
      </c>
      <c r="D88"/>
      <c r="E88"/>
      <c r="F88"/>
      <c r="G88"/>
      <c r="H88"/>
      <c r="I88"/>
      <c r="J88"/>
      <c r="K88"/>
      <c r="L88"/>
    </row>
    <row r="89" spans="1:12" ht="15">
      <c r="A89" s="43">
        <v>40299</v>
      </c>
      <c r="B89" s="44">
        <v>129.6</v>
      </c>
      <c r="D89" s="47" t="s">
        <v>124</v>
      </c>
      <c r="E89" s="47"/>
      <c r="F89"/>
      <c r="G89"/>
      <c r="H89"/>
      <c r="I89"/>
      <c r="J89"/>
      <c r="K89"/>
      <c r="L89"/>
    </row>
    <row r="90" spans="1:12" ht="15">
      <c r="A90" s="43">
        <v>40330</v>
      </c>
      <c r="B90" s="44">
        <v>134.4</v>
      </c>
      <c r="D90" s="27" t="s">
        <v>125</v>
      </c>
      <c r="E90" s="27">
        <v>0.97946111024828064</v>
      </c>
      <c r="F90"/>
      <c r="G90"/>
      <c r="H90"/>
      <c r="I90"/>
      <c r="J90"/>
      <c r="K90"/>
      <c r="L90"/>
    </row>
    <row r="91" spans="1:12" ht="15">
      <c r="A91" s="43">
        <v>40360</v>
      </c>
      <c r="B91" s="44">
        <v>135.5</v>
      </c>
      <c r="D91" s="27" t="s">
        <v>126</v>
      </c>
      <c r="E91" s="27">
        <v>0.95934406648879456</v>
      </c>
      <c r="F91"/>
      <c r="G91"/>
      <c r="H91"/>
      <c r="I91"/>
      <c r="J91"/>
      <c r="K91"/>
      <c r="L91"/>
    </row>
    <row r="92" spans="1:12" ht="15">
      <c r="A92" s="43">
        <v>40391</v>
      </c>
      <c r="B92" s="44">
        <v>135.6</v>
      </c>
      <c r="D92" s="27" t="s">
        <v>127</v>
      </c>
      <c r="E92" s="27">
        <v>0.95426207479989378</v>
      </c>
      <c r="F92"/>
      <c r="G92"/>
      <c r="H92"/>
      <c r="I92"/>
      <c r="J92"/>
      <c r="K92"/>
      <c r="L92"/>
    </row>
    <row r="93" spans="1:12" ht="15">
      <c r="A93" s="43">
        <v>40422</v>
      </c>
      <c r="B93" s="44">
        <v>135.5</v>
      </c>
      <c r="D93" s="27" t="s">
        <v>128</v>
      </c>
      <c r="E93" s="27">
        <v>1.7908369290825081</v>
      </c>
      <c r="F93"/>
      <c r="G93"/>
      <c r="H93"/>
      <c r="I93"/>
      <c r="J93"/>
      <c r="K93"/>
      <c r="L93"/>
    </row>
    <row r="94" spans="1:12" ht="15.75" thickBot="1">
      <c r="A94" s="43">
        <v>40452</v>
      </c>
      <c r="B94" s="44">
        <v>130.9</v>
      </c>
      <c r="D94" s="28" t="s">
        <v>129</v>
      </c>
      <c r="E94" s="28">
        <v>10</v>
      </c>
      <c r="F94"/>
      <c r="G94"/>
      <c r="H94"/>
      <c r="I94"/>
      <c r="J94"/>
      <c r="K94"/>
      <c r="L94"/>
    </row>
    <row r="95" spans="1:12" ht="15">
      <c r="A95" s="43">
        <v>40483</v>
      </c>
      <c r="B95" s="44">
        <v>128.30000000000001</v>
      </c>
      <c r="D95"/>
      <c r="E95"/>
      <c r="F95"/>
      <c r="G95"/>
      <c r="H95"/>
      <c r="I95"/>
      <c r="J95"/>
      <c r="K95"/>
      <c r="L95"/>
    </row>
    <row r="96" spans="1:12" ht="15.75" thickBot="1">
      <c r="A96" s="43">
        <v>40513</v>
      </c>
      <c r="B96" s="44">
        <v>128.9</v>
      </c>
      <c r="D96" t="s">
        <v>130</v>
      </c>
      <c r="E96"/>
      <c r="F96"/>
      <c r="G96"/>
      <c r="H96"/>
      <c r="I96"/>
      <c r="J96"/>
      <c r="K96"/>
      <c r="L96"/>
    </row>
    <row r="97" spans="1:12" ht="15">
      <c r="A97" s="43">
        <v>40544</v>
      </c>
      <c r="B97" s="44">
        <v>130</v>
      </c>
      <c r="D97" s="48"/>
      <c r="E97" s="48" t="s">
        <v>131</v>
      </c>
      <c r="F97" s="48" t="s">
        <v>132</v>
      </c>
      <c r="G97" s="48" t="s">
        <v>133</v>
      </c>
      <c r="H97" s="48" t="s">
        <v>134</v>
      </c>
      <c r="I97" s="48" t="s">
        <v>135</v>
      </c>
      <c r="J97"/>
      <c r="K97"/>
      <c r="L97"/>
    </row>
    <row r="98" spans="1:12" ht="15">
      <c r="A98" s="43">
        <v>40575</v>
      </c>
      <c r="B98" s="44">
        <v>130.80000000000001</v>
      </c>
      <c r="D98" s="27" t="s">
        <v>136</v>
      </c>
      <c r="E98" s="27">
        <v>1</v>
      </c>
      <c r="F98" s="27">
        <v>605.41409280302935</v>
      </c>
      <c r="G98" s="27">
        <v>605.41409280302935</v>
      </c>
      <c r="H98" s="27">
        <v>188.77324584848273</v>
      </c>
      <c r="I98" s="27">
        <v>7.5952402536823604E-7</v>
      </c>
      <c r="J98"/>
      <c r="K98"/>
      <c r="L98"/>
    </row>
    <row r="99" spans="1:12" ht="15">
      <c r="A99" s="43">
        <v>40603</v>
      </c>
      <c r="B99" s="44">
        <v>131.1</v>
      </c>
      <c r="D99" s="27" t="s">
        <v>137</v>
      </c>
      <c r="E99" s="27">
        <v>8</v>
      </c>
      <c r="F99" s="27">
        <v>25.656775252525346</v>
      </c>
      <c r="G99" s="27">
        <v>3.2070969065656683</v>
      </c>
      <c r="H99" s="27"/>
      <c r="I99" s="27"/>
      <c r="J99"/>
      <c r="K99"/>
      <c r="L99"/>
    </row>
    <row r="100" spans="1:12" ht="15.75" thickBot="1">
      <c r="A100" s="43">
        <v>40634</v>
      </c>
      <c r="B100" s="44">
        <v>131.1</v>
      </c>
      <c r="D100" s="28" t="s">
        <v>138</v>
      </c>
      <c r="E100" s="28">
        <v>9</v>
      </c>
      <c r="F100" s="28">
        <v>631.07086805555468</v>
      </c>
      <c r="G100" s="28"/>
      <c r="H100" s="28"/>
      <c r="I100" s="28"/>
      <c r="J100"/>
      <c r="K100"/>
      <c r="L100"/>
    </row>
    <row r="101" spans="1:12" ht="15.75" thickBot="1">
      <c r="A101" s="43">
        <v>40664</v>
      </c>
      <c r="B101" s="44">
        <v>133</v>
      </c>
      <c r="D101"/>
      <c r="E101"/>
      <c r="F101"/>
      <c r="G101"/>
      <c r="H101"/>
      <c r="I101"/>
      <c r="J101"/>
      <c r="K101"/>
      <c r="L101"/>
    </row>
    <row r="102" spans="1:12" ht="15">
      <c r="A102" s="43">
        <v>40695</v>
      </c>
      <c r="B102" s="44">
        <v>136.19999999999999</v>
      </c>
      <c r="D102" s="48"/>
      <c r="E102" s="48" t="s">
        <v>139</v>
      </c>
      <c r="F102" s="48" t="s">
        <v>128</v>
      </c>
      <c r="G102" s="48" t="s">
        <v>140</v>
      </c>
      <c r="H102" s="48" t="s">
        <v>141</v>
      </c>
      <c r="I102" s="48" t="s">
        <v>142</v>
      </c>
      <c r="J102" s="48" t="s">
        <v>143</v>
      </c>
      <c r="K102" s="48" t="s">
        <v>144</v>
      </c>
      <c r="L102" s="48" t="s">
        <v>145</v>
      </c>
    </row>
    <row r="103" spans="1:12" ht="15">
      <c r="A103" s="43">
        <v>40725</v>
      </c>
      <c r="B103" s="44">
        <v>137.9</v>
      </c>
      <c r="D103" s="27" t="s">
        <v>146</v>
      </c>
      <c r="E103" s="27">
        <v>-5315.2607575757556</v>
      </c>
      <c r="F103" s="27">
        <v>396.59711151441405</v>
      </c>
      <c r="G103" s="27">
        <v>-13.402167094155894</v>
      </c>
      <c r="H103" s="27">
        <v>9.1973823258840461E-7</v>
      </c>
      <c r="I103" s="27">
        <v>-6229.8153367380228</v>
      </c>
      <c r="J103" s="27">
        <v>-4400.7061784134885</v>
      </c>
      <c r="K103" s="27">
        <v>-6229.8153367380228</v>
      </c>
      <c r="L103" s="27">
        <v>-4400.7061784134885</v>
      </c>
    </row>
    <row r="104" spans="1:12" ht="15.75" thickBot="1">
      <c r="A104" s="43">
        <v>40756</v>
      </c>
      <c r="B104" s="44">
        <v>138.4</v>
      </c>
      <c r="D104" s="28" t="s">
        <v>155</v>
      </c>
      <c r="E104" s="28">
        <v>2.7089393939393926</v>
      </c>
      <c r="F104" s="28">
        <v>0.19716465681700077</v>
      </c>
      <c r="G104" s="28">
        <v>13.739477641034348</v>
      </c>
      <c r="H104" s="28">
        <v>7.5952402536823604E-7</v>
      </c>
      <c r="I104" s="28">
        <v>2.2542768800032782</v>
      </c>
      <c r="J104" s="28">
        <v>3.1636019078755071</v>
      </c>
      <c r="K104" s="28">
        <v>2.2542768800032782</v>
      </c>
      <c r="L104" s="28">
        <v>3.1636019078755071</v>
      </c>
    </row>
    <row r="105" spans="1:12" ht="15">
      <c r="A105" s="43">
        <v>40787</v>
      </c>
      <c r="B105" s="44">
        <v>138</v>
      </c>
      <c r="D105"/>
      <c r="E105"/>
      <c r="F105"/>
      <c r="G105"/>
      <c r="H105"/>
      <c r="I105"/>
      <c r="J105"/>
      <c r="K105"/>
      <c r="L105"/>
    </row>
    <row r="106" spans="1:12" ht="15">
      <c r="A106" s="43">
        <v>40817</v>
      </c>
      <c r="B106" s="44">
        <v>134.9</v>
      </c>
      <c r="D106"/>
      <c r="E106"/>
      <c r="F106"/>
      <c r="G106"/>
      <c r="H106"/>
      <c r="I106"/>
      <c r="J106"/>
      <c r="K106"/>
      <c r="L106"/>
    </row>
    <row r="107" spans="1:12" ht="15">
      <c r="A107" s="43">
        <v>40848</v>
      </c>
      <c r="B107" s="44">
        <v>132.5</v>
      </c>
      <c r="D107"/>
      <c r="E107"/>
      <c r="F107"/>
      <c r="G107"/>
      <c r="H107"/>
      <c r="I107"/>
      <c r="J107"/>
      <c r="K107"/>
      <c r="L107"/>
    </row>
    <row r="108" spans="1:12">
      <c r="A108" s="43">
        <v>40878</v>
      </c>
      <c r="B108" s="44">
        <v>132.9</v>
      </c>
    </row>
    <row r="109" spans="1:12" ht="15">
      <c r="A109" s="43">
        <v>40909</v>
      </c>
      <c r="B109" s="44">
        <v>132.4</v>
      </c>
      <c r="D109" t="s">
        <v>221</v>
      </c>
      <c r="E109"/>
      <c r="F109"/>
      <c r="G109"/>
      <c r="H109"/>
      <c r="I109"/>
      <c r="J109"/>
      <c r="K109"/>
      <c r="L109"/>
    </row>
    <row r="110" spans="1:12" ht="15.75" thickBot="1">
      <c r="A110" s="43">
        <v>40940</v>
      </c>
      <c r="B110" s="44">
        <v>132.5</v>
      </c>
      <c r="D110"/>
      <c r="E110"/>
      <c r="F110"/>
      <c r="G110"/>
      <c r="H110"/>
      <c r="I110"/>
      <c r="J110"/>
      <c r="K110"/>
      <c r="L110"/>
    </row>
    <row r="111" spans="1:12" ht="15">
      <c r="A111" s="43">
        <v>40969</v>
      </c>
      <c r="B111" s="44">
        <v>132.1</v>
      </c>
      <c r="D111" s="47" t="s">
        <v>124</v>
      </c>
      <c r="E111" s="47"/>
      <c r="F111"/>
      <c r="G111"/>
      <c r="H111"/>
      <c r="I111"/>
      <c r="J111"/>
      <c r="K111"/>
      <c r="L111"/>
    </row>
    <row r="112" spans="1:12" ht="15">
      <c r="A112" s="43">
        <v>41000</v>
      </c>
      <c r="B112" s="44">
        <v>132</v>
      </c>
      <c r="D112" s="27" t="s">
        <v>125</v>
      </c>
      <c r="E112" s="27">
        <v>0.97465389861925655</v>
      </c>
      <c r="F112"/>
      <c r="G112"/>
      <c r="H112"/>
      <c r="I112"/>
      <c r="J112"/>
      <c r="K112"/>
      <c r="L112"/>
    </row>
    <row r="113" spans="1:12" ht="15">
      <c r="A113" s="43">
        <v>41030</v>
      </c>
      <c r="B113" s="44">
        <v>134</v>
      </c>
      <c r="D113" s="27" t="s">
        <v>126</v>
      </c>
      <c r="E113" s="27">
        <v>0.94995022209371593</v>
      </c>
      <c r="F113"/>
      <c r="G113"/>
      <c r="H113"/>
      <c r="I113"/>
      <c r="J113"/>
      <c r="K113"/>
      <c r="L113"/>
    </row>
    <row r="114" spans="1:12" ht="15">
      <c r="A114" s="43">
        <v>41061</v>
      </c>
      <c r="B114" s="44">
        <v>136.6</v>
      </c>
      <c r="D114" s="27" t="s">
        <v>127</v>
      </c>
      <c r="E114" s="27">
        <v>0.94540024228405362</v>
      </c>
      <c r="F114"/>
      <c r="G114"/>
      <c r="H114"/>
      <c r="I114"/>
      <c r="J114"/>
      <c r="K114"/>
      <c r="L114"/>
    </row>
    <row r="115" spans="1:12" ht="15">
      <c r="A115" s="43">
        <v>41091</v>
      </c>
      <c r="B115" s="44">
        <v>139.19999999999999</v>
      </c>
      <c r="D115" s="27" t="s">
        <v>128</v>
      </c>
      <c r="E115" s="27">
        <v>3.1772746546882411</v>
      </c>
      <c r="F115"/>
      <c r="G115"/>
      <c r="H115"/>
      <c r="I115"/>
      <c r="J115"/>
      <c r="K115"/>
      <c r="L115"/>
    </row>
    <row r="116" spans="1:12" ht="15.75" thickBot="1">
      <c r="A116" s="43">
        <v>41122</v>
      </c>
      <c r="B116" s="44">
        <v>139.19999999999999</v>
      </c>
      <c r="D116" s="28" t="s">
        <v>129</v>
      </c>
      <c r="E116" s="28">
        <v>13</v>
      </c>
      <c r="F116"/>
      <c r="G116"/>
      <c r="H116"/>
      <c r="I116"/>
      <c r="J116"/>
      <c r="K116"/>
      <c r="L116"/>
    </row>
    <row r="117" spans="1:12" ht="15">
      <c r="A117" s="43">
        <v>41153</v>
      </c>
      <c r="B117" s="44">
        <v>139.6</v>
      </c>
      <c r="D117"/>
      <c r="E117"/>
      <c r="F117"/>
      <c r="G117"/>
      <c r="H117"/>
      <c r="I117"/>
      <c r="J117"/>
      <c r="K117"/>
      <c r="L117"/>
    </row>
    <row r="118" spans="1:12" ht="15.75" thickBot="1">
      <c r="A118" s="43">
        <v>41183</v>
      </c>
      <c r="B118" s="44">
        <v>135.9</v>
      </c>
      <c r="D118" t="s">
        <v>130</v>
      </c>
      <c r="E118"/>
      <c r="F118"/>
      <c r="G118"/>
      <c r="H118"/>
      <c r="I118"/>
      <c r="J118"/>
      <c r="K118"/>
      <c r="L118"/>
    </row>
    <row r="119" spans="1:12" ht="15">
      <c r="A119" s="43">
        <v>41214</v>
      </c>
      <c r="B119" s="44">
        <v>134.5</v>
      </c>
      <c r="D119" s="48"/>
      <c r="E119" s="48" t="s">
        <v>131</v>
      </c>
      <c r="F119" s="48" t="s">
        <v>132</v>
      </c>
      <c r="G119" s="48" t="s">
        <v>133</v>
      </c>
      <c r="H119" s="48" t="s">
        <v>134</v>
      </c>
      <c r="I119" s="48" t="s">
        <v>135</v>
      </c>
      <c r="J119"/>
      <c r="K119"/>
      <c r="L119"/>
    </row>
    <row r="120" spans="1:12" ht="15">
      <c r="A120" s="43">
        <v>41244</v>
      </c>
      <c r="B120" s="44">
        <v>135.5</v>
      </c>
      <c r="D120" s="27" t="s">
        <v>136</v>
      </c>
      <c r="E120" s="27">
        <v>1</v>
      </c>
      <c r="F120" s="27">
        <v>2107.6616620879113</v>
      </c>
      <c r="G120" s="27">
        <v>2107.6616620879113</v>
      </c>
      <c r="H120" s="27">
        <v>208.78119504540049</v>
      </c>
      <c r="I120" s="27">
        <v>1.6885072223650809E-8</v>
      </c>
      <c r="J120"/>
      <c r="K120"/>
      <c r="L120"/>
    </row>
    <row r="121" spans="1:12" ht="15">
      <c r="A121" s="43">
        <v>41275</v>
      </c>
      <c r="B121" s="44">
        <v>134.6</v>
      </c>
      <c r="D121" s="27" t="s">
        <v>137</v>
      </c>
      <c r="E121" s="27">
        <v>11</v>
      </c>
      <c r="F121" s="27">
        <v>111.04581654456709</v>
      </c>
      <c r="G121" s="27">
        <v>10.095074231324281</v>
      </c>
      <c r="H121" s="27"/>
      <c r="I121" s="27"/>
      <c r="J121"/>
      <c r="K121"/>
      <c r="L121"/>
    </row>
    <row r="122" spans="1:12" ht="15.75" thickBot="1">
      <c r="A122" s="43">
        <v>41306</v>
      </c>
      <c r="B122" s="44">
        <v>134.30000000000001</v>
      </c>
      <c r="D122" s="28" t="s">
        <v>138</v>
      </c>
      <c r="E122" s="28">
        <v>12</v>
      </c>
      <c r="F122" s="28">
        <v>2218.7074786324783</v>
      </c>
      <c r="G122" s="28"/>
      <c r="H122" s="28"/>
      <c r="I122" s="28"/>
      <c r="J122"/>
      <c r="K122"/>
      <c r="L122"/>
    </row>
    <row r="123" spans="1:12" ht="15.75" thickBot="1">
      <c r="A123" s="43">
        <v>41334</v>
      </c>
      <c r="B123" s="44">
        <v>134.4</v>
      </c>
      <c r="D123"/>
      <c r="E123"/>
      <c r="F123"/>
      <c r="G123"/>
      <c r="H123"/>
      <c r="I123"/>
      <c r="J123"/>
      <c r="K123"/>
      <c r="L123"/>
    </row>
    <row r="124" spans="1:12" ht="15">
      <c r="A124" s="43">
        <v>41365</v>
      </c>
      <c r="B124" s="44">
        <v>134.19999999999999</v>
      </c>
      <c r="D124" s="48"/>
      <c r="E124" s="48" t="s">
        <v>139</v>
      </c>
      <c r="F124" s="48" t="s">
        <v>128</v>
      </c>
      <c r="G124" s="48" t="s">
        <v>140</v>
      </c>
      <c r="H124" s="48" t="s">
        <v>141</v>
      </c>
      <c r="I124" s="48" t="s">
        <v>142</v>
      </c>
      <c r="J124" s="48" t="s">
        <v>143</v>
      </c>
      <c r="K124" s="48" t="s">
        <v>144</v>
      </c>
      <c r="L124" s="48" t="s">
        <v>145</v>
      </c>
    </row>
    <row r="125" spans="1:12" ht="15">
      <c r="A125" s="43">
        <v>41395</v>
      </c>
      <c r="B125" s="44">
        <v>136.4</v>
      </c>
      <c r="D125" s="27" t="s">
        <v>146</v>
      </c>
      <c r="E125" s="27">
        <v>-6712.2004578754568</v>
      </c>
      <c r="F125" s="27">
        <v>473.38650619480188</v>
      </c>
      <c r="G125" s="27">
        <v>-14.17911235330679</v>
      </c>
      <c r="H125" s="27">
        <v>2.0578924417635657E-8</v>
      </c>
      <c r="I125" s="27">
        <v>-7754.1171329978442</v>
      </c>
      <c r="J125" s="27">
        <v>-5670.2837827530693</v>
      </c>
      <c r="K125" s="27">
        <v>-7754.1171329978442</v>
      </c>
      <c r="L125" s="27">
        <v>-5670.2837827530693</v>
      </c>
    </row>
    <row r="126" spans="1:12" ht="15.75" thickBot="1">
      <c r="A126" s="43">
        <v>41426</v>
      </c>
      <c r="B126" s="44">
        <v>140.19999999999999</v>
      </c>
      <c r="D126" s="28" t="s">
        <v>155</v>
      </c>
      <c r="E126" s="28">
        <v>3.4030219780219775</v>
      </c>
      <c r="F126" s="28">
        <v>0.23551526666322944</v>
      </c>
      <c r="G126" s="28">
        <v>14.449262785533406</v>
      </c>
      <c r="H126" s="28">
        <v>1.688507222365075E-8</v>
      </c>
      <c r="I126" s="28">
        <v>2.8846563711211846</v>
      </c>
      <c r="J126" s="28">
        <v>3.9213875849227704</v>
      </c>
      <c r="K126" s="28">
        <v>2.8846563711211846</v>
      </c>
      <c r="L126" s="28">
        <v>3.9213875849227704</v>
      </c>
    </row>
    <row r="127" spans="1:12" ht="15">
      <c r="A127" s="43">
        <v>41456</v>
      </c>
      <c r="B127" s="44">
        <v>140.9</v>
      </c>
      <c r="D127"/>
      <c r="E127"/>
      <c r="F127"/>
      <c r="G127"/>
      <c r="H127"/>
      <c r="I127"/>
      <c r="J127"/>
      <c r="K127"/>
      <c r="L127"/>
    </row>
    <row r="128" spans="1:12" ht="15">
      <c r="A128" s="43">
        <v>41487</v>
      </c>
      <c r="B128" s="44">
        <v>140.69999999999999</v>
      </c>
      <c r="D128"/>
      <c r="E128"/>
      <c r="F128"/>
      <c r="G128"/>
      <c r="H128"/>
      <c r="I128"/>
      <c r="J128"/>
      <c r="K128"/>
      <c r="L128"/>
    </row>
    <row r="129" spans="1:12" ht="15">
      <c r="A129" s="43">
        <v>41518</v>
      </c>
      <c r="B129" s="44">
        <v>140.80000000000001</v>
      </c>
      <c r="D129"/>
      <c r="E129"/>
      <c r="F129"/>
      <c r="G129"/>
      <c r="H129"/>
      <c r="I129"/>
      <c r="J129"/>
      <c r="K129"/>
      <c r="L129"/>
    </row>
    <row r="130" spans="1:12">
      <c r="A130" s="43">
        <v>41548</v>
      </c>
      <c r="B130" s="44">
        <v>137.1</v>
      </c>
    </row>
    <row r="131" spans="1:12">
      <c r="A131" s="43">
        <v>41579</v>
      </c>
      <c r="B131" s="44">
        <v>135.30000000000001</v>
      </c>
    </row>
    <row r="132" spans="1:12">
      <c r="A132" s="43">
        <v>41609</v>
      </c>
      <c r="B132" s="44">
        <v>135.9</v>
      </c>
    </row>
    <row r="133" spans="1:12">
      <c r="A133" s="43">
        <v>41640</v>
      </c>
      <c r="B133" s="44">
        <v>138.69999999999999</v>
      </c>
    </row>
    <row r="134" spans="1:12">
      <c r="A134" s="43">
        <v>41671</v>
      </c>
      <c r="B134" s="44">
        <v>137.69999999999999</v>
      </c>
    </row>
    <row r="135" spans="1:12">
      <c r="A135" s="43">
        <v>41699</v>
      </c>
      <c r="B135" s="44">
        <v>139.69999999999999</v>
      </c>
    </row>
    <row r="136" spans="1:12">
      <c r="A136" s="43">
        <v>41730</v>
      </c>
      <c r="B136" s="44">
        <v>139</v>
      </c>
    </row>
    <row r="137" spans="1:12">
      <c r="A137" s="43">
        <v>41760</v>
      </c>
      <c r="B137" s="44">
        <v>141.30000000000001</v>
      </c>
    </row>
    <row r="138" spans="1:12">
      <c r="A138" s="43">
        <v>41791</v>
      </c>
      <c r="B138" s="44">
        <v>145.6</v>
      </c>
    </row>
    <row r="139" spans="1:12">
      <c r="A139" s="43">
        <v>41821</v>
      </c>
      <c r="B139" s="44">
        <v>146.69999999999999</v>
      </c>
    </row>
    <row r="140" spans="1:12">
      <c r="A140" s="43">
        <v>41852</v>
      </c>
      <c r="B140" s="44">
        <v>147.1</v>
      </c>
    </row>
    <row r="141" spans="1:12">
      <c r="A141" s="43">
        <v>41883</v>
      </c>
      <c r="B141" s="44">
        <v>146.6</v>
      </c>
    </row>
    <row r="142" spans="1:12">
      <c r="A142" s="43">
        <v>41913</v>
      </c>
      <c r="B142" s="44">
        <v>143.19999999999999</v>
      </c>
    </row>
    <row r="143" spans="1:12">
      <c r="A143" s="43">
        <v>41944</v>
      </c>
      <c r="B143" s="44">
        <v>139.9</v>
      </c>
    </row>
    <row r="144" spans="1:12">
      <c r="A144" s="43">
        <v>41974</v>
      </c>
      <c r="B144" s="44">
        <v>140.5</v>
      </c>
    </row>
    <row r="145" spans="1:2">
      <c r="A145" s="43">
        <v>42005</v>
      </c>
      <c r="B145" s="44">
        <v>142.80000000000001</v>
      </c>
    </row>
    <row r="146" spans="1:2">
      <c r="A146" s="43">
        <v>42036</v>
      </c>
      <c r="B146" s="44">
        <v>142.4</v>
      </c>
    </row>
    <row r="147" spans="1:2">
      <c r="A147" s="43">
        <v>42064</v>
      </c>
      <c r="B147" s="44">
        <v>142.19999999999999</v>
      </c>
    </row>
    <row r="148" spans="1:2">
      <c r="A148" s="43">
        <v>42095</v>
      </c>
      <c r="B148" s="44">
        <v>141.1</v>
      </c>
    </row>
    <row r="149" spans="1:2">
      <c r="A149" s="43">
        <v>42125</v>
      </c>
      <c r="B149" s="44">
        <v>142.6</v>
      </c>
    </row>
    <row r="150" spans="1:2">
      <c r="A150" s="43">
        <v>42156</v>
      </c>
      <c r="B150" s="44">
        <v>149.30000000000001</v>
      </c>
    </row>
    <row r="151" spans="1:2">
      <c r="A151" s="43">
        <v>42186</v>
      </c>
      <c r="B151" s="44">
        <v>150</v>
      </c>
    </row>
    <row r="152" spans="1:2">
      <c r="A152" s="43">
        <v>42217</v>
      </c>
      <c r="B152" s="44">
        <v>149.80000000000001</v>
      </c>
    </row>
    <row r="153" spans="1:2">
      <c r="A153" s="43">
        <v>42248</v>
      </c>
      <c r="B153" s="44">
        <v>148.9</v>
      </c>
    </row>
    <row r="154" spans="1:2">
      <c r="A154" s="43">
        <v>42278</v>
      </c>
      <c r="B154" s="44">
        <v>143.19999999999999</v>
      </c>
    </row>
    <row r="155" spans="1:2">
      <c r="A155" s="43">
        <v>42309</v>
      </c>
      <c r="B155" s="44">
        <v>140.6</v>
      </c>
    </row>
    <row r="156" spans="1:2">
      <c r="A156" s="43">
        <v>42339</v>
      </c>
      <c r="B156" s="44">
        <v>141</v>
      </c>
    </row>
    <row r="157" spans="1:2">
      <c r="A157" s="43">
        <v>42370</v>
      </c>
      <c r="B157" s="44">
        <v>139.9</v>
      </c>
    </row>
    <row r="158" spans="1:2">
      <c r="A158" s="43">
        <v>42401</v>
      </c>
      <c r="B158" s="44">
        <v>138.9</v>
      </c>
    </row>
    <row r="159" spans="1:2">
      <c r="A159" s="43">
        <v>42430</v>
      </c>
      <c r="B159" s="44">
        <v>140.4</v>
      </c>
    </row>
    <row r="160" spans="1:2">
      <c r="A160" s="43">
        <v>42461</v>
      </c>
      <c r="B160" s="44">
        <v>138.80000000000001</v>
      </c>
    </row>
    <row r="161" spans="1:2">
      <c r="A161" s="43">
        <v>42491</v>
      </c>
      <c r="B161" s="44">
        <v>140.6</v>
      </c>
    </row>
    <row r="162" spans="1:2">
      <c r="A162" s="43">
        <v>42522</v>
      </c>
      <c r="B162" s="44">
        <v>146</v>
      </c>
    </row>
    <row r="163" spans="1:2">
      <c r="A163" s="43">
        <v>42552</v>
      </c>
      <c r="B163" s="44">
        <v>147.5</v>
      </c>
    </row>
    <row r="164" spans="1:2">
      <c r="A164" s="43">
        <v>42583</v>
      </c>
      <c r="B164" s="44">
        <v>147.9</v>
      </c>
    </row>
    <row r="165" spans="1:2">
      <c r="A165" s="43">
        <v>42614</v>
      </c>
      <c r="B165" s="44">
        <v>148.30000000000001</v>
      </c>
    </row>
    <row r="166" spans="1:2">
      <c r="A166" s="43">
        <v>42644</v>
      </c>
      <c r="B166" s="44">
        <v>143.19999999999999</v>
      </c>
    </row>
    <row r="167" spans="1:2">
      <c r="A167" s="43">
        <v>42675</v>
      </c>
      <c r="B167" s="44">
        <v>141.30000000000001</v>
      </c>
    </row>
    <row r="168" spans="1:2">
      <c r="A168" s="43">
        <v>42705</v>
      </c>
      <c r="B168" s="44">
        <v>141.4</v>
      </c>
    </row>
    <row r="169" spans="1:2">
      <c r="A169" s="43">
        <v>42736</v>
      </c>
      <c r="B169" s="44">
        <v>144.4</v>
      </c>
    </row>
    <row r="170" spans="1:2">
      <c r="A170" s="43">
        <v>42767</v>
      </c>
      <c r="B170" s="44">
        <v>145.9</v>
      </c>
    </row>
    <row r="171" spans="1:2">
      <c r="A171" s="43">
        <v>42795</v>
      </c>
      <c r="B171" s="44">
        <v>146.30000000000001</v>
      </c>
    </row>
    <row r="172" spans="1:2">
      <c r="A172" s="43">
        <v>42826</v>
      </c>
      <c r="B172" s="44">
        <v>145</v>
      </c>
    </row>
    <row r="173" spans="1:2">
      <c r="A173" s="43">
        <v>42856</v>
      </c>
      <c r="B173" s="44">
        <v>147.69999999999999</v>
      </c>
    </row>
    <row r="174" spans="1:2">
      <c r="A174" s="43">
        <v>42887</v>
      </c>
      <c r="B174" s="44">
        <v>152.1</v>
      </c>
    </row>
    <row r="175" spans="1:2">
      <c r="A175" s="43">
        <v>42917</v>
      </c>
      <c r="B175" s="44">
        <v>154.1</v>
      </c>
    </row>
    <row r="176" spans="1:2">
      <c r="A176" s="43">
        <v>42948</v>
      </c>
      <c r="B176" s="44">
        <v>153.9</v>
      </c>
    </row>
  </sheetData>
  <mergeCells count="1">
    <mergeCell ref="D43:E43"/>
  </mergeCells>
  <pageMargins left="0.75" right="0.75" top="1" bottom="1" header="0.5" footer="0.5"/>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topLeftCell="A42" workbookViewId="0">
      <selection activeCell="F68" sqref="F68"/>
    </sheetView>
  </sheetViews>
  <sheetFormatPr defaultRowHeight="12.75"/>
  <cols>
    <col min="1" max="256" width="20.7109375" style="42" customWidth="1"/>
    <col min="257" max="16384" width="9.140625" style="42"/>
  </cols>
  <sheetData>
    <row r="1" spans="1:2">
      <c r="A1" s="42" t="s">
        <v>196</v>
      </c>
    </row>
    <row r="2" spans="1:2">
      <c r="A2" s="42" t="s">
        <v>197</v>
      </c>
    </row>
    <row r="3" spans="1:2">
      <c r="A3" s="42" t="s">
        <v>198</v>
      </c>
    </row>
    <row r="4" spans="1:2">
      <c r="A4" s="42" t="s">
        <v>199</v>
      </c>
    </row>
    <row r="5" spans="1:2">
      <c r="A5" s="42" t="s">
        <v>200</v>
      </c>
    </row>
    <row r="6" spans="1:2">
      <c r="A6" s="42" t="s">
        <v>201</v>
      </c>
    </row>
    <row r="8" spans="1:2">
      <c r="A8" s="42" t="s">
        <v>233</v>
      </c>
      <c r="B8" s="42" t="s">
        <v>234</v>
      </c>
    </row>
    <row r="10" spans="1:2">
      <c r="A10" s="42" t="s">
        <v>224</v>
      </c>
    </row>
    <row r="11" spans="1:2">
      <c r="A11" s="42" t="s">
        <v>205</v>
      </c>
      <c r="B11" s="42" t="s">
        <v>233</v>
      </c>
    </row>
    <row r="12" spans="1:2">
      <c r="A12" s="43">
        <v>37956</v>
      </c>
      <c r="B12" s="44">
        <v>100</v>
      </c>
    </row>
    <row r="13" spans="1:2">
      <c r="A13" s="43">
        <v>37987</v>
      </c>
      <c r="B13" s="44">
        <v>99.8</v>
      </c>
    </row>
    <row r="14" spans="1:2">
      <c r="A14" s="43">
        <v>38018</v>
      </c>
      <c r="B14" s="44">
        <v>102.9</v>
      </c>
    </row>
    <row r="15" spans="1:2">
      <c r="A15" s="43">
        <v>38047</v>
      </c>
      <c r="B15" s="44">
        <v>101.5</v>
      </c>
    </row>
    <row r="16" spans="1:2">
      <c r="A16" s="43">
        <v>38078</v>
      </c>
      <c r="B16" s="44">
        <v>101.7</v>
      </c>
    </row>
    <row r="17" spans="1:2">
      <c r="A17" s="43">
        <v>38108</v>
      </c>
      <c r="B17" s="44">
        <v>102.4</v>
      </c>
    </row>
    <row r="18" spans="1:2">
      <c r="A18" s="43">
        <v>38139</v>
      </c>
      <c r="B18" s="44">
        <v>107</v>
      </c>
    </row>
    <row r="19" spans="1:2">
      <c r="A19" s="43">
        <v>38169</v>
      </c>
      <c r="B19" s="44">
        <v>107.8</v>
      </c>
    </row>
    <row r="20" spans="1:2">
      <c r="A20" s="43">
        <v>38200</v>
      </c>
      <c r="B20" s="44">
        <v>109</v>
      </c>
    </row>
    <row r="21" spans="1:2">
      <c r="A21" s="43">
        <v>38231</v>
      </c>
      <c r="B21" s="44">
        <v>106.1</v>
      </c>
    </row>
    <row r="22" spans="1:2">
      <c r="A22" s="43">
        <v>38261</v>
      </c>
      <c r="B22" s="44">
        <v>102.6</v>
      </c>
    </row>
    <row r="23" spans="1:2">
      <c r="A23" s="43">
        <v>38292</v>
      </c>
      <c r="B23" s="44">
        <v>107</v>
      </c>
    </row>
    <row r="24" spans="1:2">
      <c r="A24" s="43">
        <v>38322</v>
      </c>
      <c r="B24" s="44">
        <v>104.6</v>
      </c>
    </row>
    <row r="25" spans="1:2">
      <c r="A25" s="43">
        <v>38353</v>
      </c>
      <c r="B25" s="44">
        <v>104.9</v>
      </c>
    </row>
    <row r="26" spans="1:2">
      <c r="A26" s="43">
        <v>38384</v>
      </c>
      <c r="B26" s="44">
        <v>105.7</v>
      </c>
    </row>
    <row r="27" spans="1:2">
      <c r="A27" s="43">
        <v>38412</v>
      </c>
      <c r="B27" s="44">
        <v>113</v>
      </c>
    </row>
    <row r="28" spans="1:2">
      <c r="A28" s="43">
        <v>38443</v>
      </c>
      <c r="B28" s="44">
        <v>109.6</v>
      </c>
    </row>
    <row r="29" spans="1:2">
      <c r="A29" s="43">
        <v>38473</v>
      </c>
      <c r="B29" s="44">
        <v>111</v>
      </c>
    </row>
    <row r="30" spans="1:2">
      <c r="A30" s="43">
        <v>38504</v>
      </c>
      <c r="B30" s="44">
        <v>112.9</v>
      </c>
    </row>
    <row r="31" spans="1:2">
      <c r="A31" s="43">
        <v>38534</v>
      </c>
      <c r="B31" s="44">
        <v>126.4</v>
      </c>
    </row>
    <row r="32" spans="1:2">
      <c r="A32" s="43">
        <v>38565</v>
      </c>
      <c r="B32" s="44">
        <v>142.19999999999999</v>
      </c>
    </row>
    <row r="33" spans="1:8">
      <c r="A33" s="43">
        <v>38596</v>
      </c>
      <c r="B33" s="44">
        <v>140</v>
      </c>
    </row>
    <row r="34" spans="1:8">
      <c r="A34" s="43">
        <v>38626</v>
      </c>
      <c r="B34" s="44">
        <v>132.80000000000001</v>
      </c>
    </row>
    <row r="35" spans="1:8">
      <c r="A35" s="43">
        <v>38657</v>
      </c>
      <c r="B35" s="44">
        <v>121.9</v>
      </c>
    </row>
    <row r="36" spans="1:8">
      <c r="A36" s="43">
        <v>38687</v>
      </c>
      <c r="B36" s="44">
        <v>133.80000000000001</v>
      </c>
    </row>
    <row r="37" spans="1:8">
      <c r="A37" s="43">
        <v>38718</v>
      </c>
      <c r="B37" s="44">
        <v>129</v>
      </c>
    </row>
    <row r="38" spans="1:8">
      <c r="A38" s="43">
        <v>38749</v>
      </c>
      <c r="B38" s="44">
        <v>129</v>
      </c>
    </row>
    <row r="39" spans="1:8">
      <c r="A39" s="43">
        <v>38777</v>
      </c>
      <c r="B39" s="44">
        <v>127.3</v>
      </c>
    </row>
    <row r="40" spans="1:8">
      <c r="A40" s="43">
        <v>38808</v>
      </c>
      <c r="B40" s="44">
        <v>124.5</v>
      </c>
    </row>
    <row r="41" spans="1:8">
      <c r="A41" s="43">
        <v>38838</v>
      </c>
      <c r="B41" s="44">
        <v>125.8</v>
      </c>
    </row>
    <row r="42" spans="1:8">
      <c r="A42" s="43">
        <v>38869</v>
      </c>
      <c r="B42" s="44">
        <v>127.9</v>
      </c>
    </row>
    <row r="43" spans="1:8">
      <c r="A43" s="43">
        <v>38899</v>
      </c>
      <c r="B43" s="44">
        <v>134.4</v>
      </c>
      <c r="D43" s="386" t="s">
        <v>225</v>
      </c>
      <c r="E43" s="386"/>
    </row>
    <row r="44" spans="1:8">
      <c r="A44" s="43">
        <v>38930</v>
      </c>
      <c r="B44" s="44">
        <v>153.5</v>
      </c>
      <c r="D44" s="49" t="s">
        <v>115</v>
      </c>
      <c r="E44" s="49" t="s">
        <v>226</v>
      </c>
    </row>
    <row r="45" spans="1:8">
      <c r="A45" s="43">
        <v>38961</v>
      </c>
      <c r="B45" s="44">
        <v>131.30000000000001</v>
      </c>
      <c r="D45" s="42">
        <v>2004</v>
      </c>
      <c r="E45" s="45">
        <f>AVERAGE(B13:B24)</f>
        <v>104.36666666666666</v>
      </c>
      <c r="G45" s="42" t="s">
        <v>186</v>
      </c>
      <c r="H45" s="46">
        <f>RATE(12,,-E45,E$57)</f>
        <v>2.1346986095555052E-2</v>
      </c>
    </row>
    <row r="46" spans="1:8">
      <c r="A46" s="43">
        <v>38991</v>
      </c>
      <c r="B46" s="44">
        <v>124.2</v>
      </c>
      <c r="D46" s="42">
        <v>2005</v>
      </c>
      <c r="E46" s="45">
        <f>AVERAGE(B25:B36)</f>
        <v>121.18333333333334</v>
      </c>
      <c r="G46" s="42" t="s">
        <v>208</v>
      </c>
      <c r="H46" s="46">
        <f>RATE(11,,-E46,E$57)</f>
        <v>9.5061498241824586E-3</v>
      </c>
    </row>
    <row r="47" spans="1:8">
      <c r="A47" s="43">
        <v>39022</v>
      </c>
      <c r="B47" s="44">
        <v>130.5</v>
      </c>
      <c r="D47" s="42">
        <v>2006</v>
      </c>
      <c r="E47" s="45">
        <f>AVERAGE(B37:B48)</f>
        <v>130.43333333333334</v>
      </c>
      <c r="G47" s="42" t="s">
        <v>209</v>
      </c>
      <c r="H47" s="46">
        <f>RATE(10,,-E47,E$57)</f>
        <v>3.0562676528811169E-3</v>
      </c>
    </row>
    <row r="48" spans="1:8">
      <c r="A48" s="43">
        <v>39052</v>
      </c>
      <c r="B48" s="44">
        <v>127.8</v>
      </c>
      <c r="D48" s="42">
        <v>2007</v>
      </c>
      <c r="E48" s="45">
        <f>AVERAGE(B49:B60)</f>
        <v>136.07499999999999</v>
      </c>
      <c r="G48" s="42" t="s">
        <v>187</v>
      </c>
      <c r="H48" s="46">
        <f>RATE(9,,-E48,E$57)</f>
        <v>-1.3133474878712851E-3</v>
      </c>
    </row>
    <row r="49" spans="1:8">
      <c r="A49" s="43">
        <v>39083</v>
      </c>
      <c r="B49" s="44">
        <v>123.5</v>
      </c>
      <c r="D49" s="42">
        <v>2008</v>
      </c>
      <c r="E49" s="45">
        <f>AVERAGE(B61:B72)</f>
        <v>151.45833333333331</v>
      </c>
      <c r="G49" s="42" t="s">
        <v>210</v>
      </c>
      <c r="H49" s="46">
        <f>RATE(8,,-E49,E$57)</f>
        <v>-1.4756570142863889E-2</v>
      </c>
    </row>
    <row r="50" spans="1:8">
      <c r="A50" s="43">
        <v>39114</v>
      </c>
      <c r="B50" s="44">
        <v>135.6</v>
      </c>
      <c r="D50" s="42">
        <v>2009</v>
      </c>
      <c r="E50" s="45">
        <f>AVERAGE(B73:B84)</f>
        <v>142.0916666666667</v>
      </c>
      <c r="G50" s="42" t="s">
        <v>211</v>
      </c>
      <c r="H50" s="46">
        <f>RATE(7,,-E50,E$57)</f>
        <v>-7.8396910705428521E-3</v>
      </c>
    </row>
    <row r="51" spans="1:8">
      <c r="A51" s="43">
        <v>39142</v>
      </c>
      <c r="B51" s="44">
        <v>131.9</v>
      </c>
      <c r="D51" s="42">
        <v>2010</v>
      </c>
      <c r="E51" s="45">
        <f>AVERAGE(B85:B96)</f>
        <v>149.31666666666669</v>
      </c>
      <c r="G51" s="42" t="s">
        <v>212</v>
      </c>
      <c r="H51" s="46">
        <f>RATE(6,,-E51,E$57)</f>
        <v>-1.7297160080095027E-2</v>
      </c>
    </row>
    <row r="52" spans="1:8">
      <c r="A52" s="43">
        <v>39173</v>
      </c>
      <c r="B52" s="44">
        <v>130.9</v>
      </c>
      <c r="D52" s="42">
        <v>2011</v>
      </c>
      <c r="E52" s="45">
        <f>AVERAGE(B97:B108)</f>
        <v>150.63333333333335</v>
      </c>
      <c r="G52" s="42" t="s">
        <v>213</v>
      </c>
      <c r="H52" s="46">
        <f>RATE(5,,-E52,E$57)</f>
        <v>-2.243849063228024E-2</v>
      </c>
    </row>
    <row r="53" spans="1:8">
      <c r="A53" s="43">
        <v>39203</v>
      </c>
      <c r="B53" s="44">
        <v>131.30000000000001</v>
      </c>
      <c r="D53" s="42">
        <v>2012</v>
      </c>
      <c r="E53" s="45">
        <f>AVERAGE(B109:B120)</f>
        <v>138.23333333333332</v>
      </c>
      <c r="G53" s="42" t="s">
        <v>214</v>
      </c>
      <c r="H53" s="46">
        <f>RATE(4,,-E53,E$57)</f>
        <v>-6.8675027867335431E-3</v>
      </c>
    </row>
    <row r="54" spans="1:8">
      <c r="A54" s="43">
        <v>39234</v>
      </c>
      <c r="B54" s="44">
        <v>137.1</v>
      </c>
      <c r="D54" s="42">
        <v>2013</v>
      </c>
      <c r="E54" s="45">
        <f>AVERAGE(B121:B132)</f>
        <v>147.08333333333331</v>
      </c>
      <c r="G54" s="42" t="s">
        <v>215</v>
      </c>
      <c r="H54" s="46">
        <f>RATE(3,,-E54,E$57)</f>
        <v>-2.9431862781154429E-2</v>
      </c>
    </row>
    <row r="55" spans="1:8">
      <c r="A55" s="43">
        <v>39264</v>
      </c>
      <c r="B55" s="44">
        <v>139.80000000000001</v>
      </c>
      <c r="D55" s="42">
        <v>2014</v>
      </c>
      <c r="E55" s="45">
        <f>AVERAGE(B133:B144)</f>
        <v>159.30000000000001</v>
      </c>
      <c r="G55" s="42" t="s">
        <v>216</v>
      </c>
      <c r="H55" s="46">
        <f>RATE(2,,-E55,E$57)</f>
        <v>-8.1217131979037877E-2</v>
      </c>
    </row>
    <row r="56" spans="1:8">
      <c r="A56" s="43">
        <v>39295</v>
      </c>
      <c r="B56" s="44">
        <v>149.80000000000001</v>
      </c>
      <c r="D56" s="42">
        <v>2015</v>
      </c>
      <c r="E56" s="45">
        <f>AVERAGE(B145:B156)</f>
        <v>142.24999999999997</v>
      </c>
      <c r="G56" s="42" t="s">
        <v>217</v>
      </c>
      <c r="H56" s="46">
        <f>RATE(1,,-E56,E$57)</f>
        <v>-5.4657293497363542E-2</v>
      </c>
    </row>
    <row r="57" spans="1:8">
      <c r="A57" s="43">
        <v>39326</v>
      </c>
      <c r="B57" s="44">
        <v>139</v>
      </c>
      <c r="D57" s="42">
        <v>2016</v>
      </c>
      <c r="E57" s="45">
        <f>AVERAGE(B157:B168)</f>
        <v>134.47500000000002</v>
      </c>
    </row>
    <row r="58" spans="1:8">
      <c r="A58" s="43">
        <v>39356</v>
      </c>
      <c r="B58" s="44">
        <v>141.6</v>
      </c>
      <c r="D58" s="42" t="s">
        <v>227</v>
      </c>
      <c r="E58" s="46">
        <f>E104/E57</f>
        <v>-5.3706802173059923E-4</v>
      </c>
    </row>
    <row r="59" spans="1:8">
      <c r="A59" s="43">
        <v>39387</v>
      </c>
      <c r="B59" s="44">
        <v>136.1</v>
      </c>
      <c r="D59" s="42" t="s">
        <v>186</v>
      </c>
      <c r="E59" s="46">
        <f>E126/E57</f>
        <v>1.7020471008201071E-2</v>
      </c>
    </row>
    <row r="60" spans="1:8">
      <c r="A60" s="43">
        <v>39417</v>
      </c>
      <c r="B60" s="44">
        <v>136.30000000000001</v>
      </c>
    </row>
    <row r="61" spans="1:8">
      <c r="A61" s="43">
        <v>39448</v>
      </c>
      <c r="B61" s="44">
        <v>136.30000000000001</v>
      </c>
    </row>
    <row r="62" spans="1:8">
      <c r="A62" s="43">
        <v>39479</v>
      </c>
      <c r="B62" s="44">
        <v>141.1</v>
      </c>
    </row>
    <row r="63" spans="1:8">
      <c r="A63" s="43">
        <v>39508</v>
      </c>
      <c r="B63" s="44">
        <v>143.1</v>
      </c>
    </row>
    <row r="64" spans="1:8">
      <c r="A64" s="43">
        <v>39539</v>
      </c>
      <c r="B64" s="44">
        <v>149</v>
      </c>
    </row>
    <row r="65" spans="1:2">
      <c r="A65" s="43">
        <v>39569</v>
      </c>
      <c r="B65" s="44">
        <v>149.30000000000001</v>
      </c>
    </row>
    <row r="66" spans="1:2">
      <c r="A66" s="43">
        <v>39600</v>
      </c>
      <c r="B66" s="44">
        <v>165.6</v>
      </c>
    </row>
    <row r="67" spans="1:2">
      <c r="A67" s="43">
        <v>39630</v>
      </c>
      <c r="B67" s="44">
        <v>170.4</v>
      </c>
    </row>
    <row r="68" spans="1:2">
      <c r="A68" s="43">
        <v>39661</v>
      </c>
      <c r="B68" s="44">
        <v>171.8</v>
      </c>
    </row>
    <row r="69" spans="1:2">
      <c r="A69" s="43">
        <v>39692</v>
      </c>
      <c r="B69" s="44">
        <v>159</v>
      </c>
    </row>
    <row r="70" spans="1:2">
      <c r="A70" s="43">
        <v>39722</v>
      </c>
      <c r="B70" s="44">
        <v>149.69999999999999</v>
      </c>
    </row>
    <row r="71" spans="1:2">
      <c r="A71" s="43">
        <v>39753</v>
      </c>
      <c r="B71" s="44">
        <v>142.1</v>
      </c>
    </row>
    <row r="72" spans="1:2">
      <c r="A72" s="43">
        <v>39783</v>
      </c>
      <c r="B72" s="44">
        <v>140.1</v>
      </c>
    </row>
    <row r="73" spans="1:2">
      <c r="A73" s="43">
        <v>39814</v>
      </c>
      <c r="B73" s="44">
        <v>140.80000000000001</v>
      </c>
    </row>
    <row r="74" spans="1:2">
      <c r="A74" s="43">
        <v>39845</v>
      </c>
      <c r="B74" s="44">
        <v>145.1</v>
      </c>
    </row>
    <row r="75" spans="1:2">
      <c r="A75" s="43">
        <v>39873</v>
      </c>
      <c r="B75" s="44">
        <v>142</v>
      </c>
    </row>
    <row r="76" spans="1:2">
      <c r="A76" s="43">
        <v>39904</v>
      </c>
      <c r="B76" s="44">
        <v>138.5</v>
      </c>
    </row>
    <row r="77" spans="1:2">
      <c r="A77" s="43">
        <v>39934</v>
      </c>
      <c r="B77" s="44">
        <v>140.30000000000001</v>
      </c>
    </row>
    <row r="78" spans="1:2">
      <c r="A78" s="43">
        <v>39965</v>
      </c>
      <c r="B78" s="44">
        <v>139.69999999999999</v>
      </c>
    </row>
    <row r="79" spans="1:2">
      <c r="A79" s="43">
        <v>39995</v>
      </c>
      <c r="B79" s="44">
        <v>140.69999999999999</v>
      </c>
    </row>
    <row r="80" spans="1:2">
      <c r="A80" s="43">
        <v>40026</v>
      </c>
      <c r="B80" s="44">
        <v>150</v>
      </c>
    </row>
    <row r="81" spans="1:12">
      <c r="A81" s="43">
        <v>40057</v>
      </c>
      <c r="B81" s="44">
        <v>141.4</v>
      </c>
    </row>
    <row r="82" spans="1:12">
      <c r="A82" s="43">
        <v>40087</v>
      </c>
      <c r="B82" s="44">
        <v>142.69999999999999</v>
      </c>
    </row>
    <row r="83" spans="1:12">
      <c r="A83" s="43">
        <v>40118</v>
      </c>
      <c r="B83" s="44">
        <v>140.19999999999999</v>
      </c>
    </row>
    <row r="84" spans="1:12">
      <c r="A84" s="43">
        <v>40148</v>
      </c>
      <c r="B84" s="44">
        <v>143.69999999999999</v>
      </c>
    </row>
    <row r="85" spans="1:12">
      <c r="A85" s="43">
        <v>40179</v>
      </c>
      <c r="B85" s="44">
        <v>151</v>
      </c>
    </row>
    <row r="86" spans="1:12">
      <c r="A86" s="43">
        <v>40210</v>
      </c>
      <c r="B86" s="44">
        <v>150.5</v>
      </c>
    </row>
    <row r="87" spans="1:12" ht="15">
      <c r="A87" s="43">
        <v>40238</v>
      </c>
      <c r="B87" s="44">
        <v>146.5</v>
      </c>
      <c r="D87" t="s">
        <v>220</v>
      </c>
      <c r="E87"/>
      <c r="F87"/>
      <c r="G87"/>
      <c r="H87"/>
      <c r="I87"/>
      <c r="J87"/>
      <c r="K87"/>
      <c r="L87"/>
    </row>
    <row r="88" spans="1:12" ht="15.75" thickBot="1">
      <c r="A88" s="43">
        <v>40269</v>
      </c>
      <c r="B88" s="44">
        <v>144.19999999999999</v>
      </c>
      <c r="D88"/>
      <c r="E88"/>
      <c r="F88"/>
      <c r="G88"/>
      <c r="H88"/>
      <c r="I88"/>
      <c r="J88"/>
      <c r="K88"/>
      <c r="L88"/>
    </row>
    <row r="89" spans="1:12" ht="15">
      <c r="A89" s="43">
        <v>40299</v>
      </c>
      <c r="B89" s="44">
        <v>145.19999999999999</v>
      </c>
      <c r="D89" s="47" t="s">
        <v>124</v>
      </c>
      <c r="E89" s="47"/>
      <c r="F89"/>
      <c r="G89"/>
      <c r="H89"/>
      <c r="I89"/>
      <c r="J89"/>
      <c r="K89"/>
      <c r="L89"/>
    </row>
    <row r="90" spans="1:12" ht="15">
      <c r="A90" s="43">
        <v>40330</v>
      </c>
      <c r="B90" s="44">
        <v>147.19999999999999</v>
      </c>
      <c r="D90" s="27" t="s">
        <v>125</v>
      </c>
      <c r="E90" s="27">
        <v>2.7893949245545158E-2</v>
      </c>
      <c r="F90"/>
      <c r="G90"/>
      <c r="H90"/>
      <c r="I90"/>
      <c r="J90"/>
      <c r="K90"/>
      <c r="L90"/>
    </row>
    <row r="91" spans="1:12" ht="15">
      <c r="A91" s="43">
        <v>40360</v>
      </c>
      <c r="B91" s="44">
        <v>153.30000000000001</v>
      </c>
      <c r="D91" s="27" t="s">
        <v>126</v>
      </c>
      <c r="E91" s="27">
        <v>7.7807240451304924E-4</v>
      </c>
      <c r="F91"/>
      <c r="G91"/>
      <c r="H91"/>
      <c r="I91"/>
      <c r="J91"/>
      <c r="K91"/>
      <c r="L91"/>
    </row>
    <row r="92" spans="1:12" ht="15">
      <c r="A92" s="43">
        <v>40391</v>
      </c>
      <c r="B92" s="44">
        <v>162.9</v>
      </c>
      <c r="D92" s="27" t="s">
        <v>127</v>
      </c>
      <c r="E92" s="27">
        <v>-0.12412466854492282</v>
      </c>
      <c r="F92"/>
      <c r="G92"/>
      <c r="H92"/>
      <c r="I92"/>
      <c r="J92"/>
      <c r="K92"/>
      <c r="L92"/>
    </row>
    <row r="93" spans="1:12" ht="15">
      <c r="A93" s="43">
        <v>40422</v>
      </c>
      <c r="B93" s="44">
        <v>151.4</v>
      </c>
      <c r="D93" s="27" t="s">
        <v>128</v>
      </c>
      <c r="E93" s="27">
        <v>8.3113926441472632</v>
      </c>
      <c r="F93"/>
      <c r="G93"/>
      <c r="H93"/>
      <c r="I93"/>
      <c r="J93"/>
      <c r="K93"/>
      <c r="L93"/>
    </row>
    <row r="94" spans="1:12" ht="15.75" thickBot="1">
      <c r="A94" s="43">
        <v>40452</v>
      </c>
      <c r="B94" s="44">
        <v>144.69999999999999</v>
      </c>
      <c r="D94" s="28" t="s">
        <v>129</v>
      </c>
      <c r="E94" s="28">
        <v>10</v>
      </c>
      <c r="F94"/>
      <c r="G94"/>
      <c r="H94"/>
      <c r="I94"/>
      <c r="J94"/>
      <c r="K94"/>
      <c r="L94"/>
    </row>
    <row r="95" spans="1:12" ht="15">
      <c r="A95" s="43">
        <v>40483</v>
      </c>
      <c r="B95" s="44">
        <v>145.19999999999999</v>
      </c>
      <c r="D95"/>
      <c r="E95"/>
      <c r="F95"/>
      <c r="G95"/>
      <c r="H95"/>
      <c r="I95"/>
      <c r="J95"/>
      <c r="K95"/>
      <c r="L95"/>
    </row>
    <row r="96" spans="1:12" ht="15.75" thickBot="1">
      <c r="A96" s="43">
        <v>40513</v>
      </c>
      <c r="B96" s="44">
        <v>149.69999999999999</v>
      </c>
      <c r="D96" t="s">
        <v>130</v>
      </c>
      <c r="E96"/>
      <c r="F96"/>
      <c r="G96"/>
      <c r="H96"/>
      <c r="I96"/>
      <c r="J96"/>
      <c r="K96"/>
      <c r="L96"/>
    </row>
    <row r="97" spans="1:12" ht="15">
      <c r="A97" s="43">
        <v>40544</v>
      </c>
      <c r="B97" s="44">
        <v>150.5</v>
      </c>
      <c r="D97" s="48"/>
      <c r="E97" s="48" t="s">
        <v>131</v>
      </c>
      <c r="F97" s="48" t="s">
        <v>132</v>
      </c>
      <c r="G97" s="48" t="s">
        <v>133</v>
      </c>
      <c r="H97" s="48" t="s">
        <v>134</v>
      </c>
      <c r="I97" s="48" t="s">
        <v>135</v>
      </c>
      <c r="J97"/>
      <c r="K97"/>
      <c r="L97"/>
    </row>
    <row r="98" spans="1:12" ht="15">
      <c r="A98" s="43">
        <v>40575</v>
      </c>
      <c r="B98" s="44">
        <v>150.1</v>
      </c>
      <c r="D98" s="27" t="s">
        <v>136</v>
      </c>
      <c r="E98" s="27">
        <v>1</v>
      </c>
      <c r="F98" s="27">
        <v>0.43032407407395112</v>
      </c>
      <c r="G98" s="27">
        <v>0.43032407407395112</v>
      </c>
      <c r="H98" s="27">
        <v>6.2294261807115565E-3</v>
      </c>
      <c r="I98" s="27">
        <v>0.9390294402982664</v>
      </c>
      <c r="J98"/>
      <c r="K98"/>
      <c r="L98"/>
    </row>
    <row r="99" spans="1:12" ht="15">
      <c r="A99" s="43">
        <v>40603</v>
      </c>
      <c r="B99" s="44">
        <v>145.6</v>
      </c>
      <c r="D99" s="27" t="s">
        <v>137</v>
      </c>
      <c r="E99" s="27">
        <v>8</v>
      </c>
      <c r="F99" s="27">
        <v>552.6339814814819</v>
      </c>
      <c r="G99" s="27">
        <v>69.079247685185237</v>
      </c>
      <c r="H99" s="27"/>
      <c r="I99" s="27"/>
      <c r="J99"/>
      <c r="K99"/>
      <c r="L99"/>
    </row>
    <row r="100" spans="1:12" ht="15.75" thickBot="1">
      <c r="A100" s="43">
        <v>40634</v>
      </c>
      <c r="B100" s="44">
        <v>145.4</v>
      </c>
      <c r="D100" s="28" t="s">
        <v>138</v>
      </c>
      <c r="E100" s="28">
        <v>9</v>
      </c>
      <c r="F100" s="28">
        <v>553.06430555555585</v>
      </c>
      <c r="G100" s="28"/>
      <c r="H100" s="28"/>
      <c r="I100" s="28"/>
      <c r="J100"/>
      <c r="K100"/>
      <c r="L100"/>
    </row>
    <row r="101" spans="1:12" ht="15.75" thickBot="1">
      <c r="A101" s="43">
        <v>40664</v>
      </c>
      <c r="B101" s="44">
        <v>148.5</v>
      </c>
      <c r="D101"/>
      <c r="E101"/>
      <c r="F101"/>
      <c r="G101"/>
      <c r="H101"/>
      <c r="I101"/>
      <c r="J101"/>
      <c r="K101"/>
      <c r="L101"/>
    </row>
    <row r="102" spans="1:12" ht="15">
      <c r="A102" s="43">
        <v>40695</v>
      </c>
      <c r="B102" s="44">
        <v>158.9</v>
      </c>
      <c r="D102" s="48"/>
      <c r="E102" s="48" t="s">
        <v>139</v>
      </c>
      <c r="F102" s="48" t="s">
        <v>128</v>
      </c>
      <c r="G102" s="48" t="s">
        <v>140</v>
      </c>
      <c r="H102" s="48" t="s">
        <v>141</v>
      </c>
      <c r="I102" s="48" t="s">
        <v>142</v>
      </c>
      <c r="J102" s="48" t="s">
        <v>143</v>
      </c>
      <c r="K102" s="48" t="s">
        <v>144</v>
      </c>
      <c r="L102" s="48" t="s">
        <v>145</v>
      </c>
    </row>
    <row r="103" spans="1:12" ht="15">
      <c r="A103" s="43">
        <v>40725</v>
      </c>
      <c r="B103" s="44">
        <v>161.9</v>
      </c>
      <c r="D103" s="27" t="s">
        <v>146</v>
      </c>
      <c r="E103" s="27">
        <v>290.3666666666669</v>
      </c>
      <c r="F103" s="27">
        <v>1840.6334277569981</v>
      </c>
      <c r="G103" s="27">
        <v>0.15775366365072957</v>
      </c>
      <c r="H103" s="27">
        <v>0.87856001931800154</v>
      </c>
      <c r="I103" s="27">
        <v>-3954.1416291359919</v>
      </c>
      <c r="J103" s="27">
        <v>4534.8749624693255</v>
      </c>
      <c r="K103" s="27">
        <v>-3954.1416291359919</v>
      </c>
      <c r="L103" s="27">
        <v>4534.8749624693255</v>
      </c>
    </row>
    <row r="104" spans="1:12" ht="15.75" thickBot="1">
      <c r="A104" s="43">
        <v>40756</v>
      </c>
      <c r="B104" s="44">
        <v>165.8</v>
      </c>
      <c r="D104" s="28" t="s">
        <v>155</v>
      </c>
      <c r="E104" s="28">
        <v>-7.222222222222234E-2</v>
      </c>
      <c r="F104" s="28">
        <v>0.9150542138943909</v>
      </c>
      <c r="G104" s="28">
        <v>-7.8926713986541691E-2</v>
      </c>
      <c r="H104" s="28">
        <v>0.93902944029825774</v>
      </c>
      <c r="I104" s="28">
        <v>-2.1823410233986862</v>
      </c>
      <c r="J104" s="28">
        <v>2.0378965789542414</v>
      </c>
      <c r="K104" s="28">
        <v>-2.1823410233986862</v>
      </c>
      <c r="L104" s="28">
        <v>2.0378965789542414</v>
      </c>
    </row>
    <row r="105" spans="1:12" ht="15">
      <c r="A105" s="43">
        <v>40787</v>
      </c>
      <c r="B105" s="44">
        <v>156.9</v>
      </c>
      <c r="D105"/>
      <c r="E105"/>
      <c r="F105"/>
      <c r="G105"/>
      <c r="H105"/>
      <c r="I105"/>
      <c r="J105"/>
      <c r="K105"/>
      <c r="L105"/>
    </row>
    <row r="106" spans="1:12" ht="15">
      <c r="A106" s="43">
        <v>40817</v>
      </c>
      <c r="B106" s="44">
        <v>142.9</v>
      </c>
      <c r="D106"/>
      <c r="E106"/>
      <c r="F106"/>
      <c r="G106"/>
      <c r="H106"/>
      <c r="I106"/>
      <c r="J106"/>
      <c r="K106"/>
      <c r="L106"/>
    </row>
    <row r="107" spans="1:12" ht="15">
      <c r="A107" s="43">
        <v>40848</v>
      </c>
      <c r="B107" s="44">
        <v>139.4</v>
      </c>
      <c r="D107"/>
      <c r="E107"/>
      <c r="F107"/>
      <c r="G107"/>
      <c r="H107"/>
      <c r="I107"/>
      <c r="J107"/>
      <c r="K107"/>
      <c r="L107"/>
    </row>
    <row r="108" spans="1:12">
      <c r="A108" s="43">
        <v>40878</v>
      </c>
      <c r="B108" s="44">
        <v>141.69999999999999</v>
      </c>
    </row>
    <row r="109" spans="1:12" ht="15">
      <c r="A109" s="43">
        <v>40909</v>
      </c>
      <c r="B109" s="44">
        <v>136</v>
      </c>
      <c r="D109" t="s">
        <v>221</v>
      </c>
      <c r="E109"/>
      <c r="F109"/>
      <c r="G109"/>
      <c r="H109"/>
      <c r="I109"/>
      <c r="J109"/>
      <c r="K109"/>
      <c r="L109"/>
    </row>
    <row r="110" spans="1:12" ht="15.75" thickBot="1">
      <c r="A110" s="43">
        <v>40940</v>
      </c>
      <c r="B110" s="44">
        <v>138.6</v>
      </c>
      <c r="D110"/>
      <c r="E110"/>
      <c r="F110"/>
      <c r="G110"/>
      <c r="H110"/>
      <c r="I110"/>
      <c r="J110"/>
      <c r="K110"/>
      <c r="L110"/>
    </row>
    <row r="111" spans="1:12" ht="15">
      <c r="A111" s="43">
        <v>40969</v>
      </c>
      <c r="B111" s="44">
        <v>130.1</v>
      </c>
      <c r="D111" s="47" t="s">
        <v>124</v>
      </c>
      <c r="E111" s="47"/>
      <c r="F111"/>
      <c r="G111"/>
      <c r="H111"/>
      <c r="I111"/>
      <c r="J111"/>
      <c r="K111"/>
      <c r="L111"/>
    </row>
    <row r="112" spans="1:12" ht="15">
      <c r="A112" s="43">
        <v>41000</v>
      </c>
      <c r="B112" s="44">
        <v>129.1</v>
      </c>
      <c r="D112" s="27" t="s">
        <v>125</v>
      </c>
      <c r="E112" s="27">
        <v>0.61578409163217229</v>
      </c>
      <c r="F112"/>
      <c r="G112"/>
      <c r="H112"/>
      <c r="I112"/>
      <c r="J112"/>
      <c r="K112"/>
      <c r="L112"/>
    </row>
    <row r="113" spans="1:12" ht="15">
      <c r="A113" s="43">
        <v>41030</v>
      </c>
      <c r="B113" s="44">
        <v>131.30000000000001</v>
      </c>
      <c r="D113" s="27" t="s">
        <v>126</v>
      </c>
      <c r="E113" s="27">
        <v>0.3791900475072596</v>
      </c>
      <c r="F113"/>
      <c r="G113"/>
      <c r="H113"/>
      <c r="I113"/>
      <c r="J113"/>
      <c r="K113"/>
      <c r="L113"/>
    </row>
    <row r="114" spans="1:12" ht="15">
      <c r="A114" s="43">
        <v>41061</v>
      </c>
      <c r="B114" s="44">
        <v>135.30000000000001</v>
      </c>
      <c r="D114" s="27" t="s">
        <v>127</v>
      </c>
      <c r="E114" s="27">
        <v>0.32275277909882866</v>
      </c>
      <c r="F114"/>
      <c r="G114"/>
      <c r="H114"/>
      <c r="I114"/>
      <c r="J114"/>
      <c r="K114"/>
      <c r="L114"/>
    </row>
    <row r="115" spans="1:12" ht="15">
      <c r="A115" s="43">
        <v>41091</v>
      </c>
      <c r="B115" s="44">
        <v>146.80000000000001</v>
      </c>
      <c r="D115" s="27" t="s">
        <v>128</v>
      </c>
      <c r="E115" s="27">
        <v>11.912511937892894</v>
      </c>
      <c r="F115"/>
      <c r="G115"/>
      <c r="H115"/>
      <c r="I115"/>
      <c r="J115"/>
      <c r="K115"/>
      <c r="L115"/>
    </row>
    <row r="116" spans="1:12" ht="15.75" thickBot="1">
      <c r="A116" s="43">
        <v>41122</v>
      </c>
      <c r="B116" s="44">
        <v>150.9</v>
      </c>
      <c r="D116" s="28" t="s">
        <v>129</v>
      </c>
      <c r="E116" s="28">
        <v>13</v>
      </c>
      <c r="F116"/>
      <c r="G116"/>
      <c r="H116"/>
      <c r="I116"/>
      <c r="J116"/>
      <c r="K116"/>
      <c r="L116"/>
    </row>
    <row r="117" spans="1:12" ht="15">
      <c r="A117" s="43">
        <v>41153</v>
      </c>
      <c r="B117" s="44">
        <v>142</v>
      </c>
      <c r="D117"/>
      <c r="E117"/>
      <c r="F117"/>
      <c r="G117"/>
      <c r="H117"/>
      <c r="I117"/>
      <c r="J117"/>
      <c r="K117"/>
      <c r="L117"/>
    </row>
    <row r="118" spans="1:12" ht="15.75" thickBot="1">
      <c r="A118" s="43">
        <v>41183</v>
      </c>
      <c r="B118" s="44">
        <v>138.5</v>
      </c>
      <c r="D118" t="s">
        <v>130</v>
      </c>
      <c r="E118"/>
      <c r="F118"/>
      <c r="G118"/>
      <c r="H118"/>
      <c r="I118"/>
      <c r="J118"/>
      <c r="K118"/>
      <c r="L118"/>
    </row>
    <row r="119" spans="1:12" ht="15">
      <c r="A119" s="43">
        <v>41214</v>
      </c>
      <c r="B119" s="44">
        <v>140.6</v>
      </c>
      <c r="D119" s="48"/>
      <c r="E119" s="48" t="s">
        <v>131</v>
      </c>
      <c r="F119" s="48" t="s">
        <v>132</v>
      </c>
      <c r="G119" s="48" t="s">
        <v>133</v>
      </c>
      <c r="H119" s="48" t="s">
        <v>134</v>
      </c>
      <c r="I119" s="48" t="s">
        <v>135</v>
      </c>
      <c r="J119"/>
      <c r="K119"/>
      <c r="L119"/>
    </row>
    <row r="120" spans="1:12" ht="15">
      <c r="A120" s="43">
        <v>41244</v>
      </c>
      <c r="B120" s="44">
        <v>139.6</v>
      </c>
      <c r="D120" s="27" t="s">
        <v>136</v>
      </c>
      <c r="E120" s="27">
        <v>1</v>
      </c>
      <c r="F120" s="27">
        <v>953.4493833943834</v>
      </c>
      <c r="G120" s="27">
        <v>953.4493833943834</v>
      </c>
      <c r="H120" s="27">
        <v>6.7187881022713336</v>
      </c>
      <c r="I120" s="27">
        <v>2.5045956691925775E-2</v>
      </c>
      <c r="J120"/>
      <c r="K120"/>
      <c r="L120"/>
    </row>
    <row r="121" spans="1:12" ht="15">
      <c r="A121" s="43">
        <v>41275</v>
      </c>
      <c r="B121" s="44">
        <v>140.9</v>
      </c>
      <c r="D121" s="27" t="s">
        <v>137</v>
      </c>
      <c r="E121" s="27">
        <v>11</v>
      </c>
      <c r="F121" s="27">
        <v>1560.987347374848</v>
      </c>
      <c r="G121" s="27">
        <v>141.90794067044072</v>
      </c>
      <c r="H121" s="27"/>
      <c r="I121" s="27"/>
      <c r="J121"/>
      <c r="K121"/>
      <c r="L121"/>
    </row>
    <row r="122" spans="1:12" ht="15.75" thickBot="1">
      <c r="A122" s="43">
        <v>41306</v>
      </c>
      <c r="B122" s="44">
        <v>143.19999999999999</v>
      </c>
      <c r="D122" s="28" t="s">
        <v>138</v>
      </c>
      <c r="E122" s="28">
        <v>12</v>
      </c>
      <c r="F122" s="28">
        <v>2514.4367307692314</v>
      </c>
      <c r="G122" s="28"/>
      <c r="H122" s="28"/>
      <c r="I122" s="28"/>
      <c r="J122"/>
      <c r="K122"/>
      <c r="L122"/>
    </row>
    <row r="123" spans="1:12" ht="15.75" thickBot="1">
      <c r="A123" s="43">
        <v>41334</v>
      </c>
      <c r="B123" s="44">
        <v>143.69999999999999</v>
      </c>
      <c r="D123"/>
      <c r="E123"/>
      <c r="F123"/>
      <c r="G123"/>
      <c r="H123"/>
      <c r="I123"/>
      <c r="J123"/>
      <c r="K123"/>
      <c r="L123"/>
    </row>
    <row r="124" spans="1:12" ht="15">
      <c r="A124" s="43">
        <v>41365</v>
      </c>
      <c r="B124" s="44">
        <v>144.6</v>
      </c>
      <c r="D124" s="48"/>
      <c r="E124" s="48" t="s">
        <v>139</v>
      </c>
      <c r="F124" s="48" t="s">
        <v>128</v>
      </c>
      <c r="G124" s="48" t="s">
        <v>140</v>
      </c>
      <c r="H124" s="48" t="s">
        <v>141</v>
      </c>
      <c r="I124" s="48" t="s">
        <v>142</v>
      </c>
      <c r="J124" s="48" t="s">
        <v>143</v>
      </c>
      <c r="K124" s="48" t="s">
        <v>144</v>
      </c>
      <c r="L124" s="48" t="s">
        <v>145</v>
      </c>
    </row>
    <row r="125" spans="1:12" ht="15">
      <c r="A125" s="43">
        <v>41395</v>
      </c>
      <c r="B125" s="44">
        <v>147.1</v>
      </c>
      <c r="D125" s="27" t="s">
        <v>146</v>
      </c>
      <c r="E125" s="27">
        <v>-4461.5516483516494</v>
      </c>
      <c r="F125" s="27">
        <v>1774.8614832406788</v>
      </c>
      <c r="G125" s="27">
        <v>-2.5137463911862037</v>
      </c>
      <c r="H125" s="27">
        <v>2.8793997113725118E-2</v>
      </c>
      <c r="I125" s="27">
        <v>-8367.9954341826178</v>
      </c>
      <c r="J125" s="27">
        <v>-555.10786252068146</v>
      </c>
      <c r="K125" s="27">
        <v>-8367.9954341826178</v>
      </c>
      <c r="L125" s="27">
        <v>-555.10786252068146</v>
      </c>
    </row>
    <row r="126" spans="1:12" ht="15.75" thickBot="1">
      <c r="A126" s="43">
        <v>41426</v>
      </c>
      <c r="B126" s="44">
        <v>148.4</v>
      </c>
      <c r="D126" s="28" t="s">
        <v>155</v>
      </c>
      <c r="E126" s="28">
        <v>2.2888278388278396</v>
      </c>
      <c r="F126" s="28">
        <v>0.88301413336803181</v>
      </c>
      <c r="G126" s="28">
        <v>2.5920625189742892</v>
      </c>
      <c r="H126" s="28">
        <v>2.504595669192575E-2</v>
      </c>
      <c r="I126" s="28">
        <v>0.34532683513362272</v>
      </c>
      <c r="J126" s="28">
        <v>4.2323288425220564</v>
      </c>
      <c r="K126" s="28">
        <v>0.34532683513362272</v>
      </c>
      <c r="L126" s="28">
        <v>4.2323288425220564</v>
      </c>
    </row>
    <row r="127" spans="1:12" ht="15">
      <c r="A127" s="43">
        <v>41456</v>
      </c>
      <c r="B127" s="44">
        <v>154.30000000000001</v>
      </c>
      <c r="D127"/>
      <c r="E127"/>
      <c r="F127"/>
      <c r="G127"/>
      <c r="H127"/>
      <c r="I127"/>
      <c r="J127"/>
      <c r="K127"/>
      <c r="L127"/>
    </row>
    <row r="128" spans="1:12" ht="15">
      <c r="A128" s="43">
        <v>41487</v>
      </c>
      <c r="B128" s="44">
        <v>153.6</v>
      </c>
      <c r="D128"/>
      <c r="E128"/>
      <c r="F128"/>
      <c r="G128"/>
      <c r="H128"/>
      <c r="I128"/>
      <c r="J128"/>
      <c r="K128"/>
      <c r="L128"/>
    </row>
    <row r="129" spans="1:12" ht="15">
      <c r="A129" s="43">
        <v>41518</v>
      </c>
      <c r="B129" s="44">
        <v>151.30000000000001</v>
      </c>
      <c r="D129"/>
      <c r="E129"/>
      <c r="F129"/>
      <c r="G129"/>
      <c r="H129"/>
      <c r="I129"/>
      <c r="J129"/>
      <c r="K129"/>
      <c r="L129"/>
    </row>
    <row r="130" spans="1:12">
      <c r="A130" s="43">
        <v>41548</v>
      </c>
      <c r="B130" s="44">
        <v>145.6</v>
      </c>
    </row>
    <row r="131" spans="1:12">
      <c r="A131" s="43">
        <v>41579</v>
      </c>
      <c r="B131" s="44">
        <v>143</v>
      </c>
    </row>
    <row r="132" spans="1:12">
      <c r="A132" s="43">
        <v>41609</v>
      </c>
      <c r="B132" s="44">
        <v>149.30000000000001</v>
      </c>
    </row>
    <row r="133" spans="1:12">
      <c r="A133" s="43">
        <v>41640</v>
      </c>
      <c r="B133" s="44">
        <v>159.30000000000001</v>
      </c>
    </row>
    <row r="134" spans="1:12">
      <c r="A134" s="43">
        <v>41671</v>
      </c>
      <c r="B134" s="44">
        <v>181.6</v>
      </c>
    </row>
    <row r="135" spans="1:12">
      <c r="A135" s="43">
        <v>41699</v>
      </c>
      <c r="B135" s="44">
        <v>166.1</v>
      </c>
    </row>
    <row r="136" spans="1:12">
      <c r="A136" s="43">
        <v>41730</v>
      </c>
      <c r="B136" s="44">
        <v>156</v>
      </c>
    </row>
    <row r="137" spans="1:12">
      <c r="A137" s="43">
        <v>41760</v>
      </c>
      <c r="B137" s="44">
        <v>154.1</v>
      </c>
    </row>
    <row r="138" spans="1:12">
      <c r="A138" s="43">
        <v>41791</v>
      </c>
      <c r="B138" s="44">
        <v>159.1</v>
      </c>
    </row>
    <row r="139" spans="1:12">
      <c r="A139" s="43">
        <v>41821</v>
      </c>
      <c r="B139" s="44">
        <v>161.5</v>
      </c>
    </row>
    <row r="140" spans="1:12">
      <c r="A140" s="43">
        <v>41852</v>
      </c>
      <c r="B140" s="44">
        <v>161.5</v>
      </c>
    </row>
    <row r="141" spans="1:12">
      <c r="A141" s="43">
        <v>41883</v>
      </c>
      <c r="B141" s="44">
        <v>159.5</v>
      </c>
    </row>
    <row r="142" spans="1:12">
      <c r="A142" s="43">
        <v>41913</v>
      </c>
      <c r="B142" s="44">
        <v>151.69999999999999</v>
      </c>
    </row>
    <row r="143" spans="1:12">
      <c r="A143" s="43">
        <v>41944</v>
      </c>
      <c r="B143" s="44">
        <v>151.19999999999999</v>
      </c>
    </row>
    <row r="144" spans="1:12">
      <c r="A144" s="43">
        <v>41974</v>
      </c>
      <c r="B144" s="44">
        <v>150</v>
      </c>
    </row>
    <row r="145" spans="1:2">
      <c r="A145" s="43">
        <v>42005</v>
      </c>
      <c r="B145" s="44">
        <v>144.5</v>
      </c>
    </row>
    <row r="146" spans="1:2">
      <c r="A146" s="43">
        <v>42036</v>
      </c>
      <c r="B146" s="44">
        <v>139.9</v>
      </c>
    </row>
    <row r="147" spans="1:2">
      <c r="A147" s="43">
        <v>42064</v>
      </c>
      <c r="B147" s="44">
        <v>142.9</v>
      </c>
    </row>
    <row r="148" spans="1:2">
      <c r="A148" s="43">
        <v>42095</v>
      </c>
      <c r="B148" s="44">
        <v>138.19999999999999</v>
      </c>
    </row>
    <row r="149" spans="1:2">
      <c r="A149" s="43">
        <v>42125</v>
      </c>
      <c r="B149" s="44">
        <v>137.30000000000001</v>
      </c>
    </row>
    <row r="150" spans="1:2">
      <c r="A150" s="43">
        <v>42156</v>
      </c>
      <c r="B150" s="44">
        <v>143.6</v>
      </c>
    </row>
    <row r="151" spans="1:2">
      <c r="A151" s="43">
        <v>42186</v>
      </c>
      <c r="B151" s="44">
        <v>150.69999999999999</v>
      </c>
    </row>
    <row r="152" spans="1:2">
      <c r="A152" s="43">
        <v>42217</v>
      </c>
      <c r="B152" s="44">
        <v>152.69999999999999</v>
      </c>
    </row>
    <row r="153" spans="1:2">
      <c r="A153" s="43">
        <v>42248</v>
      </c>
      <c r="B153" s="44">
        <v>149.6</v>
      </c>
    </row>
    <row r="154" spans="1:2">
      <c r="A154" s="43">
        <v>42278</v>
      </c>
      <c r="B154" s="44">
        <v>139.4</v>
      </c>
    </row>
    <row r="155" spans="1:2">
      <c r="A155" s="43">
        <v>42309</v>
      </c>
      <c r="B155" s="44">
        <v>134.6</v>
      </c>
    </row>
    <row r="156" spans="1:2">
      <c r="A156" s="43">
        <v>42339</v>
      </c>
      <c r="B156" s="44">
        <v>133.6</v>
      </c>
    </row>
    <row r="157" spans="1:2">
      <c r="A157" s="43">
        <v>42370</v>
      </c>
      <c r="B157" s="44">
        <v>131.6</v>
      </c>
    </row>
    <row r="158" spans="1:2">
      <c r="A158" s="43">
        <v>42401</v>
      </c>
      <c r="B158" s="44">
        <v>130.6</v>
      </c>
    </row>
    <row r="159" spans="1:2">
      <c r="A159" s="43">
        <v>42430</v>
      </c>
      <c r="B159" s="44">
        <v>123.7</v>
      </c>
    </row>
    <row r="160" spans="1:2">
      <c r="A160" s="43">
        <v>42461</v>
      </c>
      <c r="B160" s="44">
        <v>128.6</v>
      </c>
    </row>
    <row r="161" spans="1:2">
      <c r="A161" s="43">
        <v>42491</v>
      </c>
      <c r="B161" s="44">
        <v>127.8</v>
      </c>
    </row>
    <row r="162" spans="1:2">
      <c r="A162" s="43">
        <v>42522</v>
      </c>
      <c r="B162" s="44">
        <v>134.5</v>
      </c>
    </row>
    <row r="163" spans="1:2">
      <c r="A163" s="43">
        <v>42552</v>
      </c>
      <c r="B163" s="44">
        <v>140.19999999999999</v>
      </c>
    </row>
    <row r="164" spans="1:2">
      <c r="A164" s="43">
        <v>42583</v>
      </c>
      <c r="B164" s="44">
        <v>145.69999999999999</v>
      </c>
    </row>
    <row r="165" spans="1:2">
      <c r="A165" s="43">
        <v>42614</v>
      </c>
      <c r="B165" s="44">
        <v>142.5</v>
      </c>
    </row>
    <row r="166" spans="1:2">
      <c r="A166" s="43">
        <v>42644</v>
      </c>
      <c r="B166" s="44">
        <v>138.19999999999999</v>
      </c>
    </row>
    <row r="167" spans="1:2">
      <c r="A167" s="43">
        <v>42675</v>
      </c>
      <c r="B167" s="44">
        <v>131.9</v>
      </c>
    </row>
    <row r="168" spans="1:2">
      <c r="A168" s="43">
        <v>42705</v>
      </c>
      <c r="B168" s="44">
        <v>138.4</v>
      </c>
    </row>
    <row r="169" spans="1:2">
      <c r="A169" s="43">
        <v>42736</v>
      </c>
      <c r="B169" s="44">
        <v>141.80000000000001</v>
      </c>
    </row>
    <row r="170" spans="1:2">
      <c r="A170" s="43">
        <v>42767</v>
      </c>
      <c r="B170" s="44">
        <v>136.1</v>
      </c>
    </row>
    <row r="171" spans="1:2">
      <c r="A171" s="43">
        <v>42795</v>
      </c>
      <c r="B171" s="44">
        <v>139.9</v>
      </c>
    </row>
    <row r="172" spans="1:2">
      <c r="A172" s="43">
        <v>42826</v>
      </c>
      <c r="B172" s="44">
        <v>141.1</v>
      </c>
    </row>
    <row r="173" spans="1:2">
      <c r="A173" s="43">
        <v>42856</v>
      </c>
      <c r="B173" s="44">
        <v>140.6</v>
      </c>
    </row>
    <row r="174" spans="1:2">
      <c r="A174" s="43">
        <v>42887</v>
      </c>
      <c r="B174" s="44">
        <v>141</v>
      </c>
    </row>
    <row r="175" spans="1:2">
      <c r="A175" s="43">
        <v>42917</v>
      </c>
      <c r="B175" s="44">
        <v>145.69999999999999</v>
      </c>
    </row>
    <row r="176" spans="1:2">
      <c r="A176" s="43">
        <v>42948</v>
      </c>
      <c r="B176" s="44">
        <v>144.1</v>
      </c>
    </row>
  </sheetData>
  <mergeCells count="1">
    <mergeCell ref="D43:E43"/>
  </mergeCells>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7"/>
  <sheetViews>
    <sheetView workbookViewId="0">
      <selection activeCell="F23" sqref="F23"/>
    </sheetView>
  </sheetViews>
  <sheetFormatPr defaultColWidth="20.7109375" defaultRowHeight="12.75"/>
  <cols>
    <col min="1" max="1" width="20.7109375" style="42" customWidth="1"/>
    <col min="2" max="16384" width="20.7109375" style="42"/>
  </cols>
  <sheetData>
    <row r="1" spans="1:3">
      <c r="A1" s="42" t="s">
        <v>196</v>
      </c>
    </row>
    <row r="2" spans="1:3">
      <c r="A2" s="42" t="s">
        <v>197</v>
      </c>
      <c r="C2" s="206" t="s">
        <v>352</v>
      </c>
    </row>
    <row r="3" spans="1:3">
      <c r="A3" s="42" t="s">
        <v>198</v>
      </c>
    </row>
    <row r="4" spans="1:3">
      <c r="A4" s="42" t="s">
        <v>199</v>
      </c>
    </row>
    <row r="5" spans="1:3">
      <c r="A5" s="42" t="s">
        <v>200</v>
      </c>
    </row>
    <row r="6" spans="1:3">
      <c r="A6" s="42" t="s">
        <v>201</v>
      </c>
    </row>
    <row r="8" spans="1:3">
      <c r="A8" s="42" t="s">
        <v>235</v>
      </c>
      <c r="B8" s="42" t="s">
        <v>236</v>
      </c>
    </row>
    <row r="10" spans="1:3">
      <c r="A10" s="42" t="s">
        <v>224</v>
      </c>
    </row>
    <row r="11" spans="1:3">
      <c r="A11" s="42" t="s">
        <v>205</v>
      </c>
      <c r="B11" s="42" t="s">
        <v>235</v>
      </c>
    </row>
    <row r="12" spans="1:3">
      <c r="A12" s="43">
        <v>37956</v>
      </c>
      <c r="B12" s="44">
        <v>100</v>
      </c>
    </row>
    <row r="13" spans="1:3">
      <c r="A13" s="43">
        <v>37987</v>
      </c>
      <c r="B13" s="44">
        <v>103.9</v>
      </c>
    </row>
    <row r="14" spans="1:3">
      <c r="A14" s="43">
        <v>38018</v>
      </c>
      <c r="B14" s="44">
        <v>104.8</v>
      </c>
    </row>
    <row r="15" spans="1:3">
      <c r="A15" s="43">
        <v>38047</v>
      </c>
      <c r="B15" s="44">
        <v>102.4</v>
      </c>
    </row>
    <row r="16" spans="1:3">
      <c r="A16" s="43">
        <v>38078</v>
      </c>
      <c r="B16" s="44">
        <v>103.1</v>
      </c>
    </row>
    <row r="17" spans="1:2">
      <c r="A17" s="43">
        <v>38108</v>
      </c>
      <c r="B17" s="44">
        <v>104.6</v>
      </c>
    </row>
    <row r="18" spans="1:2">
      <c r="A18" s="43">
        <v>38139</v>
      </c>
      <c r="B18" s="44">
        <v>108.7</v>
      </c>
    </row>
    <row r="19" spans="1:2">
      <c r="A19" s="43">
        <v>38169</v>
      </c>
      <c r="B19" s="44">
        <v>108.2</v>
      </c>
    </row>
    <row r="20" spans="1:2">
      <c r="A20" s="43">
        <v>38200</v>
      </c>
      <c r="B20" s="44">
        <v>107.9</v>
      </c>
    </row>
    <row r="21" spans="1:2">
      <c r="A21" s="43">
        <v>38231</v>
      </c>
      <c r="B21" s="44">
        <v>104.4</v>
      </c>
    </row>
    <row r="22" spans="1:2">
      <c r="A22" s="43">
        <v>38261</v>
      </c>
      <c r="B22" s="44">
        <v>106.5</v>
      </c>
    </row>
    <row r="23" spans="1:2">
      <c r="A23" s="43">
        <v>38292</v>
      </c>
      <c r="B23" s="44">
        <v>116.5</v>
      </c>
    </row>
    <row r="24" spans="1:2">
      <c r="A24" s="43">
        <v>38322</v>
      </c>
      <c r="B24" s="44">
        <v>116.1</v>
      </c>
    </row>
    <row r="25" spans="1:2">
      <c r="A25" s="43">
        <v>38353</v>
      </c>
      <c r="B25" s="44">
        <v>114.2</v>
      </c>
    </row>
    <row r="26" spans="1:2">
      <c r="A26" s="43">
        <v>38384</v>
      </c>
      <c r="B26" s="44">
        <v>113</v>
      </c>
    </row>
    <row r="27" spans="1:2">
      <c r="A27" s="43">
        <v>38412</v>
      </c>
      <c r="B27" s="44">
        <v>112.8</v>
      </c>
    </row>
    <row r="28" spans="1:2">
      <c r="A28" s="43">
        <v>38443</v>
      </c>
      <c r="B28" s="44">
        <v>118.6</v>
      </c>
    </row>
    <row r="29" spans="1:2">
      <c r="A29" s="43">
        <v>38473</v>
      </c>
      <c r="B29" s="44">
        <v>117.4</v>
      </c>
    </row>
    <row r="30" spans="1:2">
      <c r="A30" s="43">
        <v>38504</v>
      </c>
      <c r="B30" s="44">
        <v>114.9</v>
      </c>
    </row>
    <row r="31" spans="1:2">
      <c r="A31" s="43">
        <v>38534</v>
      </c>
      <c r="B31" s="44">
        <v>119.2</v>
      </c>
    </row>
    <row r="32" spans="1:2">
      <c r="A32" s="43">
        <v>38565</v>
      </c>
      <c r="B32" s="44">
        <v>121.5</v>
      </c>
    </row>
    <row r="33" spans="1:2">
      <c r="A33" s="43">
        <v>38596</v>
      </c>
      <c r="B33" s="44">
        <v>135.1</v>
      </c>
    </row>
    <row r="34" spans="1:2">
      <c r="A34" s="43">
        <v>38626</v>
      </c>
      <c r="B34" s="44">
        <v>151.69999999999999</v>
      </c>
    </row>
    <row r="35" spans="1:2">
      <c r="A35" s="43">
        <v>38657</v>
      </c>
      <c r="B35" s="44">
        <v>153.6</v>
      </c>
    </row>
    <row r="36" spans="1:2">
      <c r="A36" s="43">
        <v>38687</v>
      </c>
      <c r="B36" s="44">
        <v>146.80000000000001</v>
      </c>
    </row>
    <row r="37" spans="1:2">
      <c r="A37" s="43">
        <v>38718</v>
      </c>
      <c r="B37" s="44">
        <v>151</v>
      </c>
    </row>
    <row r="38" spans="1:2">
      <c r="A38" s="43">
        <v>38749</v>
      </c>
      <c r="B38" s="44">
        <v>140.5</v>
      </c>
    </row>
    <row r="39" spans="1:2">
      <c r="A39" s="43">
        <v>38777</v>
      </c>
      <c r="B39" s="44">
        <v>133.5</v>
      </c>
    </row>
    <row r="40" spans="1:2">
      <c r="A40" s="43">
        <v>38808</v>
      </c>
      <c r="B40" s="44">
        <v>129.6</v>
      </c>
    </row>
    <row r="41" spans="1:2">
      <c r="A41" s="43">
        <v>38838</v>
      </c>
      <c r="B41" s="44">
        <v>127.7</v>
      </c>
    </row>
    <row r="42" spans="1:2">
      <c r="A42" s="43">
        <v>38869</v>
      </c>
      <c r="B42" s="44">
        <v>122</v>
      </c>
    </row>
    <row r="43" spans="1:2">
      <c r="A43" s="43">
        <v>38899</v>
      </c>
      <c r="B43" s="44">
        <v>122.5</v>
      </c>
    </row>
    <row r="44" spans="1:2">
      <c r="A44" s="43">
        <v>38930</v>
      </c>
      <c r="B44" s="44">
        <v>125.2</v>
      </c>
    </row>
    <row r="45" spans="1:2">
      <c r="A45" s="43">
        <v>38961</v>
      </c>
      <c r="B45" s="44">
        <v>125.6</v>
      </c>
    </row>
    <row r="46" spans="1:2">
      <c r="A46" s="43">
        <v>38991</v>
      </c>
      <c r="B46" s="44">
        <v>115.3</v>
      </c>
    </row>
    <row r="47" spans="1:2">
      <c r="A47" s="43">
        <v>39022</v>
      </c>
      <c r="B47" s="44">
        <v>127.9</v>
      </c>
    </row>
    <row r="48" spans="1:2">
      <c r="A48" s="43">
        <v>39052</v>
      </c>
      <c r="B48" s="44">
        <v>131.30000000000001</v>
      </c>
    </row>
    <row r="49" spans="1:2">
      <c r="A49" s="43">
        <v>39083</v>
      </c>
      <c r="B49" s="44">
        <v>127.7</v>
      </c>
    </row>
    <row r="50" spans="1:2">
      <c r="A50" s="43">
        <v>39114</v>
      </c>
      <c r="B50" s="44">
        <v>128.1</v>
      </c>
    </row>
    <row r="51" spans="1:2">
      <c r="A51" s="43">
        <v>39142</v>
      </c>
      <c r="B51" s="44">
        <v>131.19999999999999</v>
      </c>
    </row>
    <row r="52" spans="1:2">
      <c r="A52" s="43">
        <v>39173</v>
      </c>
      <c r="B52" s="44">
        <v>130.1</v>
      </c>
    </row>
    <row r="53" spans="1:2">
      <c r="A53" s="43">
        <v>39203</v>
      </c>
      <c r="B53" s="44">
        <v>130.19999999999999</v>
      </c>
    </row>
    <row r="54" spans="1:2">
      <c r="A54" s="43">
        <v>39234</v>
      </c>
      <c r="B54" s="44">
        <v>133</v>
      </c>
    </row>
    <row r="55" spans="1:2">
      <c r="A55" s="43">
        <v>39264</v>
      </c>
      <c r="B55" s="44">
        <v>133.19999999999999</v>
      </c>
    </row>
    <row r="56" spans="1:2">
      <c r="A56" s="43">
        <v>39295</v>
      </c>
      <c r="B56" s="44">
        <v>125.9</v>
      </c>
    </row>
    <row r="57" spans="1:2">
      <c r="A57" s="43">
        <v>39326</v>
      </c>
      <c r="B57" s="44">
        <v>125.8</v>
      </c>
    </row>
    <row r="58" spans="1:2">
      <c r="A58" s="43">
        <v>39356</v>
      </c>
      <c r="B58" s="44">
        <v>124.8</v>
      </c>
    </row>
    <row r="59" spans="1:2">
      <c r="A59" s="43">
        <v>39387</v>
      </c>
      <c r="B59" s="44">
        <v>128.5</v>
      </c>
    </row>
    <row r="60" spans="1:2">
      <c r="A60" s="43">
        <v>39417</v>
      </c>
      <c r="B60" s="44">
        <v>129.4</v>
      </c>
    </row>
    <row r="61" spans="1:2">
      <c r="A61" s="43">
        <v>39448</v>
      </c>
      <c r="B61" s="44">
        <v>128.80000000000001</v>
      </c>
    </row>
    <row r="62" spans="1:2">
      <c r="A62" s="43">
        <v>39479</v>
      </c>
      <c r="B62" s="44">
        <v>132.19999999999999</v>
      </c>
    </row>
    <row r="63" spans="1:2">
      <c r="A63" s="43">
        <v>39508</v>
      </c>
      <c r="B63" s="44">
        <v>137.1</v>
      </c>
    </row>
    <row r="64" spans="1:2">
      <c r="A64" s="43">
        <v>39539</v>
      </c>
      <c r="B64" s="44">
        <v>141.69999999999999</v>
      </c>
    </row>
    <row r="65" spans="1:2">
      <c r="A65" s="43">
        <v>39569</v>
      </c>
      <c r="B65" s="44">
        <v>148.80000000000001</v>
      </c>
    </row>
    <row r="66" spans="1:2">
      <c r="A66" s="43">
        <v>39600</v>
      </c>
      <c r="B66" s="44">
        <v>154.30000000000001</v>
      </c>
    </row>
    <row r="67" spans="1:2">
      <c r="A67" s="43">
        <v>39630</v>
      </c>
      <c r="B67" s="44">
        <v>165.7</v>
      </c>
    </row>
    <row r="68" spans="1:2">
      <c r="A68" s="43">
        <v>39661</v>
      </c>
      <c r="B68" s="44">
        <v>154.1</v>
      </c>
    </row>
    <row r="69" spans="1:2">
      <c r="A69" s="43">
        <v>39692</v>
      </c>
      <c r="B69" s="44">
        <v>145.5</v>
      </c>
    </row>
    <row r="70" spans="1:2">
      <c r="A70" s="43">
        <v>39722</v>
      </c>
      <c r="B70" s="44">
        <v>136.19999999999999</v>
      </c>
    </row>
    <row r="71" spans="1:2">
      <c r="A71" s="43">
        <v>39753</v>
      </c>
      <c r="B71" s="44">
        <v>135.6</v>
      </c>
    </row>
    <row r="72" spans="1:2">
      <c r="A72" s="43">
        <v>39783</v>
      </c>
      <c r="B72" s="44">
        <v>135.5</v>
      </c>
    </row>
    <row r="73" spans="1:2">
      <c r="A73" s="43">
        <v>39814</v>
      </c>
      <c r="B73" s="44">
        <v>134.5</v>
      </c>
    </row>
    <row r="74" spans="1:2">
      <c r="A74" s="43">
        <v>39845</v>
      </c>
      <c r="B74" s="44">
        <v>128.5</v>
      </c>
    </row>
    <row r="75" spans="1:2">
      <c r="A75" s="43">
        <v>39873</v>
      </c>
      <c r="B75" s="44">
        <v>123.7</v>
      </c>
    </row>
    <row r="76" spans="1:2">
      <c r="A76" s="43">
        <v>39904</v>
      </c>
      <c r="B76" s="44">
        <v>117.9</v>
      </c>
    </row>
    <row r="77" spans="1:2">
      <c r="A77" s="43">
        <v>39934</v>
      </c>
      <c r="B77" s="44">
        <v>112.4</v>
      </c>
    </row>
    <row r="78" spans="1:2">
      <c r="A78" s="43">
        <v>39965</v>
      </c>
      <c r="B78" s="44">
        <v>111</v>
      </c>
    </row>
    <row r="79" spans="1:2">
      <c r="A79" s="43">
        <v>39995</v>
      </c>
      <c r="B79" s="44">
        <v>113.5</v>
      </c>
    </row>
    <row r="80" spans="1:2">
      <c r="A80" s="43">
        <v>40026</v>
      </c>
      <c r="B80" s="44">
        <v>113.8</v>
      </c>
    </row>
    <row r="81" spans="1:2">
      <c r="A81" s="43">
        <v>40057</v>
      </c>
      <c r="B81" s="44">
        <v>111.9</v>
      </c>
    </row>
    <row r="82" spans="1:2">
      <c r="A82" s="43">
        <v>40087</v>
      </c>
      <c r="B82" s="44">
        <v>113.5</v>
      </c>
    </row>
    <row r="83" spans="1:2">
      <c r="A83" s="43">
        <v>40118</v>
      </c>
      <c r="B83" s="44">
        <v>117.4</v>
      </c>
    </row>
    <row r="84" spans="1:2">
      <c r="A84" s="43">
        <v>40148</v>
      </c>
      <c r="B84" s="44">
        <v>117</v>
      </c>
    </row>
    <row r="85" spans="1:2">
      <c r="A85" s="43">
        <v>40179</v>
      </c>
      <c r="B85" s="44">
        <v>123</v>
      </c>
    </row>
    <row r="86" spans="1:2">
      <c r="A86" s="43">
        <v>40210</v>
      </c>
      <c r="B86" s="44">
        <v>123</v>
      </c>
    </row>
    <row r="87" spans="1:2">
      <c r="A87" s="43">
        <v>40238</v>
      </c>
      <c r="B87" s="44">
        <v>120.5</v>
      </c>
    </row>
    <row r="88" spans="1:2">
      <c r="A88" s="43">
        <v>40269</v>
      </c>
      <c r="B88" s="44">
        <v>117.1</v>
      </c>
    </row>
    <row r="89" spans="1:2">
      <c r="A89" s="43">
        <v>40299</v>
      </c>
      <c r="B89" s="44">
        <v>116.3</v>
      </c>
    </row>
    <row r="90" spans="1:2">
      <c r="A90" s="43">
        <v>40330</v>
      </c>
      <c r="B90" s="44">
        <v>117.6</v>
      </c>
    </row>
    <row r="91" spans="1:2">
      <c r="A91" s="43">
        <v>40360</v>
      </c>
      <c r="B91" s="44">
        <v>121.7</v>
      </c>
    </row>
    <row r="92" spans="1:2">
      <c r="A92" s="43">
        <v>40391</v>
      </c>
      <c r="B92" s="44">
        <v>122.1</v>
      </c>
    </row>
    <row r="93" spans="1:2">
      <c r="A93" s="43">
        <v>40422</v>
      </c>
      <c r="B93" s="44">
        <v>118.1</v>
      </c>
    </row>
    <row r="94" spans="1:2">
      <c r="A94" s="43">
        <v>40452</v>
      </c>
      <c r="B94" s="44">
        <v>116.5</v>
      </c>
    </row>
    <row r="95" spans="1:2">
      <c r="A95" s="43">
        <v>40483</v>
      </c>
      <c r="B95" s="44">
        <v>116.4</v>
      </c>
    </row>
    <row r="96" spans="1:2">
      <c r="A96" s="43">
        <v>40513</v>
      </c>
      <c r="B96" s="44">
        <v>118.4</v>
      </c>
    </row>
    <row r="97" spans="1:2">
      <c r="A97" s="43">
        <v>40544</v>
      </c>
      <c r="B97" s="44">
        <v>118.9</v>
      </c>
    </row>
    <row r="98" spans="1:2">
      <c r="A98" s="43">
        <v>40575</v>
      </c>
      <c r="B98" s="44">
        <v>119.5</v>
      </c>
    </row>
    <row r="99" spans="1:2">
      <c r="A99" s="43">
        <v>40603</v>
      </c>
      <c r="B99" s="44">
        <v>117.5</v>
      </c>
    </row>
    <row r="100" spans="1:2">
      <c r="A100" s="43">
        <v>40634</v>
      </c>
      <c r="B100" s="44">
        <v>117.6</v>
      </c>
    </row>
    <row r="101" spans="1:2">
      <c r="A101" s="43">
        <v>40664</v>
      </c>
      <c r="B101" s="44">
        <v>115.9</v>
      </c>
    </row>
    <row r="102" spans="1:2">
      <c r="A102" s="43">
        <v>40695</v>
      </c>
      <c r="B102" s="44">
        <v>118.4</v>
      </c>
    </row>
    <row r="103" spans="1:2">
      <c r="A103" s="43">
        <v>40725</v>
      </c>
      <c r="B103" s="44">
        <v>118.1</v>
      </c>
    </row>
    <row r="104" spans="1:2">
      <c r="A104" s="43">
        <v>40756</v>
      </c>
      <c r="B104" s="44">
        <v>117.2</v>
      </c>
    </row>
    <row r="105" spans="1:2">
      <c r="A105" s="43">
        <v>40787</v>
      </c>
      <c r="B105" s="44">
        <v>116.3</v>
      </c>
    </row>
    <row r="106" spans="1:2">
      <c r="A106" s="43">
        <v>40817</v>
      </c>
      <c r="B106" s="44">
        <v>114.2</v>
      </c>
    </row>
    <row r="107" spans="1:2">
      <c r="A107" s="43">
        <v>40848</v>
      </c>
      <c r="B107" s="44">
        <v>114.8</v>
      </c>
    </row>
    <row r="108" spans="1:2">
      <c r="A108" s="43">
        <v>40878</v>
      </c>
      <c r="B108" s="44">
        <v>114.1</v>
      </c>
    </row>
    <row r="109" spans="1:2">
      <c r="A109" s="43">
        <v>40909</v>
      </c>
      <c r="B109" s="44">
        <v>112.6</v>
      </c>
    </row>
    <row r="110" spans="1:2">
      <c r="A110" s="43">
        <v>40940</v>
      </c>
      <c r="B110" s="44">
        <v>110</v>
      </c>
    </row>
    <row r="111" spans="1:2">
      <c r="A111" s="43">
        <v>40969</v>
      </c>
      <c r="B111" s="44">
        <v>109.4</v>
      </c>
    </row>
    <row r="112" spans="1:2">
      <c r="A112" s="43">
        <v>41000</v>
      </c>
      <c r="B112" s="44">
        <v>105.1</v>
      </c>
    </row>
    <row r="113" spans="1:2">
      <c r="A113" s="43">
        <v>41030</v>
      </c>
      <c r="B113" s="44">
        <v>101.3</v>
      </c>
    </row>
    <row r="114" spans="1:2">
      <c r="A114" s="43">
        <v>41061</v>
      </c>
      <c r="B114" s="44">
        <v>104.2</v>
      </c>
    </row>
    <row r="115" spans="1:2">
      <c r="A115" s="43">
        <v>41091</v>
      </c>
      <c r="B115" s="44">
        <v>106</v>
      </c>
    </row>
    <row r="116" spans="1:2">
      <c r="A116" s="43">
        <v>41122</v>
      </c>
      <c r="B116" s="44">
        <v>107.1</v>
      </c>
    </row>
    <row r="117" spans="1:2">
      <c r="A117" s="43">
        <v>41153</v>
      </c>
      <c r="B117" s="44">
        <v>105.4</v>
      </c>
    </row>
    <row r="118" spans="1:2">
      <c r="A118" s="43">
        <v>41183</v>
      </c>
      <c r="B118" s="44">
        <v>106.8</v>
      </c>
    </row>
    <row r="119" spans="1:2">
      <c r="A119" s="43">
        <v>41214</v>
      </c>
      <c r="B119" s="44">
        <v>111.4</v>
      </c>
    </row>
    <row r="120" spans="1:2">
      <c r="A120" s="43">
        <v>41244</v>
      </c>
      <c r="B120" s="44">
        <v>112.7</v>
      </c>
    </row>
    <row r="121" spans="1:2">
      <c r="A121" s="43">
        <v>41275</v>
      </c>
      <c r="B121" s="44">
        <v>112.3</v>
      </c>
    </row>
    <row r="122" spans="1:2">
      <c r="A122" s="43">
        <v>41306</v>
      </c>
      <c r="B122" s="44">
        <v>112.5</v>
      </c>
    </row>
    <row r="123" spans="1:2">
      <c r="A123" s="43">
        <v>41334</v>
      </c>
      <c r="B123" s="44">
        <v>111.8</v>
      </c>
    </row>
    <row r="124" spans="1:2">
      <c r="A124" s="43">
        <v>41365</v>
      </c>
      <c r="B124" s="44">
        <v>115.8</v>
      </c>
    </row>
    <row r="125" spans="1:2">
      <c r="A125" s="43">
        <v>41395</v>
      </c>
      <c r="B125" s="44">
        <v>117.3</v>
      </c>
    </row>
    <row r="126" spans="1:2">
      <c r="A126" s="43">
        <v>41426</v>
      </c>
      <c r="B126" s="44">
        <v>117.4</v>
      </c>
    </row>
    <row r="127" spans="1:2">
      <c r="A127" s="43">
        <v>41456</v>
      </c>
      <c r="B127" s="44">
        <v>115.6</v>
      </c>
    </row>
    <row r="128" spans="1:2">
      <c r="A128" s="43">
        <v>41487</v>
      </c>
      <c r="B128" s="44">
        <v>113.2</v>
      </c>
    </row>
    <row r="129" spans="1:2">
      <c r="A129" s="43">
        <v>41518</v>
      </c>
      <c r="B129" s="44">
        <v>112.8</v>
      </c>
    </row>
    <row r="130" spans="1:2">
      <c r="A130" s="43">
        <v>41548</v>
      </c>
      <c r="B130" s="44">
        <v>113.7</v>
      </c>
    </row>
    <row r="131" spans="1:2">
      <c r="A131" s="43">
        <v>41579</v>
      </c>
      <c r="B131" s="44">
        <v>116.2</v>
      </c>
    </row>
    <row r="132" spans="1:2">
      <c r="A132" s="43">
        <v>41609</v>
      </c>
      <c r="B132" s="44">
        <v>116.8</v>
      </c>
    </row>
    <row r="133" spans="1:2">
      <c r="A133" s="43">
        <v>41640</v>
      </c>
      <c r="B133" s="44">
        <v>120.4</v>
      </c>
    </row>
    <row r="134" spans="1:2">
      <c r="A134" s="43">
        <v>41671</v>
      </c>
      <c r="B134" s="44">
        <v>126.3</v>
      </c>
    </row>
    <row r="135" spans="1:2">
      <c r="A135" s="43">
        <v>41699</v>
      </c>
      <c r="B135" s="44">
        <v>133.30000000000001</v>
      </c>
    </row>
    <row r="136" spans="1:2">
      <c r="A136" s="43">
        <v>41730</v>
      </c>
      <c r="B136" s="44">
        <v>130.1</v>
      </c>
    </row>
    <row r="137" spans="1:2">
      <c r="A137" s="43">
        <v>41760</v>
      </c>
      <c r="B137" s="44">
        <v>126.2</v>
      </c>
    </row>
    <row r="138" spans="1:2">
      <c r="A138" s="43">
        <v>41791</v>
      </c>
      <c r="B138" s="44">
        <v>124.1</v>
      </c>
    </row>
    <row r="139" spans="1:2">
      <c r="A139" s="43">
        <v>41821</v>
      </c>
      <c r="B139" s="44">
        <v>123.7</v>
      </c>
    </row>
    <row r="140" spans="1:2">
      <c r="A140" s="43">
        <v>41852</v>
      </c>
      <c r="B140" s="44">
        <v>119.3</v>
      </c>
    </row>
    <row r="141" spans="1:2">
      <c r="A141" s="43">
        <v>41883</v>
      </c>
      <c r="B141" s="44">
        <v>119</v>
      </c>
    </row>
    <row r="142" spans="1:2">
      <c r="A142" s="43">
        <v>41913</v>
      </c>
      <c r="B142" s="44">
        <v>118.6</v>
      </c>
    </row>
    <row r="143" spans="1:2">
      <c r="A143" s="43">
        <v>41944</v>
      </c>
      <c r="B143" s="44">
        <v>117.6</v>
      </c>
    </row>
    <row r="144" spans="1:2">
      <c r="A144" s="43">
        <v>41974</v>
      </c>
      <c r="B144" s="44">
        <v>121.5</v>
      </c>
    </row>
    <row r="145" spans="1:2">
      <c r="A145" s="43">
        <v>42005</v>
      </c>
      <c r="B145" s="44">
        <v>117.9</v>
      </c>
    </row>
    <row r="146" spans="1:2">
      <c r="A146" s="43">
        <v>42036</v>
      </c>
      <c r="B146" s="44">
        <v>114.8</v>
      </c>
    </row>
    <row r="147" spans="1:2">
      <c r="A147" s="43">
        <v>42064</v>
      </c>
      <c r="B147" s="44">
        <v>113.6</v>
      </c>
    </row>
    <row r="148" spans="1:2">
      <c r="A148" s="43">
        <v>42095</v>
      </c>
      <c r="B148" s="44">
        <v>109.3</v>
      </c>
    </row>
    <row r="149" spans="1:2">
      <c r="A149" s="43">
        <v>42125</v>
      </c>
      <c r="B149" s="44">
        <v>106.3</v>
      </c>
    </row>
    <row r="150" spans="1:2">
      <c r="A150" s="43">
        <v>42156</v>
      </c>
      <c r="B150" s="44">
        <v>109</v>
      </c>
    </row>
    <row r="151" spans="1:2">
      <c r="A151" s="43">
        <v>42186</v>
      </c>
      <c r="B151" s="44">
        <v>108.7</v>
      </c>
    </row>
    <row r="152" spans="1:2">
      <c r="A152" s="43">
        <v>42217</v>
      </c>
      <c r="B152" s="44">
        <v>109.1</v>
      </c>
    </row>
    <row r="153" spans="1:2">
      <c r="A153" s="43">
        <v>42248</v>
      </c>
      <c r="B153" s="44">
        <v>107.5</v>
      </c>
    </row>
    <row r="154" spans="1:2">
      <c r="A154" s="43">
        <v>42278</v>
      </c>
      <c r="B154" s="44">
        <v>107.8</v>
      </c>
    </row>
    <row r="155" spans="1:2">
      <c r="A155" s="43">
        <v>42309</v>
      </c>
      <c r="B155" s="44">
        <v>106.4</v>
      </c>
    </row>
    <row r="156" spans="1:2">
      <c r="A156" s="43">
        <v>42339</v>
      </c>
      <c r="B156" s="44">
        <v>106.8</v>
      </c>
    </row>
    <row r="157" spans="1:2">
      <c r="A157" s="43">
        <v>42370</v>
      </c>
      <c r="B157" s="44">
        <v>109.4</v>
      </c>
    </row>
    <row r="158" spans="1:2">
      <c r="A158" s="43">
        <v>42401</v>
      </c>
      <c r="B158" s="44">
        <v>107.1</v>
      </c>
    </row>
    <row r="159" spans="1:2">
      <c r="A159" s="43">
        <v>42430</v>
      </c>
      <c r="B159" s="44">
        <v>104.7</v>
      </c>
    </row>
    <row r="160" spans="1:2">
      <c r="A160" s="43">
        <v>42461</v>
      </c>
      <c r="B160" s="44">
        <v>104.5</v>
      </c>
    </row>
    <row r="161" spans="1:2">
      <c r="A161" s="43">
        <v>42491</v>
      </c>
      <c r="B161" s="44">
        <v>104.2</v>
      </c>
    </row>
    <row r="162" spans="1:2">
      <c r="A162" s="43">
        <v>42522</v>
      </c>
      <c r="B162" s="44">
        <v>104.7</v>
      </c>
    </row>
    <row r="163" spans="1:2">
      <c r="A163" s="43">
        <v>42552</v>
      </c>
      <c r="B163" s="44">
        <v>109.1</v>
      </c>
    </row>
    <row r="164" spans="1:2">
      <c r="A164" s="43">
        <v>42583</v>
      </c>
      <c r="B164" s="44">
        <v>111.1</v>
      </c>
    </row>
    <row r="165" spans="1:2">
      <c r="A165" s="43">
        <v>42614</v>
      </c>
      <c r="B165" s="44">
        <v>111.5</v>
      </c>
    </row>
    <row r="166" spans="1:2">
      <c r="A166" s="43">
        <v>42644</v>
      </c>
      <c r="B166" s="44">
        <v>112.9</v>
      </c>
    </row>
    <row r="167" spans="1:2">
      <c r="A167" s="43">
        <v>42675</v>
      </c>
      <c r="B167" s="44">
        <v>112.3</v>
      </c>
    </row>
    <row r="168" spans="1:2">
      <c r="A168" s="43">
        <v>42705</v>
      </c>
      <c r="B168" s="44">
        <v>114.4</v>
      </c>
    </row>
    <row r="169" spans="1:2">
      <c r="A169" s="43">
        <v>42736</v>
      </c>
      <c r="B169" s="44">
        <v>121.2</v>
      </c>
    </row>
    <row r="170" spans="1:2">
      <c r="A170" s="43">
        <v>42767</v>
      </c>
      <c r="B170" s="44">
        <v>118.4</v>
      </c>
    </row>
    <row r="171" spans="1:2">
      <c r="A171" s="43">
        <v>42795</v>
      </c>
      <c r="B171" s="44">
        <v>112.9</v>
      </c>
    </row>
    <row r="172" spans="1:2">
      <c r="A172" s="43">
        <v>42826</v>
      </c>
      <c r="B172" s="44">
        <v>116.6</v>
      </c>
    </row>
    <row r="173" spans="1:2">
      <c r="A173" s="43">
        <v>42856</v>
      </c>
      <c r="B173" s="44">
        <v>116.6</v>
      </c>
    </row>
    <row r="174" spans="1:2">
      <c r="A174" s="43">
        <v>42887</v>
      </c>
      <c r="B174" s="44">
        <v>118.6</v>
      </c>
    </row>
    <row r="175" spans="1:2">
      <c r="A175" s="43">
        <v>42917</v>
      </c>
      <c r="B175" s="44">
        <v>117.5</v>
      </c>
    </row>
    <row r="176" spans="1:2">
      <c r="A176" s="43">
        <v>42948</v>
      </c>
      <c r="B176" s="44">
        <v>115.4</v>
      </c>
    </row>
    <row r="177" spans="1:2">
      <c r="A177" s="43">
        <v>42979</v>
      </c>
      <c r="B177" s="44">
        <v>115</v>
      </c>
    </row>
  </sheetData>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4"/>
  <sheetViews>
    <sheetView topLeftCell="A77" workbookViewId="0">
      <selection activeCell="F97" sqref="F97"/>
    </sheetView>
  </sheetViews>
  <sheetFormatPr defaultRowHeight="15"/>
  <sheetData>
    <row r="1" spans="1:7" ht="20.25">
      <c r="A1" s="387"/>
      <c r="B1" s="387"/>
      <c r="C1" s="387"/>
      <c r="D1" s="387"/>
      <c r="E1" s="387"/>
      <c r="F1" s="387"/>
    </row>
    <row r="2" spans="1:7" ht="18.75">
      <c r="A2" s="50" t="s">
        <v>237</v>
      </c>
      <c r="B2" s="51"/>
      <c r="C2" s="51"/>
      <c r="D2" s="51"/>
      <c r="E2" s="51"/>
      <c r="F2" s="51"/>
    </row>
    <row r="3" spans="1:7" ht="15.75">
      <c r="A3" s="50" t="s">
        <v>238</v>
      </c>
      <c r="B3" s="50"/>
      <c r="C3" s="50"/>
      <c r="D3" s="50"/>
      <c r="E3" s="52"/>
      <c r="F3" s="50"/>
    </row>
    <row r="4" spans="1:7">
      <c r="A4" s="53" t="s">
        <v>239</v>
      </c>
      <c r="B4" s="54"/>
      <c r="C4" s="54"/>
      <c r="D4" s="54"/>
      <c r="E4" s="54"/>
      <c r="F4" s="55"/>
    </row>
    <row r="5" spans="1:7">
      <c r="A5" s="53"/>
      <c r="B5" s="54"/>
      <c r="C5" s="54"/>
      <c r="D5" s="54"/>
      <c r="E5" s="54"/>
      <c r="F5" s="56"/>
    </row>
    <row r="6" spans="1:7">
      <c r="A6" s="54"/>
      <c r="B6" s="54"/>
      <c r="C6" s="54"/>
      <c r="D6" s="54"/>
      <c r="E6" s="54"/>
      <c r="F6" s="55"/>
    </row>
    <row r="7" spans="1:7">
      <c r="A7" s="53" t="s">
        <v>240</v>
      </c>
      <c r="B7" s="54"/>
      <c r="C7" s="54"/>
      <c r="D7" s="54"/>
      <c r="E7" s="54"/>
      <c r="F7" s="57"/>
    </row>
    <row r="8" spans="1:7">
      <c r="A8" s="58" t="s">
        <v>6</v>
      </c>
      <c r="B8" s="54"/>
      <c r="C8" s="54"/>
      <c r="D8" s="54"/>
      <c r="E8" s="54"/>
      <c r="F8" s="59">
        <v>2016</v>
      </c>
      <c r="G8" s="59" t="s">
        <v>241</v>
      </c>
    </row>
    <row r="9" spans="1:7">
      <c r="A9" s="58" t="s">
        <v>7</v>
      </c>
      <c r="B9" s="54" t="s">
        <v>11</v>
      </c>
      <c r="C9" s="54"/>
      <c r="D9" s="54"/>
      <c r="E9" s="54"/>
      <c r="F9" s="57"/>
    </row>
    <row r="10" spans="1:7">
      <c r="A10" s="58">
        <v>1</v>
      </c>
      <c r="B10" s="54" t="s">
        <v>12</v>
      </c>
      <c r="C10" s="54"/>
      <c r="D10" s="54"/>
      <c r="E10" s="54"/>
      <c r="F10" s="60">
        <v>492413</v>
      </c>
    </row>
    <row r="11" spans="1:7">
      <c r="A11" s="58">
        <v>2</v>
      </c>
      <c r="B11" s="54" t="s">
        <v>13</v>
      </c>
      <c r="C11" s="54"/>
      <c r="D11" s="54"/>
      <c r="E11" s="54"/>
      <c r="F11" s="61">
        <v>546</v>
      </c>
    </row>
    <row r="12" spans="1:7">
      <c r="A12" s="58">
        <v>3</v>
      </c>
      <c r="B12" s="54" t="s">
        <v>14</v>
      </c>
      <c r="C12" s="54"/>
      <c r="D12" s="54"/>
      <c r="E12" s="54"/>
      <c r="F12" s="61">
        <v>137117</v>
      </c>
    </row>
    <row r="13" spans="1:7">
      <c r="A13" s="58">
        <v>4</v>
      </c>
      <c r="B13" s="54" t="s">
        <v>15</v>
      </c>
      <c r="C13" s="54"/>
      <c r="D13" s="54"/>
      <c r="E13" s="54"/>
      <c r="F13" s="62">
        <f>SUM(F10:F12)</f>
        <v>630076</v>
      </c>
    </row>
    <row r="14" spans="1:7">
      <c r="A14" s="58">
        <v>5</v>
      </c>
      <c r="B14" s="54" t="s">
        <v>16</v>
      </c>
      <c r="C14" s="54"/>
      <c r="D14" s="54"/>
      <c r="E14" s="54"/>
      <c r="F14" s="61">
        <v>13062</v>
      </c>
    </row>
    <row r="15" spans="1:7">
      <c r="A15" s="58">
        <v>6</v>
      </c>
      <c r="B15" s="54" t="s">
        <v>17</v>
      </c>
      <c r="C15" s="54"/>
      <c r="D15" s="54"/>
      <c r="E15" s="54"/>
      <c r="F15" s="62">
        <f>SUM(F13:F14)</f>
        <v>643138</v>
      </c>
    </row>
    <row r="16" spans="1:7">
      <c r="A16" s="58"/>
      <c r="B16" s="54"/>
      <c r="C16" s="54"/>
      <c r="D16" s="54"/>
      <c r="E16" s="54"/>
      <c r="F16" s="63"/>
    </row>
    <row r="17" spans="1:7">
      <c r="A17" s="58"/>
      <c r="B17" s="54" t="s">
        <v>18</v>
      </c>
      <c r="C17" s="54"/>
      <c r="D17" s="54"/>
      <c r="E17" s="54"/>
      <c r="F17" s="63"/>
    </row>
    <row r="18" spans="1:7">
      <c r="A18" s="58"/>
      <c r="B18" s="54" t="s">
        <v>19</v>
      </c>
      <c r="C18" s="54"/>
      <c r="D18" s="54"/>
      <c r="E18" s="54"/>
      <c r="F18" s="63"/>
    </row>
    <row r="19" spans="1:7">
      <c r="A19" s="58">
        <v>7</v>
      </c>
      <c r="B19" s="54"/>
      <c r="C19" s="54" t="s">
        <v>20</v>
      </c>
      <c r="D19" s="54"/>
      <c r="E19" s="54"/>
      <c r="F19" s="61">
        <v>78721</v>
      </c>
      <c r="G19" s="30">
        <f>F19/$F$24</f>
        <v>0.29578570838124008</v>
      </c>
    </row>
    <row r="20" spans="1:7">
      <c r="A20" s="58">
        <v>8</v>
      </c>
      <c r="B20" s="54"/>
      <c r="C20" s="54" t="s">
        <v>21</v>
      </c>
      <c r="D20" s="54"/>
      <c r="E20" s="54"/>
      <c r="F20" s="61">
        <v>181189</v>
      </c>
      <c r="G20" s="30">
        <f t="shared" ref="G20:G23" si="0">F20/$F$24</f>
        <v>0.68079822049883143</v>
      </c>
    </row>
    <row r="21" spans="1:7">
      <c r="A21" s="58">
        <v>9</v>
      </c>
      <c r="B21" s="54"/>
      <c r="C21" s="54" t="s">
        <v>22</v>
      </c>
      <c r="D21" s="54"/>
      <c r="E21" s="54"/>
      <c r="F21" s="61">
        <v>14850</v>
      </c>
      <c r="G21" s="30">
        <f t="shared" si="0"/>
        <v>5.579728115066393E-2</v>
      </c>
    </row>
    <row r="22" spans="1:7">
      <c r="A22" s="58">
        <v>10</v>
      </c>
      <c r="B22" s="54"/>
      <c r="C22" s="54" t="s">
        <v>23</v>
      </c>
      <c r="D22" s="54"/>
      <c r="E22" s="54"/>
      <c r="F22" s="61">
        <v>-17964</v>
      </c>
      <c r="G22" s="30">
        <f t="shared" si="0"/>
        <v>-6.7497801925288009E-2</v>
      </c>
    </row>
    <row r="23" spans="1:7">
      <c r="A23" s="58">
        <v>11</v>
      </c>
      <c r="B23" s="54"/>
      <c r="C23" s="54" t="s">
        <v>24</v>
      </c>
      <c r="D23" s="54"/>
      <c r="E23" s="54"/>
      <c r="F23" s="61">
        <v>9346</v>
      </c>
      <c r="G23" s="30">
        <f t="shared" si="0"/>
        <v>3.5116591894552532E-2</v>
      </c>
    </row>
    <row r="24" spans="1:7">
      <c r="A24" s="58">
        <v>12</v>
      </c>
      <c r="B24" s="54" t="s">
        <v>25</v>
      </c>
      <c r="C24" s="54"/>
      <c r="D24" s="54"/>
      <c r="E24" s="54"/>
      <c r="F24" s="64">
        <f>SUM(F19:F23)</f>
        <v>266142</v>
      </c>
      <c r="G24" s="65">
        <f>SUM(G19:G23)</f>
        <v>1</v>
      </c>
    </row>
    <row r="25" spans="1:7">
      <c r="A25" s="58"/>
      <c r="B25" s="54"/>
      <c r="C25" s="54"/>
      <c r="D25" s="54"/>
      <c r="E25" s="54"/>
      <c r="F25" s="63"/>
    </row>
    <row r="26" spans="1:7">
      <c r="A26" s="58"/>
      <c r="B26" s="54" t="s">
        <v>26</v>
      </c>
      <c r="C26" s="54"/>
      <c r="D26" s="54"/>
      <c r="E26" s="54"/>
      <c r="F26" s="63"/>
    </row>
    <row r="27" spans="1:7">
      <c r="A27" s="58">
        <v>13</v>
      </c>
      <c r="B27" s="54"/>
      <c r="C27" s="54" t="s">
        <v>20</v>
      </c>
      <c r="D27" s="54"/>
      <c r="E27" s="54"/>
      <c r="F27" s="61">
        <v>9418</v>
      </c>
      <c r="G27" s="30">
        <f>F27/$F$30</f>
        <v>0.31219544535419497</v>
      </c>
    </row>
    <row r="28" spans="1:7">
      <c r="A28" s="58">
        <v>14</v>
      </c>
      <c r="B28" s="54"/>
      <c r="C28" s="54" t="s">
        <v>27</v>
      </c>
      <c r="D28" s="54"/>
      <c r="E28" s="54"/>
      <c r="F28" s="61">
        <v>9056</v>
      </c>
      <c r="G28" s="30">
        <f t="shared" ref="G28:G29" si="1">F28/$F$30</f>
        <v>0.30019557794941493</v>
      </c>
    </row>
    <row r="29" spans="1:7">
      <c r="A29" s="58">
        <v>15</v>
      </c>
      <c r="B29" s="54"/>
      <c r="C29" s="54" t="s">
        <v>242</v>
      </c>
      <c r="D29" s="54"/>
      <c r="E29" s="54"/>
      <c r="F29" s="61">
        <v>11693</v>
      </c>
      <c r="G29" s="30">
        <f t="shared" si="1"/>
        <v>0.38760897669639011</v>
      </c>
    </row>
    <row r="30" spans="1:7">
      <c r="A30" s="58">
        <v>16</v>
      </c>
      <c r="B30" s="54" t="s">
        <v>28</v>
      </c>
      <c r="C30" s="54"/>
      <c r="D30" s="54"/>
      <c r="E30" s="54"/>
      <c r="F30" s="64">
        <f>SUM(F27:F29)</f>
        <v>30167</v>
      </c>
      <c r="G30" s="65">
        <f>SUM(G27:G29)</f>
        <v>1</v>
      </c>
    </row>
    <row r="31" spans="1:7">
      <c r="A31" s="58"/>
      <c r="B31" s="54"/>
      <c r="C31" s="54"/>
      <c r="D31" s="54"/>
      <c r="E31" s="54"/>
      <c r="F31" s="63"/>
    </row>
    <row r="32" spans="1:7">
      <c r="A32" s="58">
        <v>17</v>
      </c>
      <c r="B32" s="54" t="s">
        <v>29</v>
      </c>
      <c r="C32" s="54"/>
      <c r="D32" s="54"/>
      <c r="E32" s="54"/>
      <c r="F32" s="61">
        <v>5768</v>
      </c>
    </row>
    <row r="33" spans="1:7">
      <c r="A33" s="58">
        <v>18</v>
      </c>
      <c r="B33" s="54" t="s">
        <v>30</v>
      </c>
      <c r="C33" s="54"/>
      <c r="D33" s="54"/>
      <c r="E33" s="54"/>
      <c r="F33" s="61">
        <v>5704</v>
      </c>
    </row>
    <row r="34" spans="1:7">
      <c r="A34" s="58">
        <v>19</v>
      </c>
      <c r="B34" s="54" t="s">
        <v>31</v>
      </c>
      <c r="C34" s="54"/>
      <c r="D34" s="54"/>
      <c r="E34" s="54"/>
      <c r="F34" s="61">
        <v>1071</v>
      </c>
    </row>
    <row r="35" spans="1:7">
      <c r="A35" s="58"/>
      <c r="B35" s="54"/>
      <c r="C35" s="54"/>
      <c r="D35" s="54"/>
      <c r="E35" s="54"/>
      <c r="F35" s="63"/>
    </row>
    <row r="36" spans="1:7">
      <c r="A36" s="58"/>
      <c r="B36" s="54" t="s">
        <v>32</v>
      </c>
      <c r="C36" s="54"/>
      <c r="D36" s="54"/>
      <c r="E36" s="54"/>
      <c r="F36" s="63"/>
    </row>
    <row r="37" spans="1:7">
      <c r="A37" s="58">
        <v>20</v>
      </c>
      <c r="B37" s="54"/>
      <c r="C37" s="54" t="s">
        <v>20</v>
      </c>
      <c r="D37" s="54"/>
      <c r="E37" s="54"/>
      <c r="F37" s="61">
        <v>30350</v>
      </c>
      <c r="G37" s="30">
        <f>F37/$F$40</f>
        <v>0.88347451459843396</v>
      </c>
    </row>
    <row r="38" spans="1:7">
      <c r="A38" s="58">
        <v>21</v>
      </c>
      <c r="B38" s="54"/>
      <c r="C38" s="54" t="s">
        <v>27</v>
      </c>
      <c r="D38" s="54"/>
      <c r="E38" s="54"/>
      <c r="F38" s="61">
        <v>3998</v>
      </c>
      <c r="G38" s="30">
        <f t="shared" ref="G38:G39" si="2">F38/$F$40</f>
        <v>0.11637993770558612</v>
      </c>
    </row>
    <row r="39" spans="1:7">
      <c r="A39" s="58">
        <v>22</v>
      </c>
      <c r="B39" s="54"/>
      <c r="C39" s="54" t="s">
        <v>24</v>
      </c>
      <c r="D39" s="54"/>
      <c r="E39" s="54"/>
      <c r="F39" s="61">
        <v>5</v>
      </c>
      <c r="G39" s="30">
        <f t="shared" si="2"/>
        <v>1.4554769597997265E-4</v>
      </c>
    </row>
    <row r="40" spans="1:7">
      <c r="A40" s="58">
        <v>23</v>
      </c>
      <c r="B40" s="54" t="s">
        <v>33</v>
      </c>
      <c r="C40" s="54"/>
      <c r="D40" s="54"/>
      <c r="E40" s="54"/>
      <c r="F40" s="64">
        <f>SUM(F37:F39)</f>
        <v>34353</v>
      </c>
      <c r="G40" s="65">
        <f>SUM(G37:G39)</f>
        <v>1</v>
      </c>
    </row>
    <row r="41" spans="1:7">
      <c r="A41" s="58">
        <v>24</v>
      </c>
      <c r="B41" s="54" t="s">
        <v>34</v>
      </c>
      <c r="C41" s="54"/>
      <c r="D41" s="54"/>
      <c r="E41" s="54"/>
      <c r="F41" s="64">
        <f>F24+F30+F32+F33+F34+F40</f>
        <v>343205</v>
      </c>
    </row>
    <row r="42" spans="1:7">
      <c r="A42" s="58"/>
      <c r="B42" s="54"/>
      <c r="C42" s="54"/>
      <c r="D42" s="54"/>
      <c r="E42" s="54"/>
      <c r="F42" s="66"/>
    </row>
    <row r="43" spans="1:7">
      <c r="A43" s="58">
        <v>25</v>
      </c>
      <c r="B43" s="54" t="s">
        <v>35</v>
      </c>
      <c r="C43" s="54"/>
      <c r="D43" s="54"/>
      <c r="E43" s="54"/>
      <c r="F43" s="64">
        <f>F15-F41</f>
        <v>299933</v>
      </c>
    </row>
    <row r="44" spans="1:7">
      <c r="A44" s="58"/>
      <c r="B44" s="54"/>
      <c r="C44" s="54"/>
      <c r="D44" s="54"/>
      <c r="E44" s="54"/>
      <c r="F44" s="63"/>
    </row>
    <row r="45" spans="1:7">
      <c r="A45" s="58"/>
      <c r="B45" s="54" t="s">
        <v>36</v>
      </c>
      <c r="C45" s="54"/>
      <c r="D45" s="54"/>
      <c r="E45" s="54"/>
      <c r="F45" s="63"/>
    </row>
    <row r="46" spans="1:7">
      <c r="A46" s="58">
        <v>26</v>
      </c>
      <c r="B46" s="54" t="s">
        <v>37</v>
      </c>
      <c r="C46" s="54"/>
      <c r="D46" s="54"/>
      <c r="E46" s="54"/>
      <c r="F46" s="61">
        <v>13500</v>
      </c>
    </row>
    <row r="47" spans="1:7">
      <c r="A47" s="58">
        <v>27</v>
      </c>
      <c r="B47" s="54" t="s">
        <v>38</v>
      </c>
      <c r="C47" s="54"/>
      <c r="D47" s="54"/>
      <c r="E47" s="54"/>
      <c r="F47" s="61">
        <v>0</v>
      </c>
    </row>
    <row r="48" spans="1:7">
      <c r="A48" s="58">
        <v>28</v>
      </c>
      <c r="B48" s="54" t="s">
        <v>39</v>
      </c>
      <c r="C48" s="54"/>
      <c r="D48" s="54"/>
      <c r="E48" s="54"/>
      <c r="F48" s="61">
        <v>3549</v>
      </c>
    </row>
    <row r="49" spans="1:11">
      <c r="A49" s="58">
        <v>29</v>
      </c>
      <c r="B49" s="54" t="s">
        <v>40</v>
      </c>
      <c r="C49" s="54"/>
      <c r="D49" s="54"/>
      <c r="E49" s="54"/>
      <c r="F49" s="61">
        <v>0</v>
      </c>
    </row>
    <row r="50" spans="1:11">
      <c r="A50" s="58">
        <v>30</v>
      </c>
      <c r="B50" s="67" t="s">
        <v>243</v>
      </c>
      <c r="C50" s="67"/>
      <c r="D50" s="67"/>
      <c r="E50" s="67"/>
      <c r="F50" s="61">
        <v>5683</v>
      </c>
    </row>
    <row r="51" spans="1:11" ht="15.75" thickBot="1">
      <c r="A51" s="58">
        <v>31</v>
      </c>
      <c r="B51" s="54" t="s">
        <v>41</v>
      </c>
      <c r="C51" s="54"/>
      <c r="D51" s="54"/>
      <c r="E51" s="54"/>
      <c r="F51" s="68">
        <f>F43-SUM(F46:F50)</f>
        <v>277201</v>
      </c>
    </row>
    <row r="52" spans="1:11" ht="15.75" thickTop="1">
      <c r="A52" s="69"/>
      <c r="B52" s="54"/>
      <c r="C52" s="54"/>
      <c r="D52" s="54"/>
      <c r="E52" s="54"/>
      <c r="F52" s="70"/>
    </row>
    <row r="53" spans="1:11">
      <c r="A53" s="58"/>
      <c r="B53" s="54"/>
      <c r="C53" s="53" t="s">
        <v>244</v>
      </c>
      <c r="D53" s="54"/>
      <c r="E53" s="54"/>
      <c r="F53" s="59"/>
    </row>
    <row r="54" spans="1:11" ht="20.25">
      <c r="A54" s="388"/>
      <c r="B54" s="388"/>
      <c r="C54" s="388"/>
      <c r="D54" s="388"/>
      <c r="E54" s="388"/>
      <c r="F54" s="388"/>
    </row>
    <row r="55" spans="1:11" ht="15.75">
      <c r="A55" s="71" t="str">
        <f>A4</f>
        <v xml:space="preserve">AVISTA UTILITIES  </v>
      </c>
      <c r="B55" s="54"/>
      <c r="C55" s="54"/>
      <c r="D55" s="54"/>
      <c r="E55" s="50" t="str">
        <f>A3</f>
        <v>Commission Basis Results of Operations</v>
      </c>
      <c r="F55" s="50"/>
    </row>
    <row r="56" spans="1:11">
      <c r="A56" s="71"/>
      <c r="B56" s="54"/>
      <c r="C56" s="54"/>
      <c r="D56" s="54"/>
      <c r="E56" s="54"/>
      <c r="F56" s="55"/>
    </row>
    <row r="57" spans="1:11">
      <c r="A57" s="71"/>
      <c r="B57" s="54"/>
      <c r="C57" s="54"/>
      <c r="D57" s="54"/>
      <c r="E57" s="54"/>
      <c r="F57" s="55"/>
    </row>
    <row r="58" spans="1:11">
      <c r="A58" s="71" t="str">
        <f>A7</f>
        <v xml:space="preserve">(000'S OF DOLLARS)  </v>
      </c>
      <c r="B58" s="54"/>
      <c r="C58" s="54"/>
      <c r="D58" s="54"/>
      <c r="E58" s="54"/>
      <c r="F58" s="59"/>
    </row>
    <row r="59" spans="1:11">
      <c r="A59" s="58" t="s">
        <v>6</v>
      </c>
      <c r="B59" s="54"/>
      <c r="C59" s="54"/>
      <c r="D59" s="54"/>
      <c r="E59" s="54"/>
      <c r="F59" s="59">
        <f>F8</f>
        <v>2016</v>
      </c>
    </row>
    <row r="60" spans="1:11">
      <c r="A60" s="58"/>
      <c r="B60" s="54" t="s">
        <v>42</v>
      </c>
      <c r="C60" s="54"/>
      <c r="D60" s="54"/>
      <c r="E60" s="54"/>
      <c r="F60" s="55"/>
    </row>
    <row r="61" spans="1:11">
      <c r="A61" s="58"/>
      <c r="B61" s="54" t="s">
        <v>43</v>
      </c>
      <c r="C61" s="54"/>
      <c r="D61" s="54"/>
      <c r="E61" s="54"/>
      <c r="F61" s="55"/>
      <c r="H61" t="s">
        <v>245</v>
      </c>
      <c r="J61" t="s">
        <v>246</v>
      </c>
    </row>
    <row r="62" spans="1:11">
      <c r="A62" s="58">
        <v>32</v>
      </c>
      <c r="B62" s="54"/>
      <c r="C62" s="54" t="s">
        <v>44</v>
      </c>
      <c r="D62" s="54"/>
      <c r="E62" s="54"/>
      <c r="F62" s="60">
        <v>15127</v>
      </c>
      <c r="G62" s="30">
        <f>F62/$F$67</f>
        <v>1.3632766946105193E-2</v>
      </c>
    </row>
    <row r="63" spans="1:11">
      <c r="A63" s="58">
        <v>33</v>
      </c>
      <c r="B63" s="54"/>
      <c r="C63" s="54" t="s">
        <v>45</v>
      </c>
      <c r="D63" s="54"/>
      <c r="E63" s="54"/>
      <c r="F63" s="61">
        <v>455498</v>
      </c>
      <c r="G63" s="30">
        <f t="shared" ref="G63:G66" si="3">F63/$F$67</f>
        <v>0.41050426908289972</v>
      </c>
      <c r="H63" s="30">
        <f>F63/SUM($F$63:$F$65)</f>
        <v>0.43963720843141968</v>
      </c>
      <c r="J63" s="72">
        <f>F63-F70</f>
        <v>103873</v>
      </c>
      <c r="K63" s="76">
        <f>J63/SUM($J$63:$J$65)</f>
        <v>0.40984434492690724</v>
      </c>
    </row>
    <row r="64" spans="1:11">
      <c r="A64" s="58">
        <v>34</v>
      </c>
      <c r="B64" s="54"/>
      <c r="C64" s="54" t="s">
        <v>46</v>
      </c>
      <c r="D64" s="54"/>
      <c r="E64" s="54"/>
      <c r="F64" s="61">
        <v>181627</v>
      </c>
      <c r="G64" s="30">
        <f t="shared" si="3"/>
        <v>0.16368602909501209</v>
      </c>
      <c r="H64" s="30">
        <f t="shared" ref="H64:H65" si="4">F64/SUM($F$63:$F$65)</f>
        <v>0.17530260781775872</v>
      </c>
      <c r="J64" s="72">
        <f t="shared" ref="J64:J65" si="5">F64-F71</f>
        <v>46003</v>
      </c>
      <c r="K64" s="76">
        <f t="shared" ref="K64:K65" si="6">J64/SUM($J$63:$J$65)</f>
        <v>0.18151078143186886</v>
      </c>
    </row>
    <row r="65" spans="1:11">
      <c r="A65" s="58">
        <v>35</v>
      </c>
      <c r="B65" s="54"/>
      <c r="C65" s="54" t="s">
        <v>26</v>
      </c>
      <c r="D65" s="54"/>
      <c r="E65" s="54"/>
      <c r="F65" s="61">
        <v>398952</v>
      </c>
      <c r="G65" s="30">
        <f t="shared" si="3"/>
        <v>0.35954383808306734</v>
      </c>
      <c r="H65" s="30">
        <f t="shared" si="4"/>
        <v>0.38506018375082163</v>
      </c>
      <c r="J65" s="72">
        <f t="shared" si="5"/>
        <v>103569</v>
      </c>
      <c r="K65" s="76">
        <f t="shared" si="6"/>
        <v>0.40864487364122393</v>
      </c>
    </row>
    <row r="66" spans="1:11">
      <c r="A66" s="58">
        <v>36</v>
      </c>
      <c r="B66" s="54"/>
      <c r="C66" s="54" t="s">
        <v>47</v>
      </c>
      <c r="D66" s="54"/>
      <c r="E66" s="54"/>
      <c r="F66" s="61">
        <v>58402</v>
      </c>
      <c r="G66" s="30">
        <f t="shared" si="3"/>
        <v>5.2633096792915682E-2</v>
      </c>
    </row>
    <row r="67" spans="1:11">
      <c r="A67" s="58">
        <v>37</v>
      </c>
      <c r="B67" s="54" t="s">
        <v>48</v>
      </c>
      <c r="C67" s="54"/>
      <c r="D67" s="54"/>
      <c r="E67" s="54"/>
      <c r="F67" s="64">
        <f>SUM(F62:F66)</f>
        <v>1109606</v>
      </c>
      <c r="G67" s="65">
        <f>SUM(G62:G66)</f>
        <v>1</v>
      </c>
    </row>
    <row r="68" spans="1:11">
      <c r="A68" s="58"/>
      <c r="B68" s="54" t="s">
        <v>49</v>
      </c>
      <c r="C68" s="54"/>
      <c r="D68" s="54"/>
      <c r="E68" s="54"/>
      <c r="F68" s="55"/>
    </row>
    <row r="69" spans="1:11">
      <c r="A69" s="58">
        <v>38</v>
      </c>
      <c r="B69" s="54"/>
      <c r="C69" s="54" t="s">
        <v>44</v>
      </c>
      <c r="D69" s="54"/>
      <c r="E69" s="54"/>
      <c r="F69" s="73">
        <v>30914</v>
      </c>
      <c r="G69" s="30">
        <f>F69/$F$74</f>
        <v>3.4593387262641849E-2</v>
      </c>
    </row>
    <row r="70" spans="1:11">
      <c r="A70" s="58">
        <v>39</v>
      </c>
      <c r="B70" s="54"/>
      <c r="C70" s="54" t="s">
        <v>45</v>
      </c>
      <c r="D70" s="54"/>
      <c r="E70" s="54"/>
      <c r="F70" s="73">
        <v>351625</v>
      </c>
      <c r="G70" s="30">
        <f t="shared" ref="G70:G73" si="7">F70/$F$74</f>
        <v>0.39347544142545254</v>
      </c>
      <c r="H70" s="30">
        <f>F70/SUM($F$70:$F$72)</f>
        <v>0.44928523239530199</v>
      </c>
    </row>
    <row r="71" spans="1:11">
      <c r="A71" s="58">
        <v>40</v>
      </c>
      <c r="B71" s="54"/>
      <c r="C71" s="54" t="s">
        <v>46</v>
      </c>
      <c r="D71" s="54"/>
      <c r="E71" s="54"/>
      <c r="F71" s="73">
        <v>135624</v>
      </c>
      <c r="G71" s="30">
        <f t="shared" si="7"/>
        <v>0.15176598156526294</v>
      </c>
      <c r="H71" s="30">
        <f t="shared" ref="H71:H72" si="8">F71/SUM($F$70:$F$72)</f>
        <v>0.1732921730775128</v>
      </c>
    </row>
    <row r="72" spans="1:11">
      <c r="A72" s="58">
        <v>41</v>
      </c>
      <c r="B72" s="54"/>
      <c r="C72" s="54" t="s">
        <v>26</v>
      </c>
      <c r="D72" s="54"/>
      <c r="E72" s="54"/>
      <c r="F72" s="73">
        <v>295383</v>
      </c>
      <c r="G72" s="30">
        <f t="shared" si="7"/>
        <v>0.33053951315911684</v>
      </c>
      <c r="H72" s="30">
        <f t="shared" si="8"/>
        <v>0.37742259452718518</v>
      </c>
    </row>
    <row r="73" spans="1:11">
      <c r="A73" s="58">
        <v>42</v>
      </c>
      <c r="B73" s="54"/>
      <c r="C73" s="54" t="s">
        <v>47</v>
      </c>
      <c r="D73" s="54"/>
      <c r="E73" s="54"/>
      <c r="F73" s="73">
        <v>80093</v>
      </c>
      <c r="G73" s="30">
        <f t="shared" si="7"/>
        <v>8.9625676587525835E-2</v>
      </c>
    </row>
    <row r="74" spans="1:11">
      <c r="A74" s="58">
        <v>43</v>
      </c>
      <c r="B74" s="54" t="s">
        <v>50</v>
      </c>
      <c r="C74" s="54"/>
      <c r="D74" s="54"/>
      <c r="E74" s="54"/>
      <c r="F74" s="73">
        <f>SUM(F69:F73)</f>
        <v>893639</v>
      </c>
      <c r="G74" s="74">
        <f>SUM(G69:G73)</f>
        <v>1</v>
      </c>
    </row>
    <row r="75" spans="1:11">
      <c r="A75" s="58">
        <v>44</v>
      </c>
      <c r="B75" s="54" t="s">
        <v>51</v>
      </c>
      <c r="C75" s="54"/>
      <c r="D75" s="54"/>
      <c r="E75" s="54"/>
      <c r="F75" s="62">
        <f t="shared" ref="F75" si="9">F67-F74</f>
        <v>215967</v>
      </c>
    </row>
    <row r="76" spans="1:11">
      <c r="A76" s="58"/>
      <c r="B76" s="54"/>
      <c r="C76" s="54"/>
      <c r="D76" s="54"/>
      <c r="E76" s="54"/>
      <c r="F76" s="61"/>
    </row>
    <row r="77" spans="1:11">
      <c r="A77" s="58">
        <v>45</v>
      </c>
      <c r="B77" s="54" t="s">
        <v>52</v>
      </c>
      <c r="C77" s="54"/>
      <c r="D77" s="54"/>
      <c r="E77" s="54"/>
      <c r="F77" s="63">
        <v>-105775</v>
      </c>
    </row>
    <row r="78" spans="1:11">
      <c r="A78" s="58">
        <v>46</v>
      </c>
      <c r="B78" s="54"/>
      <c r="C78" s="53" t="s">
        <v>119</v>
      </c>
      <c r="D78" s="53"/>
      <c r="E78" s="53"/>
      <c r="F78" s="75">
        <f t="shared" ref="F78" si="10">F75+F77</f>
        <v>110192</v>
      </c>
    </row>
    <row r="79" spans="1:11">
      <c r="A79" s="58">
        <v>47</v>
      </c>
      <c r="B79" s="54" t="s">
        <v>247</v>
      </c>
      <c r="C79" s="54"/>
      <c r="D79" s="54"/>
      <c r="E79" s="54"/>
      <c r="F79" s="61">
        <v>-80657</v>
      </c>
    </row>
    <row r="80" spans="1:11">
      <c r="A80" s="58">
        <v>48</v>
      </c>
      <c r="B80" s="54" t="s">
        <v>55</v>
      </c>
      <c r="C80" s="54"/>
      <c r="D80" s="54"/>
      <c r="E80" s="54"/>
      <c r="F80" s="61">
        <v>0</v>
      </c>
    </row>
    <row r="81" spans="1:6">
      <c r="A81" s="58"/>
      <c r="B81" s="54"/>
      <c r="C81" s="54"/>
      <c r="D81" s="54"/>
      <c r="E81" s="54"/>
      <c r="F81" s="55"/>
    </row>
    <row r="82" spans="1:6" ht="15.75" thickBot="1">
      <c r="A82" s="58">
        <v>49</v>
      </c>
      <c r="B82" s="54" t="s">
        <v>56</v>
      </c>
      <c r="C82" s="54"/>
      <c r="D82" s="54"/>
      <c r="E82" s="54"/>
      <c r="F82" s="68">
        <v>568492</v>
      </c>
    </row>
    <row r="83" spans="1:6" ht="15.75" thickTop="1">
      <c r="A83" s="58"/>
      <c r="B83" s="54"/>
      <c r="C83" s="54"/>
      <c r="D83" s="54"/>
      <c r="E83" s="54"/>
      <c r="F83" s="70"/>
    </row>
    <row r="84" spans="1:6">
      <c r="A84" s="69"/>
      <c r="B84" s="54"/>
      <c r="C84" s="54"/>
      <c r="D84" s="54"/>
      <c r="E84" s="54"/>
      <c r="F84" s="70"/>
    </row>
  </sheetData>
  <mergeCells count="2">
    <mergeCell ref="A1:F1"/>
    <mergeCell ref="A54:F54"/>
  </mergeCell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33"/>
  <sheetViews>
    <sheetView view="pageBreakPreview" topLeftCell="A86" zoomScale="115" zoomScaleNormal="115" zoomScaleSheetLayoutView="115" workbookViewId="0">
      <selection activeCell="V199" sqref="V199"/>
    </sheetView>
  </sheetViews>
  <sheetFormatPr defaultColWidth="12.42578125" defaultRowHeight="12"/>
  <cols>
    <col min="1" max="1" width="3.85546875" style="54" customWidth="1"/>
    <col min="2" max="2" width="3.42578125" style="54" customWidth="1"/>
    <col min="3" max="3" width="3" style="54" customWidth="1"/>
    <col min="4" max="4" width="33.7109375" style="54" customWidth="1"/>
    <col min="5" max="5" width="42.42578125" style="54" hidden="1" customWidth="1"/>
    <col min="6" max="6" width="8.42578125" style="55" hidden="1" customWidth="1"/>
    <col min="7" max="7" width="8.42578125" style="205" hidden="1" customWidth="1"/>
    <col min="8" max="10" width="8.5703125" style="205" hidden="1" customWidth="1"/>
    <col min="11" max="11" width="8.5703125" style="55" hidden="1" customWidth="1"/>
    <col min="12" max="12" width="8.5703125" style="205" hidden="1" customWidth="1"/>
    <col min="13" max="14" width="8.5703125" style="205" bestFit="1" customWidth="1"/>
    <col min="15" max="17" width="9.28515625" style="205" bestFit="1" customWidth="1"/>
    <col min="18" max="18" width="9.28515625" style="54" bestFit="1" customWidth="1"/>
    <col min="19" max="19" width="9.85546875" style="55" customWidth="1"/>
    <col min="20" max="21" width="9.5703125" style="55" customWidth="1"/>
    <col min="22" max="22" width="10" style="55" customWidth="1"/>
    <col min="23" max="23" width="1.28515625" style="54" customWidth="1"/>
    <col min="24" max="24" width="9.5703125" style="54" customWidth="1"/>
    <col min="25" max="25" width="8.42578125" style="54" bestFit="1" customWidth="1"/>
    <col min="26" max="26" width="8.5703125" style="54" bestFit="1" customWidth="1"/>
    <col min="27" max="33" width="8.42578125" style="54" bestFit="1" customWidth="1"/>
    <col min="34" max="16384" width="12.42578125" style="54"/>
  </cols>
  <sheetData>
    <row r="1" spans="1:22" ht="3.75" customHeight="1">
      <c r="A1" s="387"/>
      <c r="B1" s="387"/>
      <c r="C1" s="387"/>
      <c r="D1" s="387"/>
      <c r="E1" s="387"/>
      <c r="F1" s="387"/>
      <c r="G1" s="387"/>
      <c r="H1" s="387"/>
      <c r="I1" s="387"/>
      <c r="J1" s="387"/>
      <c r="K1" s="387"/>
      <c r="L1" s="387"/>
      <c r="M1" s="387"/>
      <c r="N1" s="387"/>
      <c r="O1" s="387"/>
      <c r="P1" s="387"/>
      <c r="Q1" s="387"/>
      <c r="R1" s="387"/>
    </row>
    <row r="2" spans="1:22" ht="18.75">
      <c r="A2" s="50" t="s">
        <v>237</v>
      </c>
      <c r="B2" s="51"/>
      <c r="C2" s="51"/>
      <c r="D2" s="51"/>
      <c r="E2" s="51"/>
      <c r="F2" s="51"/>
      <c r="G2" s="51"/>
      <c r="H2" s="51"/>
      <c r="I2" s="51"/>
      <c r="J2" s="51"/>
      <c r="K2" s="51"/>
      <c r="L2" s="51"/>
      <c r="M2" s="51"/>
      <c r="N2" s="51"/>
      <c r="O2" s="51"/>
      <c r="P2" s="51"/>
      <c r="Q2" s="51"/>
      <c r="R2" s="51"/>
    </row>
    <row r="3" spans="1:22" ht="18" customHeight="1">
      <c r="A3" s="50" t="s">
        <v>238</v>
      </c>
      <c r="B3" s="50"/>
      <c r="C3" s="50"/>
      <c r="D3" s="50"/>
      <c r="E3" s="52"/>
      <c r="F3" s="50"/>
      <c r="G3" s="50"/>
      <c r="H3" s="50"/>
      <c r="I3" s="50"/>
      <c r="J3" s="50"/>
      <c r="K3" s="50"/>
      <c r="L3" s="50"/>
      <c r="M3" s="50"/>
      <c r="N3" s="50"/>
      <c r="O3" s="77"/>
      <c r="P3" s="77"/>
      <c r="Q3" s="77"/>
      <c r="R3" s="77"/>
    </row>
    <row r="4" spans="1:22" ht="12.75" customHeight="1">
      <c r="A4" s="53" t="s">
        <v>239</v>
      </c>
      <c r="G4" s="55"/>
      <c r="H4" s="55"/>
      <c r="I4" s="55"/>
      <c r="J4" s="55"/>
      <c r="L4" s="55"/>
      <c r="M4" s="55"/>
      <c r="N4" s="55"/>
      <c r="O4" s="55"/>
      <c r="P4" s="55"/>
      <c r="Q4" s="55"/>
    </row>
    <row r="5" spans="1:22" ht="1.5" customHeight="1">
      <c r="A5" s="53"/>
      <c r="F5" s="56"/>
      <c r="G5" s="56"/>
      <c r="H5" s="56"/>
      <c r="I5" s="56"/>
      <c r="J5" s="56"/>
      <c r="K5" s="56"/>
      <c r="L5" s="56"/>
      <c r="M5" s="56"/>
      <c r="N5" s="56"/>
      <c r="O5" s="56"/>
      <c r="P5" s="56"/>
      <c r="Q5" s="56"/>
      <c r="R5" s="56"/>
    </row>
    <row r="6" spans="1:22" ht="3.75" customHeight="1">
      <c r="G6" s="55"/>
      <c r="H6" s="55"/>
      <c r="I6" s="55"/>
      <c r="J6" s="55"/>
      <c r="L6" s="55"/>
      <c r="M6" s="55"/>
      <c r="N6" s="55"/>
      <c r="O6" s="55"/>
      <c r="P6" s="55"/>
      <c r="Q6" s="55"/>
      <c r="U6" s="78"/>
      <c r="V6" s="78"/>
    </row>
    <row r="7" spans="1:22" ht="12.75">
      <c r="A7" s="53" t="s">
        <v>240</v>
      </c>
      <c r="F7" s="391"/>
      <c r="G7" s="391"/>
      <c r="H7" s="391"/>
      <c r="I7" s="391"/>
      <c r="J7" s="391"/>
      <c r="K7" s="391"/>
      <c r="L7" s="391"/>
      <c r="M7" s="391"/>
      <c r="N7" s="391"/>
      <c r="O7" s="391"/>
      <c r="P7" s="391"/>
      <c r="Q7" s="57"/>
      <c r="T7" s="79"/>
      <c r="U7" s="80"/>
      <c r="V7" s="80"/>
    </row>
    <row r="8" spans="1:22">
      <c r="A8" s="58" t="s">
        <v>6</v>
      </c>
      <c r="F8" s="59">
        <v>2000</v>
      </c>
      <c r="G8" s="59">
        <v>2001</v>
      </c>
      <c r="H8" s="59">
        <v>2002</v>
      </c>
      <c r="I8" s="59">
        <v>2003</v>
      </c>
      <c r="J8" s="59">
        <v>2004</v>
      </c>
      <c r="K8" s="59">
        <v>2005</v>
      </c>
      <c r="L8" s="59">
        <v>2006</v>
      </c>
      <c r="M8" s="59">
        <v>2007</v>
      </c>
      <c r="N8" s="59">
        <v>2008</v>
      </c>
      <c r="O8" s="59">
        <v>2009</v>
      </c>
      <c r="P8" s="59">
        <v>2010</v>
      </c>
      <c r="Q8" s="59">
        <v>2011</v>
      </c>
      <c r="R8" s="59">
        <v>2012</v>
      </c>
      <c r="S8" s="59">
        <v>2013</v>
      </c>
      <c r="T8" s="59">
        <v>2014</v>
      </c>
      <c r="U8" s="59">
        <v>2015</v>
      </c>
      <c r="V8" s="59">
        <v>2016</v>
      </c>
    </row>
    <row r="9" spans="1:22">
      <c r="A9" s="58" t="s">
        <v>7</v>
      </c>
      <c r="B9" s="54" t="s">
        <v>11</v>
      </c>
      <c r="F9" s="57"/>
      <c r="G9" s="57"/>
      <c r="H9" s="57"/>
      <c r="I9" s="57"/>
      <c r="J9" s="57"/>
      <c r="K9" s="57"/>
      <c r="L9" s="57"/>
      <c r="M9" s="57"/>
      <c r="N9" s="57"/>
      <c r="O9" s="57"/>
      <c r="P9" s="57"/>
      <c r="Q9" s="57"/>
      <c r="S9" s="54"/>
      <c r="T9" s="54"/>
      <c r="U9" s="54"/>
      <c r="V9" s="54"/>
    </row>
    <row r="10" spans="1:22">
      <c r="A10" s="58">
        <v>1</v>
      </c>
      <c r="B10" s="54" t="s">
        <v>12</v>
      </c>
      <c r="F10" s="60">
        <v>242529</v>
      </c>
      <c r="G10" s="60">
        <v>258201</v>
      </c>
      <c r="H10" s="60">
        <v>273318</v>
      </c>
      <c r="I10" s="60">
        <v>283356</v>
      </c>
      <c r="J10" s="60">
        <v>285399</v>
      </c>
      <c r="K10" s="60">
        <v>289216</v>
      </c>
      <c r="L10" s="60">
        <v>321929</v>
      </c>
      <c r="M10" s="60">
        <v>326335</v>
      </c>
      <c r="N10" s="60">
        <v>365425</v>
      </c>
      <c r="O10" s="60">
        <v>402618</v>
      </c>
      <c r="P10" s="60">
        <v>415739.9703632</v>
      </c>
      <c r="Q10" s="81">
        <v>0.03</v>
      </c>
      <c r="R10" s="60">
        <v>459266</v>
      </c>
      <c r="S10" s="60">
        <v>468006</v>
      </c>
      <c r="T10" s="60">
        <v>488372</v>
      </c>
      <c r="U10" s="60">
        <v>497229</v>
      </c>
      <c r="V10" s="60">
        <v>492413</v>
      </c>
    </row>
    <row r="11" spans="1:22">
      <c r="A11" s="58">
        <v>2</v>
      </c>
      <c r="B11" s="54" t="s">
        <v>13</v>
      </c>
      <c r="F11" s="61">
        <v>546</v>
      </c>
      <c r="G11" s="61">
        <v>528</v>
      </c>
      <c r="H11" s="61">
        <v>791</v>
      </c>
      <c r="I11" s="61">
        <v>752</v>
      </c>
      <c r="J11" s="61">
        <v>752</v>
      </c>
      <c r="K11" s="61">
        <v>713</v>
      </c>
      <c r="L11" s="61">
        <v>733</v>
      </c>
      <c r="M11" s="61">
        <v>739</v>
      </c>
      <c r="N11" s="61">
        <v>820</v>
      </c>
      <c r="O11" s="61">
        <v>871.54909999999995</v>
      </c>
      <c r="P11" s="61">
        <v>790</v>
      </c>
      <c r="Q11" s="61">
        <v>820</v>
      </c>
      <c r="R11" s="61">
        <v>816</v>
      </c>
      <c r="S11" s="61">
        <v>884</v>
      </c>
      <c r="T11" s="61">
        <v>922</v>
      </c>
      <c r="U11" s="61">
        <v>928</v>
      </c>
      <c r="V11" s="61">
        <v>946</v>
      </c>
    </row>
    <row r="12" spans="1:22">
      <c r="A12" s="58">
        <v>3</v>
      </c>
      <c r="B12" s="54" t="s">
        <v>14</v>
      </c>
      <c r="F12" s="61">
        <v>137117</v>
      </c>
      <c r="G12" s="61">
        <v>91388</v>
      </c>
      <c r="H12" s="61">
        <v>29918</v>
      </c>
      <c r="I12" s="61">
        <v>35252</v>
      </c>
      <c r="J12" s="61">
        <v>40460</v>
      </c>
      <c r="K12" s="61">
        <v>44718</v>
      </c>
      <c r="L12" s="61">
        <v>35380</v>
      </c>
      <c r="M12" s="61">
        <v>34954</v>
      </c>
      <c r="N12" s="61">
        <v>46848</v>
      </c>
      <c r="O12" s="61">
        <v>31491</v>
      </c>
      <c r="P12" s="61">
        <v>133479</v>
      </c>
      <c r="Q12" s="61">
        <v>52604</v>
      </c>
      <c r="R12" s="61">
        <v>54549</v>
      </c>
      <c r="S12" s="61">
        <v>75349</v>
      </c>
      <c r="T12" s="61">
        <v>60998</v>
      </c>
      <c r="U12" s="61">
        <v>49505</v>
      </c>
      <c r="V12" s="61">
        <v>57854</v>
      </c>
    </row>
    <row r="13" spans="1:22">
      <c r="A13" s="58">
        <v>4</v>
      </c>
      <c r="B13" s="54" t="s">
        <v>15</v>
      </c>
      <c r="F13" s="62">
        <v>380192</v>
      </c>
      <c r="G13" s="62">
        <v>350117</v>
      </c>
      <c r="H13" s="62">
        <v>304027</v>
      </c>
      <c r="I13" s="62">
        <v>319360</v>
      </c>
      <c r="J13" s="62">
        <v>326611</v>
      </c>
      <c r="K13" s="62">
        <v>334647</v>
      </c>
      <c r="L13" s="62">
        <v>358042</v>
      </c>
      <c r="M13" s="62">
        <v>362028</v>
      </c>
      <c r="N13" s="62">
        <v>413093</v>
      </c>
      <c r="O13" s="62">
        <v>434980.5491</v>
      </c>
      <c r="P13" s="62">
        <v>550008.97036319994</v>
      </c>
      <c r="Q13" s="62">
        <v>53424.03</v>
      </c>
      <c r="R13" s="62">
        <v>514631</v>
      </c>
      <c r="S13" s="62">
        <v>544239</v>
      </c>
      <c r="T13" s="62">
        <v>550292</v>
      </c>
      <c r="U13" s="62">
        <v>547662</v>
      </c>
      <c r="V13" s="62">
        <v>551213</v>
      </c>
    </row>
    <row r="14" spans="1:22">
      <c r="A14" s="58">
        <v>5</v>
      </c>
      <c r="B14" s="54" t="s">
        <v>16</v>
      </c>
      <c r="F14" s="61">
        <v>13062</v>
      </c>
      <c r="G14" s="61">
        <v>14305</v>
      </c>
      <c r="H14" s="61">
        <v>34274</v>
      </c>
      <c r="I14" s="61">
        <v>57244</v>
      </c>
      <c r="J14" s="61">
        <v>8587</v>
      </c>
      <c r="K14" s="61">
        <v>10259</v>
      </c>
      <c r="L14" s="61">
        <v>10178</v>
      </c>
      <c r="M14" s="61">
        <v>10170</v>
      </c>
      <c r="N14" s="61">
        <v>10927</v>
      </c>
      <c r="O14" s="61">
        <v>9395</v>
      </c>
      <c r="P14" s="61">
        <v>11786</v>
      </c>
      <c r="Q14" s="61">
        <v>13666</v>
      </c>
      <c r="R14" s="61">
        <v>13089</v>
      </c>
      <c r="S14" s="61">
        <v>13408</v>
      </c>
      <c r="T14" s="61">
        <v>17163</v>
      </c>
      <c r="U14" s="61">
        <v>16920</v>
      </c>
      <c r="V14" s="61">
        <v>17310</v>
      </c>
    </row>
    <row r="15" spans="1:22">
      <c r="A15" s="58">
        <v>6</v>
      </c>
      <c r="B15" s="54" t="s">
        <v>17</v>
      </c>
      <c r="F15" s="62">
        <v>393254</v>
      </c>
      <c r="G15" s="62">
        <v>364422</v>
      </c>
      <c r="H15" s="62">
        <v>338301</v>
      </c>
      <c r="I15" s="62">
        <v>376604</v>
      </c>
      <c r="J15" s="62">
        <v>335198</v>
      </c>
      <c r="K15" s="62">
        <v>344906</v>
      </c>
      <c r="L15" s="62">
        <v>368220</v>
      </c>
      <c r="M15" s="62">
        <v>372198</v>
      </c>
      <c r="N15" s="62">
        <v>424020</v>
      </c>
      <c r="O15" s="62">
        <v>444375.5491</v>
      </c>
      <c r="P15" s="62">
        <v>561794.97036319994</v>
      </c>
      <c r="Q15" s="62">
        <v>67090.03</v>
      </c>
      <c r="R15" s="62">
        <v>527720</v>
      </c>
      <c r="S15" s="62">
        <v>557647</v>
      </c>
      <c r="T15" s="62">
        <v>567455</v>
      </c>
      <c r="U15" s="62">
        <v>564582</v>
      </c>
      <c r="V15" s="62">
        <v>568523</v>
      </c>
    </row>
    <row r="16" spans="1:22" ht="2.25" customHeight="1">
      <c r="A16" s="58"/>
      <c r="F16" s="63"/>
      <c r="G16" s="63"/>
      <c r="H16" s="63"/>
      <c r="I16" s="63"/>
      <c r="J16" s="63"/>
      <c r="K16" s="63"/>
      <c r="L16" s="63"/>
      <c r="M16" s="63"/>
      <c r="N16" s="63"/>
      <c r="O16" s="63"/>
      <c r="P16" s="63"/>
      <c r="Q16" s="63"/>
      <c r="R16" s="63"/>
      <c r="S16" s="63"/>
      <c r="T16" s="63"/>
      <c r="U16" s="63"/>
      <c r="V16" s="63"/>
    </row>
    <row r="17" spans="1:23">
      <c r="A17" s="58"/>
      <c r="B17" s="54" t="s">
        <v>18</v>
      </c>
      <c r="F17" s="63"/>
      <c r="G17" s="63"/>
      <c r="H17" s="63"/>
      <c r="I17" s="63"/>
      <c r="J17" s="63"/>
      <c r="K17" s="63"/>
      <c r="L17" s="63"/>
      <c r="M17" s="63"/>
      <c r="N17" s="63"/>
      <c r="O17" s="63"/>
      <c r="P17" s="63"/>
      <c r="Q17" s="63"/>
      <c r="R17" s="63"/>
      <c r="S17" s="63"/>
      <c r="T17" s="63"/>
      <c r="U17" s="63"/>
      <c r="V17" s="63"/>
    </row>
    <row r="18" spans="1:23">
      <c r="A18" s="58"/>
      <c r="B18" s="54" t="s">
        <v>19</v>
      </c>
      <c r="F18" s="63"/>
      <c r="G18" s="63"/>
      <c r="H18" s="63"/>
      <c r="I18" s="63"/>
      <c r="J18" s="63"/>
      <c r="K18" s="63"/>
      <c r="L18" s="63"/>
      <c r="M18" s="63"/>
      <c r="N18" s="63"/>
      <c r="O18" s="63"/>
      <c r="P18" s="63"/>
      <c r="Q18" s="63"/>
      <c r="R18" s="63"/>
      <c r="S18" s="63"/>
      <c r="T18" s="63"/>
      <c r="U18" s="63"/>
      <c r="V18" s="63"/>
    </row>
    <row r="19" spans="1:23">
      <c r="A19" s="58">
        <v>7</v>
      </c>
      <c r="C19" s="54" t="s">
        <v>20</v>
      </c>
      <c r="F19" s="61">
        <v>78721</v>
      </c>
      <c r="G19" s="61">
        <v>47157</v>
      </c>
      <c r="H19" s="61">
        <v>101475</v>
      </c>
      <c r="I19" s="61">
        <v>132098</v>
      </c>
      <c r="J19" s="61">
        <v>101545</v>
      </c>
      <c r="K19" s="61">
        <v>105374</v>
      </c>
      <c r="L19" s="61">
        <v>104260</v>
      </c>
      <c r="M19" s="61">
        <v>102890</v>
      </c>
      <c r="N19" s="61">
        <v>117123</v>
      </c>
      <c r="O19" s="61">
        <v>87599</v>
      </c>
      <c r="P19" s="61">
        <v>147107</v>
      </c>
      <c r="Q19" s="61">
        <v>145634</v>
      </c>
      <c r="R19" s="61">
        <v>131795</v>
      </c>
      <c r="S19" s="61">
        <v>143904</v>
      </c>
      <c r="T19" s="61">
        <v>120307</v>
      </c>
      <c r="U19" s="61">
        <v>140485</v>
      </c>
      <c r="V19" s="61">
        <v>136385</v>
      </c>
    </row>
    <row r="20" spans="1:23">
      <c r="A20" s="58">
        <v>8</v>
      </c>
      <c r="C20" s="54" t="s">
        <v>21</v>
      </c>
      <c r="F20" s="61">
        <v>181189</v>
      </c>
      <c r="G20" s="61">
        <v>132159</v>
      </c>
      <c r="H20" s="61">
        <v>50769</v>
      </c>
      <c r="I20" s="61">
        <v>46591</v>
      </c>
      <c r="J20" s="61">
        <v>51042</v>
      </c>
      <c r="K20" s="61">
        <v>55046</v>
      </c>
      <c r="L20" s="61">
        <v>79146</v>
      </c>
      <c r="M20" s="61">
        <v>65640</v>
      </c>
      <c r="N20" s="61">
        <v>72508</v>
      </c>
      <c r="O20" s="61">
        <v>100437</v>
      </c>
      <c r="P20" s="61">
        <v>142197</v>
      </c>
      <c r="Q20" s="61">
        <v>91142</v>
      </c>
      <c r="R20" s="61">
        <v>101283</v>
      </c>
      <c r="S20" s="61">
        <v>109034</v>
      </c>
      <c r="T20" s="61">
        <v>116643</v>
      </c>
      <c r="U20" s="61">
        <v>85107</v>
      </c>
      <c r="V20" s="61">
        <v>78794</v>
      </c>
    </row>
    <row r="21" spans="1:23">
      <c r="A21" s="58">
        <v>9</v>
      </c>
      <c r="C21" s="54" t="s">
        <v>22</v>
      </c>
      <c r="F21" s="61">
        <v>14850</v>
      </c>
      <c r="G21" s="61">
        <v>15202</v>
      </c>
      <c r="H21" s="61">
        <v>20157</v>
      </c>
      <c r="I21" s="61">
        <v>20523</v>
      </c>
      <c r="J21" s="61">
        <v>22312</v>
      </c>
      <c r="K21" s="61">
        <v>22629</v>
      </c>
      <c r="L21" s="61">
        <v>24577</v>
      </c>
      <c r="M21" s="61">
        <v>24877</v>
      </c>
      <c r="N21" s="61">
        <v>23076</v>
      </c>
      <c r="O21" s="61">
        <v>23969</v>
      </c>
      <c r="P21" s="61">
        <v>25008</v>
      </c>
      <c r="Q21" s="61">
        <v>25158</v>
      </c>
      <c r="R21" s="61">
        <v>25680</v>
      </c>
      <c r="S21" s="61">
        <v>23284</v>
      </c>
      <c r="T21" s="61">
        <v>23715</v>
      </c>
      <c r="U21" s="61">
        <v>24947</v>
      </c>
      <c r="V21" s="61">
        <v>26676</v>
      </c>
    </row>
    <row r="22" spans="1:23">
      <c r="A22" s="58">
        <v>10</v>
      </c>
      <c r="C22" s="54" t="s">
        <v>23</v>
      </c>
      <c r="F22" s="61">
        <v>-17964</v>
      </c>
      <c r="G22" s="61">
        <v>-6050</v>
      </c>
      <c r="H22" s="61">
        <v>-6349</v>
      </c>
      <c r="I22" s="61">
        <v>-5608</v>
      </c>
      <c r="J22" s="61">
        <v>567</v>
      </c>
      <c r="K22" s="61">
        <v>-8817</v>
      </c>
      <c r="L22" s="61">
        <v>1168</v>
      </c>
      <c r="M22" s="61">
        <v>-3082</v>
      </c>
      <c r="N22" s="61">
        <v>-1076</v>
      </c>
      <c r="O22" s="61">
        <v>-1703</v>
      </c>
      <c r="P22" s="61">
        <v>-2879</v>
      </c>
      <c r="Q22" s="61">
        <v>403</v>
      </c>
      <c r="R22" s="61">
        <v>-7744</v>
      </c>
      <c r="S22" s="61">
        <v>8629</v>
      </c>
      <c r="T22" s="61">
        <v>8101</v>
      </c>
      <c r="U22" s="61">
        <v>5974</v>
      </c>
      <c r="V22" s="61">
        <v>4706</v>
      </c>
    </row>
    <row r="23" spans="1:23">
      <c r="A23" s="58">
        <v>11</v>
      </c>
      <c r="C23" s="54" t="s">
        <v>24</v>
      </c>
      <c r="F23" s="61">
        <v>9346</v>
      </c>
      <c r="G23" s="61">
        <v>5139</v>
      </c>
      <c r="H23" s="61">
        <v>7164</v>
      </c>
      <c r="I23" s="61">
        <v>6722</v>
      </c>
      <c r="J23" s="61">
        <v>7283</v>
      </c>
      <c r="K23" s="61">
        <v>9900</v>
      </c>
      <c r="L23" s="61">
        <v>9115</v>
      </c>
      <c r="M23" s="61">
        <v>8319</v>
      </c>
      <c r="N23" s="61">
        <v>8146</v>
      </c>
      <c r="O23" s="61">
        <v>9014</v>
      </c>
      <c r="P23" s="61">
        <v>9955</v>
      </c>
      <c r="Q23" s="61">
        <v>10846</v>
      </c>
      <c r="R23" s="61">
        <v>11456</v>
      </c>
      <c r="S23" s="61">
        <v>12913</v>
      </c>
      <c r="T23" s="61">
        <v>12828</v>
      </c>
      <c r="U23" s="61">
        <v>14133</v>
      </c>
      <c r="V23" s="61">
        <v>14654</v>
      </c>
    </row>
    <row r="24" spans="1:23">
      <c r="A24" s="58">
        <v>12</v>
      </c>
      <c r="B24" s="54" t="s">
        <v>25</v>
      </c>
      <c r="F24" s="64">
        <v>266142</v>
      </c>
      <c r="G24" s="64">
        <v>193607</v>
      </c>
      <c r="H24" s="64">
        <v>173216</v>
      </c>
      <c r="I24" s="64">
        <v>200326</v>
      </c>
      <c r="J24" s="64">
        <v>182749</v>
      </c>
      <c r="K24" s="64">
        <v>184132</v>
      </c>
      <c r="L24" s="64">
        <v>218266</v>
      </c>
      <c r="M24" s="64">
        <v>198644</v>
      </c>
      <c r="N24" s="64">
        <v>219777</v>
      </c>
      <c r="O24" s="64">
        <v>219316</v>
      </c>
      <c r="P24" s="64">
        <v>321388</v>
      </c>
      <c r="Q24" s="64">
        <v>273183</v>
      </c>
      <c r="R24" s="64">
        <v>262470</v>
      </c>
      <c r="S24" s="64">
        <v>297764</v>
      </c>
      <c r="T24" s="64">
        <v>281594</v>
      </c>
      <c r="U24" s="64">
        <v>270646</v>
      </c>
      <c r="V24" s="64">
        <v>261215</v>
      </c>
    </row>
    <row r="25" spans="1:23" ht="3.75" customHeight="1">
      <c r="A25" s="58"/>
      <c r="F25" s="63"/>
      <c r="G25" s="63"/>
      <c r="H25" s="63"/>
      <c r="I25" s="63"/>
      <c r="J25" s="63"/>
      <c r="K25" s="63"/>
      <c r="L25" s="63"/>
      <c r="M25" s="63"/>
      <c r="N25" s="63"/>
      <c r="O25" s="63"/>
      <c r="P25" s="63"/>
      <c r="Q25" s="63"/>
      <c r="R25" s="63"/>
      <c r="S25" s="82"/>
      <c r="T25" s="82"/>
      <c r="U25" s="82"/>
      <c r="V25" s="82"/>
    </row>
    <row r="26" spans="1:23">
      <c r="A26" s="58"/>
      <c r="B26" s="54" t="s">
        <v>26</v>
      </c>
      <c r="F26" s="63"/>
      <c r="G26" s="63"/>
      <c r="H26" s="63"/>
      <c r="I26" s="63"/>
      <c r="J26" s="63"/>
      <c r="K26" s="63"/>
      <c r="L26" s="63"/>
      <c r="M26" s="63"/>
      <c r="N26" s="63"/>
      <c r="O26" s="63"/>
      <c r="P26" s="63"/>
      <c r="Q26" s="63"/>
      <c r="R26" s="63"/>
      <c r="S26" s="63"/>
      <c r="T26" s="63"/>
      <c r="U26" s="63"/>
      <c r="V26" s="63"/>
    </row>
    <row r="27" spans="1:23">
      <c r="A27" s="58">
        <v>13</v>
      </c>
      <c r="C27" s="54" t="s">
        <v>20</v>
      </c>
      <c r="F27" s="61">
        <v>9418</v>
      </c>
      <c r="G27" s="61">
        <v>10560</v>
      </c>
      <c r="H27" s="61">
        <v>9631</v>
      </c>
      <c r="I27" s="61">
        <v>10171</v>
      </c>
      <c r="J27" s="61">
        <v>12016</v>
      </c>
      <c r="K27" s="61">
        <v>14263</v>
      </c>
      <c r="L27" s="61">
        <v>15485</v>
      </c>
      <c r="M27" s="61">
        <v>14563</v>
      </c>
      <c r="N27" s="61">
        <v>17329</v>
      </c>
      <c r="O27" s="61">
        <v>17267</v>
      </c>
      <c r="P27" s="61">
        <v>18354</v>
      </c>
      <c r="Q27" s="61">
        <v>19081</v>
      </c>
      <c r="R27" s="61">
        <v>21152</v>
      </c>
      <c r="S27" s="61">
        <v>20878</v>
      </c>
      <c r="T27" s="61">
        <v>21299</v>
      </c>
      <c r="U27" s="61">
        <v>24056</v>
      </c>
      <c r="V27" s="61">
        <v>21415</v>
      </c>
    </row>
    <row r="28" spans="1:23">
      <c r="A28" s="58">
        <v>14</v>
      </c>
      <c r="C28" s="54" t="s">
        <v>27</v>
      </c>
      <c r="F28" s="61">
        <v>9056</v>
      </c>
      <c r="G28" s="61">
        <v>9178</v>
      </c>
      <c r="H28" s="61">
        <v>9427</v>
      </c>
      <c r="I28" s="61">
        <v>9752</v>
      </c>
      <c r="J28" s="61">
        <v>10067</v>
      </c>
      <c r="K28" s="61">
        <v>10399</v>
      </c>
      <c r="L28" s="61">
        <v>10776</v>
      </c>
      <c r="M28" s="61">
        <v>11333</v>
      </c>
      <c r="N28" s="61">
        <v>15611</v>
      </c>
      <c r="O28" s="61">
        <v>16809</v>
      </c>
      <c r="P28" s="61">
        <v>17985</v>
      </c>
      <c r="Q28" s="61">
        <v>19240</v>
      </c>
      <c r="R28" s="61">
        <v>20749</v>
      </c>
      <c r="S28" s="61">
        <v>22303</v>
      </c>
      <c r="T28" s="61">
        <v>23794</v>
      </c>
      <c r="U28" s="61">
        <v>25379</v>
      </c>
      <c r="V28" s="61">
        <v>27819</v>
      </c>
    </row>
    <row r="29" spans="1:23">
      <c r="A29" s="58">
        <v>15</v>
      </c>
      <c r="C29" s="54" t="s">
        <v>242</v>
      </c>
      <c r="F29" s="61">
        <v>11693</v>
      </c>
      <c r="G29" s="61">
        <v>15462</v>
      </c>
      <c r="H29" s="61">
        <v>16996</v>
      </c>
      <c r="I29" s="61">
        <v>17286</v>
      </c>
      <c r="J29" s="61">
        <v>17401</v>
      </c>
      <c r="K29" s="61">
        <v>14988</v>
      </c>
      <c r="L29" s="61">
        <v>16307</v>
      </c>
      <c r="M29" s="61">
        <v>16156</v>
      </c>
      <c r="N29" s="61">
        <v>17416</v>
      </c>
      <c r="O29" s="61">
        <v>18216</v>
      </c>
      <c r="P29" s="61">
        <v>20029</v>
      </c>
      <c r="Q29" s="61">
        <v>22459</v>
      </c>
      <c r="R29" s="61">
        <v>22699</v>
      </c>
      <c r="S29" s="61">
        <v>23809</v>
      </c>
      <c r="T29" s="61">
        <v>25821</v>
      </c>
      <c r="U29" s="61">
        <v>27448</v>
      </c>
      <c r="V29" s="61">
        <v>27287</v>
      </c>
      <c r="W29" s="61"/>
    </row>
    <row r="30" spans="1:23">
      <c r="A30" s="58">
        <v>16</v>
      </c>
      <c r="B30" s="54" t="s">
        <v>28</v>
      </c>
      <c r="F30" s="64">
        <v>30167</v>
      </c>
      <c r="G30" s="64">
        <v>35200</v>
      </c>
      <c r="H30" s="64">
        <v>36054</v>
      </c>
      <c r="I30" s="64">
        <v>37209</v>
      </c>
      <c r="J30" s="64">
        <v>39484</v>
      </c>
      <c r="K30" s="64">
        <v>39650</v>
      </c>
      <c r="L30" s="64">
        <v>42568</v>
      </c>
      <c r="M30" s="64">
        <v>42052</v>
      </c>
      <c r="N30" s="64">
        <v>50356</v>
      </c>
      <c r="O30" s="64">
        <v>52292</v>
      </c>
      <c r="P30" s="64">
        <v>56368</v>
      </c>
      <c r="Q30" s="64">
        <v>60780</v>
      </c>
      <c r="R30" s="64">
        <v>64600</v>
      </c>
      <c r="S30" s="64">
        <v>66990</v>
      </c>
      <c r="T30" s="64">
        <v>70914</v>
      </c>
      <c r="U30" s="64">
        <v>76883</v>
      </c>
      <c r="V30" s="64">
        <v>76521</v>
      </c>
    </row>
    <row r="31" spans="1:23" ht="4.5" customHeight="1">
      <c r="A31" s="58"/>
      <c r="F31" s="63"/>
      <c r="G31" s="63"/>
      <c r="H31" s="63"/>
      <c r="I31" s="63"/>
      <c r="J31" s="63"/>
      <c r="K31" s="63"/>
      <c r="L31" s="63"/>
      <c r="M31" s="63"/>
      <c r="N31" s="63"/>
      <c r="O31" s="63"/>
      <c r="P31" s="63"/>
      <c r="Q31" s="63"/>
      <c r="R31" s="63"/>
      <c r="S31" s="63"/>
      <c r="T31" s="63"/>
      <c r="U31" s="63"/>
      <c r="V31" s="63"/>
    </row>
    <row r="32" spans="1:23">
      <c r="A32" s="58">
        <v>17</v>
      </c>
      <c r="B32" s="54" t="s">
        <v>29</v>
      </c>
      <c r="F32" s="61">
        <v>5768</v>
      </c>
      <c r="G32" s="61">
        <v>6196</v>
      </c>
      <c r="H32" s="61">
        <v>7113</v>
      </c>
      <c r="I32" s="61">
        <v>7129</v>
      </c>
      <c r="J32" s="61">
        <v>7352</v>
      </c>
      <c r="K32" s="61">
        <v>7156</v>
      </c>
      <c r="L32" s="61">
        <v>7097</v>
      </c>
      <c r="M32" s="61">
        <v>7514</v>
      </c>
      <c r="N32" s="61">
        <v>7919</v>
      </c>
      <c r="O32" s="61">
        <v>9646</v>
      </c>
      <c r="P32" s="61">
        <v>9261</v>
      </c>
      <c r="Q32" s="61">
        <v>10274.701588</v>
      </c>
      <c r="R32" s="61">
        <v>10335.791302</v>
      </c>
      <c r="S32" s="61">
        <v>11334</v>
      </c>
      <c r="T32" s="61">
        <v>11166</v>
      </c>
      <c r="U32" s="61">
        <v>12363</v>
      </c>
      <c r="V32" s="61">
        <v>13021</v>
      </c>
    </row>
    <row r="33" spans="1:22">
      <c r="A33" s="58">
        <v>18</v>
      </c>
      <c r="B33" s="54" t="s">
        <v>30</v>
      </c>
      <c r="F33" s="61">
        <v>5704</v>
      </c>
      <c r="G33" s="61">
        <v>5381</v>
      </c>
      <c r="H33" s="61">
        <v>6261</v>
      </c>
      <c r="I33" s="61">
        <v>6620</v>
      </c>
      <c r="J33" s="61">
        <v>266</v>
      </c>
      <c r="K33" s="61">
        <v>7127</v>
      </c>
      <c r="L33" s="61">
        <v>1159</v>
      </c>
      <c r="M33" s="61">
        <v>7472</v>
      </c>
      <c r="N33" s="61">
        <v>12847</v>
      </c>
      <c r="O33" s="61">
        <v>19736</v>
      </c>
      <c r="P33" s="61">
        <v>20832</v>
      </c>
      <c r="Q33" s="61">
        <v>21292</v>
      </c>
      <c r="R33" s="61">
        <v>18487</v>
      </c>
      <c r="S33" s="61">
        <v>1516</v>
      </c>
      <c r="T33" s="61">
        <v>1383</v>
      </c>
      <c r="U33" s="61">
        <v>1454</v>
      </c>
      <c r="V33" s="61">
        <v>1406</v>
      </c>
    </row>
    <row r="34" spans="1:22">
      <c r="A34" s="58">
        <v>19</v>
      </c>
      <c r="B34" s="54" t="s">
        <v>31</v>
      </c>
      <c r="F34" s="61">
        <v>1071</v>
      </c>
      <c r="G34" s="61">
        <v>734</v>
      </c>
      <c r="H34" s="61">
        <v>628</v>
      </c>
      <c r="I34" s="61">
        <v>734</v>
      </c>
      <c r="J34" s="61">
        <v>686</v>
      </c>
      <c r="K34" s="61">
        <v>430</v>
      </c>
      <c r="L34" s="61">
        <v>657</v>
      </c>
      <c r="M34" s="61">
        <v>682</v>
      </c>
      <c r="N34" s="61">
        <v>571</v>
      </c>
      <c r="O34" s="61">
        <v>660</v>
      </c>
      <c r="P34" s="61">
        <v>176</v>
      </c>
      <c r="Q34" s="61">
        <v>4</v>
      </c>
      <c r="R34" s="61">
        <v>5</v>
      </c>
      <c r="S34" s="61">
        <v>5</v>
      </c>
      <c r="T34" s="61">
        <v>0</v>
      </c>
      <c r="U34" s="61">
        <v>0</v>
      </c>
      <c r="V34" s="61">
        <v>0</v>
      </c>
    </row>
    <row r="35" spans="1:22" ht="2.25" customHeight="1">
      <c r="A35" s="58"/>
      <c r="F35" s="63"/>
      <c r="G35" s="63"/>
      <c r="H35" s="63"/>
      <c r="I35" s="63"/>
      <c r="J35" s="63"/>
      <c r="K35" s="63"/>
      <c r="L35" s="63"/>
      <c r="M35" s="63"/>
      <c r="N35" s="63"/>
      <c r="O35" s="63"/>
      <c r="P35" s="63"/>
      <c r="Q35" s="63"/>
      <c r="R35" s="63"/>
      <c r="S35" s="63"/>
      <c r="T35" s="63"/>
      <c r="U35" s="63"/>
      <c r="V35" s="63"/>
    </row>
    <row r="36" spans="1:22">
      <c r="A36" s="58"/>
      <c r="B36" s="54" t="s">
        <v>32</v>
      </c>
      <c r="F36" s="63"/>
      <c r="G36" s="63"/>
      <c r="H36" s="63"/>
      <c r="I36" s="63"/>
      <c r="J36" s="63"/>
      <c r="K36" s="63"/>
      <c r="L36" s="63"/>
      <c r="M36" s="63"/>
      <c r="N36" s="63"/>
      <c r="O36" s="63"/>
      <c r="P36" s="63"/>
      <c r="Q36" s="63"/>
      <c r="R36" s="63"/>
      <c r="S36" s="63"/>
      <c r="T36" s="63"/>
      <c r="U36" s="63"/>
      <c r="V36" s="63"/>
    </row>
    <row r="37" spans="1:22">
      <c r="A37" s="58">
        <v>20</v>
      </c>
      <c r="C37" s="54" t="s">
        <v>20</v>
      </c>
      <c r="F37" s="61">
        <v>30350</v>
      </c>
      <c r="G37" s="61">
        <v>25102</v>
      </c>
      <c r="H37" s="61">
        <v>30304</v>
      </c>
      <c r="I37" s="61">
        <v>30153</v>
      </c>
      <c r="J37" s="61">
        <v>31927</v>
      </c>
      <c r="K37" s="61">
        <v>33143</v>
      </c>
      <c r="L37" s="61">
        <v>33148</v>
      </c>
      <c r="M37" s="61">
        <v>35844</v>
      </c>
      <c r="N37" s="61">
        <v>35982</v>
      </c>
      <c r="O37" s="61">
        <v>38461</v>
      </c>
      <c r="P37" s="61">
        <v>44662</v>
      </c>
      <c r="Q37" s="61">
        <v>44779.252</v>
      </c>
      <c r="R37" s="61">
        <v>49333.396000000001</v>
      </c>
      <c r="S37" s="61">
        <v>43310</v>
      </c>
      <c r="T37" s="61">
        <v>46210</v>
      </c>
      <c r="U37" s="61">
        <v>49942</v>
      </c>
      <c r="V37" s="61">
        <v>48989</v>
      </c>
    </row>
    <row r="38" spans="1:22">
      <c r="A38" s="58">
        <v>21</v>
      </c>
      <c r="C38" s="54" t="s">
        <v>27</v>
      </c>
      <c r="F38" s="61">
        <v>3998</v>
      </c>
      <c r="G38" s="61">
        <v>4414</v>
      </c>
      <c r="H38" s="61">
        <v>6606</v>
      </c>
      <c r="I38" s="61">
        <v>6659</v>
      </c>
      <c r="J38" s="61">
        <v>6072</v>
      </c>
      <c r="K38" s="61">
        <v>6537</v>
      </c>
      <c r="L38" s="61">
        <v>6459</v>
      </c>
      <c r="M38" s="61">
        <v>6739</v>
      </c>
      <c r="N38" s="61">
        <v>7187</v>
      </c>
      <c r="O38" s="61">
        <v>7688</v>
      </c>
      <c r="P38" s="61">
        <v>9277</v>
      </c>
      <c r="Q38" s="61">
        <v>10906</v>
      </c>
      <c r="R38" s="61">
        <v>12517</v>
      </c>
      <c r="S38" s="61">
        <v>14721</v>
      </c>
      <c r="T38" s="61">
        <v>16947</v>
      </c>
      <c r="U38" s="61">
        <v>21503</v>
      </c>
      <c r="V38" s="61">
        <v>23877</v>
      </c>
    </row>
    <row r="39" spans="1:22">
      <c r="A39" s="58">
        <v>22</v>
      </c>
      <c r="C39" s="54" t="s">
        <v>24</v>
      </c>
      <c r="F39" s="61">
        <v>5</v>
      </c>
      <c r="G39" s="61">
        <v>2</v>
      </c>
      <c r="H39" s="61">
        <v>1</v>
      </c>
      <c r="I39" s="61">
        <v>2</v>
      </c>
      <c r="J39" s="61">
        <v>3</v>
      </c>
      <c r="K39" s="61">
        <v>-4</v>
      </c>
      <c r="L39" s="61">
        <v>0</v>
      </c>
      <c r="M39" s="61">
        <v>-9</v>
      </c>
      <c r="N39" s="61">
        <v>-3</v>
      </c>
      <c r="O39" s="61">
        <v>-3</v>
      </c>
      <c r="P39" s="61">
        <v>2</v>
      </c>
      <c r="Q39" s="61">
        <v>0</v>
      </c>
      <c r="R39" s="61">
        <v>-4</v>
      </c>
      <c r="S39" s="61">
        <v>0</v>
      </c>
      <c r="T39" s="61">
        <v>0</v>
      </c>
      <c r="U39" s="61">
        <v>0</v>
      </c>
      <c r="V39" s="61">
        <v>0</v>
      </c>
    </row>
    <row r="40" spans="1:22">
      <c r="A40" s="58">
        <v>23</v>
      </c>
      <c r="B40" s="54" t="s">
        <v>33</v>
      </c>
      <c r="F40" s="64">
        <v>34353</v>
      </c>
      <c r="G40" s="64">
        <v>29518</v>
      </c>
      <c r="H40" s="64">
        <v>36911</v>
      </c>
      <c r="I40" s="64">
        <v>36814</v>
      </c>
      <c r="J40" s="64">
        <v>38002</v>
      </c>
      <c r="K40" s="64">
        <v>39676</v>
      </c>
      <c r="L40" s="64">
        <v>39607</v>
      </c>
      <c r="M40" s="64">
        <v>42574</v>
      </c>
      <c r="N40" s="64">
        <v>43166</v>
      </c>
      <c r="O40" s="64">
        <v>46146</v>
      </c>
      <c r="P40" s="64">
        <v>53941</v>
      </c>
      <c r="Q40" s="64">
        <v>55685.252</v>
      </c>
      <c r="R40" s="64">
        <v>61846.396000000001</v>
      </c>
      <c r="S40" s="64">
        <v>58031</v>
      </c>
      <c r="T40" s="64">
        <v>63157</v>
      </c>
      <c r="U40" s="64">
        <v>71445</v>
      </c>
      <c r="V40" s="64">
        <v>72866</v>
      </c>
    </row>
    <row r="41" spans="1:22">
      <c r="A41" s="58">
        <v>24</v>
      </c>
      <c r="B41" s="54" t="s">
        <v>34</v>
      </c>
      <c r="F41" s="64">
        <v>343205</v>
      </c>
      <c r="G41" s="64">
        <v>270636</v>
      </c>
      <c r="H41" s="64">
        <v>260183</v>
      </c>
      <c r="I41" s="64">
        <v>288832</v>
      </c>
      <c r="J41" s="64">
        <v>268539</v>
      </c>
      <c r="K41" s="64">
        <v>278171</v>
      </c>
      <c r="L41" s="64">
        <v>309354</v>
      </c>
      <c r="M41" s="64">
        <v>298938</v>
      </c>
      <c r="N41" s="64">
        <v>334636</v>
      </c>
      <c r="O41" s="64">
        <v>347796</v>
      </c>
      <c r="P41" s="64">
        <v>461966</v>
      </c>
      <c r="Q41" s="64">
        <v>421218.95358799997</v>
      </c>
      <c r="R41" s="64">
        <v>417744.18730200001</v>
      </c>
      <c r="S41" s="64">
        <v>435640</v>
      </c>
      <c r="T41" s="64">
        <v>428214</v>
      </c>
      <c r="U41" s="64">
        <v>432791</v>
      </c>
      <c r="V41" s="64">
        <v>425029</v>
      </c>
    </row>
    <row r="42" spans="1:22" ht="6.75" customHeight="1">
      <c r="A42" s="58"/>
      <c r="F42" s="66"/>
      <c r="G42" s="66"/>
      <c r="H42" s="66"/>
      <c r="I42" s="66"/>
      <c r="J42" s="66"/>
      <c r="K42" s="66"/>
      <c r="L42" s="66"/>
      <c r="M42" s="66"/>
      <c r="N42" s="66"/>
      <c r="O42" s="66"/>
      <c r="P42" s="66"/>
      <c r="Q42" s="66"/>
      <c r="R42" s="66"/>
      <c r="S42" s="66"/>
      <c r="T42" s="66"/>
      <c r="U42" s="66"/>
      <c r="V42" s="66"/>
    </row>
    <row r="43" spans="1:22">
      <c r="A43" s="58">
        <v>25</v>
      </c>
      <c r="B43" s="54" t="s">
        <v>35</v>
      </c>
      <c r="F43" s="64">
        <v>50049</v>
      </c>
      <c r="G43" s="64">
        <v>93786</v>
      </c>
      <c r="H43" s="64">
        <v>78118</v>
      </c>
      <c r="I43" s="64">
        <v>87772</v>
      </c>
      <c r="J43" s="64">
        <v>66659</v>
      </c>
      <c r="K43" s="64">
        <v>66735</v>
      </c>
      <c r="L43" s="64">
        <v>58866</v>
      </c>
      <c r="M43" s="64">
        <v>73260</v>
      </c>
      <c r="N43" s="64">
        <v>89384</v>
      </c>
      <c r="O43" s="64">
        <v>96579.549100000004</v>
      </c>
      <c r="P43" s="64">
        <v>99828.970363199944</v>
      </c>
      <c r="Q43" s="64">
        <v>-354128.92358800001</v>
      </c>
      <c r="R43" s="64">
        <v>109975.81269799999</v>
      </c>
      <c r="S43" s="64">
        <v>122007</v>
      </c>
      <c r="T43" s="64">
        <v>139241</v>
      </c>
      <c r="U43" s="64">
        <v>131791</v>
      </c>
      <c r="V43" s="64">
        <v>143494</v>
      </c>
    </row>
    <row r="44" spans="1:22" ht="6.75" customHeight="1">
      <c r="A44" s="58"/>
      <c r="F44" s="63"/>
      <c r="G44" s="63"/>
      <c r="H44" s="63"/>
      <c r="I44" s="63"/>
      <c r="J44" s="63"/>
      <c r="K44" s="63"/>
      <c r="L44" s="63"/>
      <c r="M44" s="63"/>
      <c r="N44" s="63"/>
      <c r="O44" s="63"/>
      <c r="P44" s="63"/>
      <c r="Q44" s="63"/>
      <c r="R44" s="63"/>
      <c r="S44" s="63"/>
      <c r="T44" s="63"/>
      <c r="U44" s="63"/>
      <c r="V44" s="63"/>
    </row>
    <row r="45" spans="1:22">
      <c r="A45" s="58"/>
      <c r="B45" s="54" t="s">
        <v>36</v>
      </c>
      <c r="F45" s="63"/>
      <c r="G45" s="63"/>
      <c r="H45" s="63"/>
      <c r="I45" s="63"/>
      <c r="J45" s="63"/>
      <c r="K45" s="63"/>
      <c r="L45" s="63"/>
      <c r="M45" s="63"/>
      <c r="N45" s="63"/>
      <c r="O45" s="63"/>
      <c r="P45" s="63"/>
      <c r="Q45" s="63"/>
      <c r="R45" s="63"/>
      <c r="S45" s="63"/>
      <c r="T45" s="63"/>
      <c r="U45" s="63"/>
      <c r="V45" s="63"/>
    </row>
    <row r="46" spans="1:22">
      <c r="A46" s="58">
        <v>26</v>
      </c>
      <c r="B46" s="54" t="s">
        <v>37</v>
      </c>
      <c r="F46" s="61">
        <v>13500</v>
      </c>
      <c r="G46" s="61">
        <v>7802.6454399910144</v>
      </c>
      <c r="H46" s="61">
        <v>12532.4934614427</v>
      </c>
      <c r="I46" s="61">
        <v>18199.38094551977</v>
      </c>
      <c r="J46" s="61">
        <v>10602.745932108257</v>
      </c>
      <c r="K46" s="61">
        <v>6760.4768703774607</v>
      </c>
      <c r="L46" s="61">
        <v>3583.5198936206907</v>
      </c>
      <c r="M46" s="61">
        <v>5069.5165750000015</v>
      </c>
      <c r="N46" s="61">
        <v>-6217.1202000000012</v>
      </c>
      <c r="O46" s="61">
        <v>-1846</v>
      </c>
      <c r="P46" s="61">
        <v>9263</v>
      </c>
      <c r="Q46" s="61">
        <v>6568.9074099999998</v>
      </c>
      <c r="R46" s="61">
        <v>11499.260571799998</v>
      </c>
      <c r="S46" s="61">
        <v>19267</v>
      </c>
      <c r="T46" s="61">
        <v>-7683</v>
      </c>
      <c r="U46" s="61">
        <v>4968</v>
      </c>
      <c r="V46" s="61">
        <v>-29081</v>
      </c>
    </row>
    <row r="47" spans="1:22">
      <c r="A47" s="58">
        <v>27</v>
      </c>
      <c r="B47" s="54" t="s">
        <v>38</v>
      </c>
      <c r="F47" s="61">
        <v>0</v>
      </c>
      <c r="G47" s="61">
        <v>0</v>
      </c>
      <c r="H47" s="61">
        <v>0</v>
      </c>
      <c r="I47" s="61">
        <v>0</v>
      </c>
      <c r="J47" s="61">
        <v>0</v>
      </c>
      <c r="K47" s="61">
        <v>0</v>
      </c>
      <c r="L47" s="61">
        <v>0</v>
      </c>
      <c r="M47" s="61">
        <v>0</v>
      </c>
      <c r="N47" s="61">
        <v>0</v>
      </c>
      <c r="O47" s="61">
        <v>0</v>
      </c>
      <c r="P47" s="61">
        <v>0</v>
      </c>
      <c r="Q47" s="61">
        <v>206.8288</v>
      </c>
      <c r="R47" s="61">
        <v>70.410550000000001</v>
      </c>
      <c r="S47" s="61">
        <v>1</v>
      </c>
      <c r="T47" s="61">
        <v>-136</v>
      </c>
      <c r="U47" s="61">
        <v>1</v>
      </c>
      <c r="V47" s="61">
        <v>21</v>
      </c>
    </row>
    <row r="48" spans="1:22">
      <c r="A48" s="58">
        <v>28</v>
      </c>
      <c r="B48" s="54" t="s">
        <v>39</v>
      </c>
      <c r="F48" s="61">
        <v>3549</v>
      </c>
      <c r="G48" s="61">
        <v>16107</v>
      </c>
      <c r="H48" s="61">
        <v>3470</v>
      </c>
      <c r="I48" s="61">
        <v>1284</v>
      </c>
      <c r="J48" s="61">
        <v>608</v>
      </c>
      <c r="K48" s="61">
        <v>3867</v>
      </c>
      <c r="L48" s="61">
        <v>3975</v>
      </c>
      <c r="M48" s="61">
        <v>6497</v>
      </c>
      <c r="N48" s="61">
        <v>26634</v>
      </c>
      <c r="O48" s="61">
        <v>23983</v>
      </c>
      <c r="P48" s="61">
        <v>13823</v>
      </c>
      <c r="Q48" s="61">
        <v>16402</v>
      </c>
      <c r="R48" s="61">
        <v>15684</v>
      </c>
      <c r="S48" s="61">
        <v>10613</v>
      </c>
      <c r="T48" s="61">
        <v>46085</v>
      </c>
      <c r="U48" s="61">
        <v>29492</v>
      </c>
      <c r="V48" s="61">
        <v>67191</v>
      </c>
    </row>
    <row r="49" spans="1:24">
      <c r="A49" s="58">
        <v>29</v>
      </c>
      <c r="B49" s="54" t="s">
        <v>40</v>
      </c>
      <c r="F49" s="61">
        <v>0</v>
      </c>
      <c r="G49" s="61">
        <v>0</v>
      </c>
      <c r="H49" s="61">
        <v>0</v>
      </c>
      <c r="I49" s="61">
        <v>0</v>
      </c>
      <c r="J49" s="61">
        <v>0</v>
      </c>
      <c r="K49" s="61">
        <v>0</v>
      </c>
      <c r="L49" s="61">
        <v>0</v>
      </c>
      <c r="M49" s="61">
        <v>0</v>
      </c>
      <c r="N49" s="61">
        <v>0</v>
      </c>
      <c r="O49" s="61">
        <v>-58</v>
      </c>
      <c r="P49" s="61">
        <v>-83</v>
      </c>
      <c r="Q49" s="61">
        <v>-99</v>
      </c>
      <c r="R49" s="61">
        <v>-128</v>
      </c>
      <c r="S49" s="61">
        <v>-130</v>
      </c>
      <c r="T49" s="61">
        <v>-128</v>
      </c>
      <c r="U49" s="61">
        <v>-129</v>
      </c>
      <c r="V49" s="61">
        <v>-326</v>
      </c>
    </row>
    <row r="50" spans="1:24" s="67" customFormat="1">
      <c r="A50" s="58">
        <v>30</v>
      </c>
      <c r="B50" s="67" t="s">
        <v>243</v>
      </c>
      <c r="F50" s="61">
        <v>5683</v>
      </c>
      <c r="G50" s="61">
        <v>5369</v>
      </c>
      <c r="H50" s="61">
        <v>0</v>
      </c>
      <c r="I50" s="61">
        <v>0</v>
      </c>
      <c r="J50" s="61">
        <v>0</v>
      </c>
      <c r="K50" s="61">
        <v>0</v>
      </c>
      <c r="L50" s="61">
        <v>0</v>
      </c>
      <c r="M50" s="61">
        <v>0</v>
      </c>
      <c r="N50" s="61">
        <v>0</v>
      </c>
      <c r="O50" s="61">
        <v>0</v>
      </c>
      <c r="P50" s="61">
        <v>0</v>
      </c>
      <c r="Q50" s="61">
        <v>0</v>
      </c>
      <c r="R50" s="61">
        <v>0</v>
      </c>
      <c r="S50" s="61">
        <v>0</v>
      </c>
      <c r="T50" s="61">
        <v>0</v>
      </c>
      <c r="U50" s="61">
        <v>0</v>
      </c>
      <c r="V50" s="61">
        <v>0</v>
      </c>
    </row>
    <row r="51" spans="1:24" ht="12.75" thickBot="1">
      <c r="A51" s="58">
        <v>31</v>
      </c>
      <c r="B51" s="54" t="s">
        <v>41</v>
      </c>
      <c r="F51" s="68">
        <v>27317</v>
      </c>
      <c r="G51" s="68">
        <v>64507.354560008986</v>
      </c>
      <c r="H51" s="68">
        <v>62115.506538557296</v>
      </c>
      <c r="I51" s="68">
        <v>68288.619054480223</v>
      </c>
      <c r="J51" s="68">
        <v>55448.254067891743</v>
      </c>
      <c r="K51" s="68">
        <v>56107.523129622539</v>
      </c>
      <c r="L51" s="68">
        <v>51307.480106379313</v>
      </c>
      <c r="M51" s="68">
        <v>61693.483424999999</v>
      </c>
      <c r="N51" s="68">
        <v>68967.120200000005</v>
      </c>
      <c r="O51" s="68">
        <v>74500.549100000004</v>
      </c>
      <c r="P51" s="68">
        <v>76825.970363199944</v>
      </c>
      <c r="Q51" s="68">
        <v>-377207.65979800001</v>
      </c>
      <c r="R51" s="68">
        <v>82850.141576199996</v>
      </c>
      <c r="S51" s="68">
        <v>92256</v>
      </c>
      <c r="T51" s="68">
        <v>101103</v>
      </c>
      <c r="U51" s="68">
        <v>97459</v>
      </c>
      <c r="V51" s="68">
        <v>105689</v>
      </c>
    </row>
    <row r="52" spans="1:24" ht="3" customHeight="1" thickTop="1">
      <c r="A52" s="69"/>
      <c r="F52" s="70"/>
      <c r="G52" s="70"/>
      <c r="H52" s="70"/>
      <c r="I52" s="70"/>
      <c r="J52" s="70"/>
      <c r="K52" s="70"/>
      <c r="L52" s="70"/>
      <c r="M52" s="70"/>
      <c r="N52" s="70"/>
      <c r="O52" s="70"/>
      <c r="P52" s="70"/>
      <c r="Q52" s="70"/>
      <c r="R52" s="70"/>
      <c r="S52" s="80"/>
      <c r="T52" s="80"/>
      <c r="U52" s="80"/>
      <c r="V52" s="80"/>
    </row>
    <row r="53" spans="1:24" ht="10.5" customHeight="1">
      <c r="A53" s="58"/>
      <c r="C53" s="53" t="s">
        <v>244</v>
      </c>
      <c r="F53" s="59"/>
      <c r="G53" s="59"/>
      <c r="H53" s="59"/>
      <c r="I53" s="59"/>
      <c r="J53" s="59"/>
      <c r="K53" s="59"/>
      <c r="L53" s="59"/>
      <c r="M53" s="59"/>
      <c r="N53" s="59"/>
      <c r="O53" s="59"/>
      <c r="P53" s="59"/>
      <c r="Q53" s="59"/>
      <c r="R53" s="59"/>
      <c r="S53" s="80"/>
      <c r="T53" s="80"/>
      <c r="U53" s="80"/>
      <c r="V53" s="80"/>
    </row>
    <row r="54" spans="1:24" ht="3.75" hidden="1" customHeight="1">
      <c r="A54" s="388"/>
      <c r="B54" s="388"/>
      <c r="C54" s="388"/>
      <c r="D54" s="388"/>
      <c r="E54" s="388"/>
      <c r="F54" s="388"/>
      <c r="G54" s="388"/>
      <c r="H54" s="388"/>
      <c r="I54" s="388"/>
      <c r="J54" s="388"/>
      <c r="K54" s="388"/>
      <c r="L54" s="388"/>
      <c r="M54" s="388"/>
      <c r="N54" s="388"/>
      <c r="O54" s="388"/>
      <c r="P54" s="388"/>
      <c r="Q54" s="388"/>
      <c r="R54" s="388"/>
    </row>
    <row r="55" spans="1:24" ht="15.75" hidden="1">
      <c r="A55" s="71" t="s">
        <v>239</v>
      </c>
      <c r="E55" s="50" t="s">
        <v>238</v>
      </c>
      <c r="F55" s="50"/>
      <c r="G55" s="50"/>
      <c r="H55" s="50"/>
      <c r="I55" s="50"/>
      <c r="J55" s="50"/>
      <c r="K55" s="50"/>
      <c r="L55" s="50"/>
      <c r="M55" s="50"/>
      <c r="N55" s="50"/>
      <c r="O55" s="50"/>
      <c r="P55" s="50"/>
      <c r="Q55" s="50"/>
      <c r="R55" s="50"/>
      <c r="S55" s="80"/>
      <c r="T55" s="80"/>
      <c r="U55" s="80"/>
      <c r="V55" s="80"/>
    </row>
    <row r="56" spans="1:24" ht="3.75" hidden="1" customHeight="1">
      <c r="A56" s="71"/>
      <c r="G56" s="59"/>
      <c r="H56" s="59"/>
      <c r="I56" s="59"/>
      <c r="J56" s="59"/>
      <c r="K56" s="59"/>
      <c r="L56" s="59"/>
      <c r="M56" s="59"/>
      <c r="N56" s="59"/>
      <c r="O56" s="59"/>
      <c r="P56" s="59"/>
      <c r="Q56" s="59"/>
      <c r="R56" s="59"/>
      <c r="S56" s="80"/>
      <c r="T56" s="80"/>
      <c r="U56" s="80"/>
      <c r="V56" s="80"/>
    </row>
    <row r="57" spans="1:24" ht="6" hidden="1" customHeight="1">
      <c r="A57" s="71"/>
      <c r="G57" s="59"/>
      <c r="H57" s="59"/>
      <c r="I57" s="59"/>
      <c r="J57" s="59"/>
      <c r="K57" s="59"/>
      <c r="L57" s="59"/>
      <c r="M57" s="59"/>
      <c r="N57" s="59"/>
      <c r="O57" s="59"/>
      <c r="P57" s="59"/>
      <c r="Q57" s="59"/>
      <c r="R57" s="59"/>
      <c r="S57" s="80"/>
      <c r="T57" s="80"/>
      <c r="U57" s="80"/>
      <c r="V57" s="80"/>
    </row>
    <row r="58" spans="1:24" ht="12.75" hidden="1">
      <c r="A58" s="71" t="s">
        <v>240</v>
      </c>
      <c r="F58" s="59"/>
      <c r="G58" s="59"/>
      <c r="H58" s="59"/>
      <c r="I58" s="59"/>
      <c r="J58" s="59"/>
      <c r="K58" s="59"/>
      <c r="L58" s="59"/>
      <c r="M58" s="59"/>
      <c r="N58" s="59"/>
      <c r="O58" s="59"/>
      <c r="P58" s="59"/>
      <c r="Q58" s="59"/>
      <c r="R58" s="59"/>
      <c r="S58" s="80"/>
      <c r="T58" s="79"/>
      <c r="U58" s="79"/>
      <c r="V58" s="79"/>
    </row>
    <row r="59" spans="1:24" hidden="1">
      <c r="A59" s="58" t="s">
        <v>6</v>
      </c>
      <c r="F59" s="59">
        <v>2000</v>
      </c>
      <c r="G59" s="59">
        <v>2001</v>
      </c>
      <c r="H59" s="59">
        <v>2002</v>
      </c>
      <c r="I59" s="59">
        <v>2003</v>
      </c>
      <c r="J59" s="59">
        <v>2004</v>
      </c>
      <c r="K59" s="59">
        <v>2005</v>
      </c>
      <c r="L59" s="59">
        <v>2006</v>
      </c>
      <c r="M59" s="59">
        <v>2007</v>
      </c>
      <c r="N59" s="59">
        <v>2008</v>
      </c>
      <c r="O59" s="59">
        <v>2009</v>
      </c>
      <c r="P59" s="59">
        <v>2010</v>
      </c>
      <c r="Q59" s="59">
        <v>2011</v>
      </c>
      <c r="R59" s="59">
        <v>2012</v>
      </c>
      <c r="S59" s="59">
        <v>2013</v>
      </c>
      <c r="T59" s="59">
        <v>2014</v>
      </c>
      <c r="U59" s="59">
        <v>2015</v>
      </c>
      <c r="V59" s="59">
        <v>2016</v>
      </c>
    </row>
    <row r="60" spans="1:24">
      <c r="A60" s="58"/>
      <c r="B60" s="54" t="s">
        <v>42</v>
      </c>
      <c r="G60" s="55"/>
      <c r="H60" s="55"/>
      <c r="I60" s="55"/>
      <c r="J60" s="55"/>
      <c r="L60" s="55"/>
      <c r="M60" s="55"/>
      <c r="N60" s="55"/>
      <c r="O60" s="55"/>
      <c r="P60" s="55"/>
      <c r="Q60" s="55"/>
      <c r="R60" s="55"/>
    </row>
    <row r="61" spans="1:24">
      <c r="A61" s="58"/>
      <c r="B61" s="54" t="s">
        <v>43</v>
      </c>
      <c r="G61" s="55"/>
      <c r="H61" s="55"/>
      <c r="I61" s="55"/>
      <c r="J61" s="55"/>
      <c r="L61" s="55"/>
      <c r="M61" s="55"/>
      <c r="N61" s="55"/>
      <c r="O61" s="55"/>
      <c r="P61" s="55"/>
      <c r="Q61" s="55"/>
      <c r="R61" s="55"/>
      <c r="X61" s="83"/>
    </row>
    <row r="62" spans="1:24">
      <c r="A62" s="58">
        <v>32</v>
      </c>
      <c r="C62" s="54" t="s">
        <v>44</v>
      </c>
      <c r="F62" s="60">
        <v>15127</v>
      </c>
      <c r="G62" s="60">
        <v>16340</v>
      </c>
      <c r="H62" s="60">
        <v>20910</v>
      </c>
      <c r="I62" s="60">
        <v>21299</v>
      </c>
      <c r="J62" s="60">
        <v>21374</v>
      </c>
      <c r="K62" s="60">
        <v>22459</v>
      </c>
      <c r="L62" s="60">
        <v>23458</v>
      </c>
      <c r="M62" s="60">
        <v>20632</v>
      </c>
      <c r="N62" s="60">
        <v>23321</v>
      </c>
      <c r="O62" s="60">
        <v>57116</v>
      </c>
      <c r="P62" s="60">
        <v>81955</v>
      </c>
      <c r="Q62" s="60">
        <v>84081</v>
      </c>
      <c r="R62" s="60">
        <v>85247</v>
      </c>
      <c r="S62" s="60">
        <v>91466</v>
      </c>
      <c r="T62" s="60">
        <v>102620</v>
      </c>
      <c r="U62" s="60">
        <v>144970</v>
      </c>
      <c r="V62" s="60">
        <v>156057</v>
      </c>
      <c r="X62" s="84"/>
    </row>
    <row r="63" spans="1:24">
      <c r="A63" s="58">
        <v>33</v>
      </c>
      <c r="C63" s="54" t="s">
        <v>45</v>
      </c>
      <c r="F63" s="61">
        <v>455498</v>
      </c>
      <c r="G63" s="61">
        <v>460292</v>
      </c>
      <c r="H63" s="61">
        <v>545002</v>
      </c>
      <c r="I63" s="61">
        <v>556067</v>
      </c>
      <c r="J63" s="61">
        <v>598268</v>
      </c>
      <c r="K63" s="61">
        <v>615624</v>
      </c>
      <c r="L63" s="61">
        <v>649965</v>
      </c>
      <c r="M63" s="61">
        <v>645576</v>
      </c>
      <c r="N63" s="61">
        <v>657099</v>
      </c>
      <c r="O63" s="61">
        <v>677646</v>
      </c>
      <c r="P63" s="61">
        <v>692689</v>
      </c>
      <c r="Q63" s="61">
        <v>706894</v>
      </c>
      <c r="R63" s="61">
        <v>717448</v>
      </c>
      <c r="S63" s="61">
        <v>738315</v>
      </c>
      <c r="T63" s="61">
        <v>746101</v>
      </c>
      <c r="U63" s="61">
        <v>779441</v>
      </c>
      <c r="V63" s="61">
        <v>832833</v>
      </c>
      <c r="X63" s="84"/>
    </row>
    <row r="64" spans="1:24">
      <c r="A64" s="58">
        <v>34</v>
      </c>
      <c r="C64" s="54" t="s">
        <v>46</v>
      </c>
      <c r="F64" s="61">
        <v>181627</v>
      </c>
      <c r="G64" s="61">
        <v>191517</v>
      </c>
      <c r="H64" s="61">
        <v>186550</v>
      </c>
      <c r="I64" s="61">
        <v>196937</v>
      </c>
      <c r="J64" s="61">
        <v>213539</v>
      </c>
      <c r="K64" s="61">
        <v>224696</v>
      </c>
      <c r="L64" s="61">
        <v>244435</v>
      </c>
      <c r="M64" s="61">
        <v>259532</v>
      </c>
      <c r="N64" s="61">
        <v>289302</v>
      </c>
      <c r="O64" s="61">
        <v>301090</v>
      </c>
      <c r="P64" s="61">
        <v>312505</v>
      </c>
      <c r="Q64" s="61">
        <v>328012</v>
      </c>
      <c r="R64" s="61">
        <v>342382</v>
      </c>
      <c r="S64" s="61">
        <v>359941</v>
      </c>
      <c r="T64" s="61">
        <v>371971</v>
      </c>
      <c r="U64" s="61">
        <v>401700</v>
      </c>
      <c r="V64" s="61">
        <v>430613</v>
      </c>
      <c r="X64" s="84"/>
    </row>
    <row r="65" spans="1:24">
      <c r="A65" s="58">
        <v>35</v>
      </c>
      <c r="C65" s="54" t="s">
        <v>26</v>
      </c>
      <c r="F65" s="61">
        <v>398952</v>
      </c>
      <c r="G65" s="61">
        <v>416914</v>
      </c>
      <c r="H65" s="61">
        <v>429987</v>
      </c>
      <c r="I65" s="61">
        <v>443649</v>
      </c>
      <c r="J65" s="61">
        <v>459739</v>
      </c>
      <c r="K65" s="61">
        <v>480886</v>
      </c>
      <c r="L65" s="61">
        <v>502838</v>
      </c>
      <c r="M65" s="61">
        <v>529067</v>
      </c>
      <c r="N65" s="61">
        <v>561248</v>
      </c>
      <c r="O65" s="61">
        <v>602201</v>
      </c>
      <c r="P65" s="61">
        <v>642143</v>
      </c>
      <c r="Q65" s="61">
        <v>696082</v>
      </c>
      <c r="R65" s="61">
        <v>743732</v>
      </c>
      <c r="S65" s="61">
        <v>796640</v>
      </c>
      <c r="T65" s="61">
        <v>842795</v>
      </c>
      <c r="U65" s="61">
        <v>895055</v>
      </c>
      <c r="V65" s="61">
        <v>970455</v>
      </c>
      <c r="X65" s="84"/>
    </row>
    <row r="66" spans="1:24">
      <c r="A66" s="58">
        <v>36</v>
      </c>
      <c r="C66" s="54" t="s">
        <v>47</v>
      </c>
      <c r="F66" s="61">
        <v>58402</v>
      </c>
      <c r="G66" s="61">
        <v>59846</v>
      </c>
      <c r="H66" s="61">
        <v>59771</v>
      </c>
      <c r="I66" s="61">
        <v>60444</v>
      </c>
      <c r="J66" s="61">
        <v>63155</v>
      </c>
      <c r="K66" s="61">
        <v>65299</v>
      </c>
      <c r="L66" s="61">
        <v>80110</v>
      </c>
      <c r="M66" s="61">
        <v>81368</v>
      </c>
      <c r="N66" s="61">
        <v>91205</v>
      </c>
      <c r="O66" s="61">
        <v>98727</v>
      </c>
      <c r="P66" s="61">
        <v>120996</v>
      </c>
      <c r="Q66" s="61">
        <v>140218</v>
      </c>
      <c r="R66" s="61">
        <v>155104</v>
      </c>
      <c r="S66" s="61">
        <v>179134</v>
      </c>
      <c r="T66" s="61">
        <v>196867</v>
      </c>
      <c r="U66" s="61">
        <v>212726</v>
      </c>
      <c r="V66" s="61">
        <v>233266</v>
      </c>
      <c r="X66" s="84"/>
    </row>
    <row r="67" spans="1:24">
      <c r="A67" s="58">
        <v>37</v>
      </c>
      <c r="B67" s="54" t="s">
        <v>48</v>
      </c>
      <c r="F67" s="64">
        <v>1109606</v>
      </c>
      <c r="G67" s="64">
        <v>1144909</v>
      </c>
      <c r="H67" s="64">
        <v>1242220</v>
      </c>
      <c r="I67" s="64">
        <v>1278396</v>
      </c>
      <c r="J67" s="64">
        <v>1356075</v>
      </c>
      <c r="K67" s="64">
        <v>1408964</v>
      </c>
      <c r="L67" s="64">
        <v>1500806</v>
      </c>
      <c r="M67" s="64">
        <v>1536175</v>
      </c>
      <c r="N67" s="64">
        <v>1622175</v>
      </c>
      <c r="O67" s="64">
        <v>1736780</v>
      </c>
      <c r="P67" s="64">
        <v>1850288</v>
      </c>
      <c r="Q67" s="64">
        <v>1955287</v>
      </c>
      <c r="R67" s="64">
        <v>2043913</v>
      </c>
      <c r="S67" s="64">
        <v>2165496</v>
      </c>
      <c r="T67" s="64">
        <v>2260354</v>
      </c>
      <c r="U67" s="64">
        <v>2433892</v>
      </c>
      <c r="V67" s="64">
        <v>2623224</v>
      </c>
      <c r="X67" s="84"/>
    </row>
    <row r="68" spans="1:24">
      <c r="A68" s="58"/>
      <c r="B68" s="54" t="s">
        <v>49</v>
      </c>
      <c r="G68" s="55"/>
      <c r="H68" s="55"/>
      <c r="I68" s="55"/>
      <c r="J68" s="55"/>
      <c r="L68" s="55"/>
      <c r="M68" s="55"/>
      <c r="N68" s="55"/>
      <c r="O68" s="55"/>
      <c r="P68" s="55"/>
      <c r="Q68" s="55"/>
      <c r="R68" s="55"/>
    </row>
    <row r="69" spans="1:24">
      <c r="A69" s="58">
        <v>38</v>
      </c>
      <c r="C69" s="54" t="s">
        <v>44</v>
      </c>
      <c r="F69" s="73" t="s">
        <v>248</v>
      </c>
      <c r="G69" s="73" t="s">
        <v>248</v>
      </c>
      <c r="H69" s="73" t="s">
        <v>248</v>
      </c>
      <c r="I69" s="73" t="s">
        <v>248</v>
      </c>
      <c r="J69" s="73" t="s">
        <v>248</v>
      </c>
      <c r="K69" s="73" t="s">
        <v>248</v>
      </c>
      <c r="L69" s="73" t="s">
        <v>248</v>
      </c>
      <c r="M69" s="73">
        <v>6349</v>
      </c>
      <c r="N69" s="73">
        <v>7252</v>
      </c>
      <c r="O69" s="73">
        <v>9302</v>
      </c>
      <c r="P69" s="73">
        <v>12606</v>
      </c>
      <c r="Q69" s="61">
        <v>13074</v>
      </c>
      <c r="R69" s="61">
        <v>14736</v>
      </c>
      <c r="S69" s="61">
        <v>17667</v>
      </c>
      <c r="T69" s="61">
        <v>20242</v>
      </c>
      <c r="U69" s="61">
        <v>24943</v>
      </c>
      <c r="V69" s="61">
        <v>30914</v>
      </c>
      <c r="W69" s="85"/>
      <c r="X69" s="84"/>
    </row>
    <row r="70" spans="1:24" ht="12.75" customHeight="1">
      <c r="A70" s="58">
        <v>39</v>
      </c>
      <c r="C70" s="54" t="s">
        <v>45</v>
      </c>
      <c r="F70" s="73" t="s">
        <v>248</v>
      </c>
      <c r="G70" s="73" t="s">
        <v>248</v>
      </c>
      <c r="H70" s="73" t="s">
        <v>248</v>
      </c>
      <c r="I70" s="73" t="s">
        <v>248</v>
      </c>
      <c r="J70" s="73" t="s">
        <v>248</v>
      </c>
      <c r="K70" s="73" t="s">
        <v>248</v>
      </c>
      <c r="L70" s="73" t="s">
        <v>248</v>
      </c>
      <c r="M70" s="73">
        <v>230738</v>
      </c>
      <c r="N70" s="73">
        <v>243189</v>
      </c>
      <c r="O70" s="73">
        <v>255390</v>
      </c>
      <c r="P70" s="73">
        <v>272340</v>
      </c>
      <c r="Q70" s="61">
        <v>286300</v>
      </c>
      <c r="R70" s="61">
        <v>300170</v>
      </c>
      <c r="S70" s="61">
        <v>314599</v>
      </c>
      <c r="T70" s="61">
        <v>325531</v>
      </c>
      <c r="U70" s="61">
        <v>342899</v>
      </c>
      <c r="V70" s="61">
        <v>351625</v>
      </c>
      <c r="W70" s="85"/>
      <c r="X70" s="84"/>
    </row>
    <row r="71" spans="1:24" ht="12.75" customHeight="1">
      <c r="A71" s="58">
        <v>40</v>
      </c>
      <c r="C71" s="54" t="s">
        <v>46</v>
      </c>
      <c r="F71" s="73" t="s">
        <v>248</v>
      </c>
      <c r="G71" s="73" t="s">
        <v>248</v>
      </c>
      <c r="H71" s="73" t="s">
        <v>248</v>
      </c>
      <c r="I71" s="73" t="s">
        <v>248</v>
      </c>
      <c r="J71" s="73" t="s">
        <v>248</v>
      </c>
      <c r="K71" s="73" t="s">
        <v>248</v>
      </c>
      <c r="L71" s="73" t="s">
        <v>248</v>
      </c>
      <c r="M71" s="73">
        <v>90140</v>
      </c>
      <c r="N71" s="73">
        <v>95026</v>
      </c>
      <c r="O71" s="73">
        <v>100649</v>
      </c>
      <c r="P71" s="73">
        <v>106041</v>
      </c>
      <c r="Q71" s="61">
        <v>111144</v>
      </c>
      <c r="R71" s="61">
        <v>116316</v>
      </c>
      <c r="S71" s="61">
        <v>122308</v>
      </c>
      <c r="T71" s="61">
        <v>123869</v>
      </c>
      <c r="U71" s="61">
        <v>129936</v>
      </c>
      <c r="V71" s="61">
        <v>135624</v>
      </c>
      <c r="W71" s="85"/>
      <c r="X71" s="84"/>
    </row>
    <row r="72" spans="1:24" ht="12.75" customHeight="1">
      <c r="A72" s="58">
        <v>41</v>
      </c>
      <c r="C72" s="54" t="s">
        <v>26</v>
      </c>
      <c r="F72" s="73" t="s">
        <v>248</v>
      </c>
      <c r="G72" s="73" t="s">
        <v>248</v>
      </c>
      <c r="H72" s="73" t="s">
        <v>248</v>
      </c>
      <c r="I72" s="73" t="s">
        <v>248</v>
      </c>
      <c r="J72" s="73" t="s">
        <v>248</v>
      </c>
      <c r="K72" s="73" t="s">
        <v>248</v>
      </c>
      <c r="L72" s="73" t="s">
        <v>248</v>
      </c>
      <c r="M72" s="73">
        <v>162343</v>
      </c>
      <c r="N72" s="73">
        <v>172026</v>
      </c>
      <c r="O72" s="73">
        <v>181327</v>
      </c>
      <c r="P72" s="73">
        <v>194593</v>
      </c>
      <c r="Q72" s="61">
        <v>209101</v>
      </c>
      <c r="R72" s="61">
        <v>221408</v>
      </c>
      <c r="S72" s="61">
        <v>236201</v>
      </c>
      <c r="T72" s="61">
        <v>252722</v>
      </c>
      <c r="U72" s="61">
        <v>273578</v>
      </c>
      <c r="V72" s="61">
        <v>295383</v>
      </c>
      <c r="W72" s="85"/>
      <c r="X72" s="84"/>
    </row>
    <row r="73" spans="1:24" ht="12.75" customHeight="1">
      <c r="A73" s="58">
        <v>42</v>
      </c>
      <c r="C73" s="54" t="s">
        <v>47</v>
      </c>
      <c r="F73" s="73" t="s">
        <v>248</v>
      </c>
      <c r="G73" s="73" t="s">
        <v>248</v>
      </c>
      <c r="H73" s="73" t="s">
        <v>248</v>
      </c>
      <c r="I73" s="73" t="s">
        <v>248</v>
      </c>
      <c r="J73" s="73" t="s">
        <v>248</v>
      </c>
      <c r="K73" s="73" t="s">
        <v>248</v>
      </c>
      <c r="L73" s="73" t="s">
        <v>248</v>
      </c>
      <c r="M73" s="86">
        <v>36737</v>
      </c>
      <c r="N73" s="86">
        <v>39933</v>
      </c>
      <c r="O73" s="86">
        <v>39153</v>
      </c>
      <c r="P73" s="86">
        <v>43819</v>
      </c>
      <c r="Q73" s="87">
        <v>47365</v>
      </c>
      <c r="R73" s="87">
        <v>51504</v>
      </c>
      <c r="S73" s="87">
        <v>58357</v>
      </c>
      <c r="T73" s="87">
        <v>65720</v>
      </c>
      <c r="U73" s="87">
        <v>73050</v>
      </c>
      <c r="V73" s="87">
        <v>80093</v>
      </c>
      <c r="W73" s="85"/>
      <c r="X73" s="84"/>
    </row>
    <row r="74" spans="1:24" ht="12.75" customHeight="1">
      <c r="A74" s="58">
        <v>43</v>
      </c>
      <c r="B74" s="54" t="s">
        <v>50</v>
      </c>
      <c r="F74" s="61">
        <v>354682</v>
      </c>
      <c r="G74" s="61">
        <v>373090</v>
      </c>
      <c r="H74" s="61">
        <v>391351</v>
      </c>
      <c r="I74" s="61">
        <v>422390</v>
      </c>
      <c r="J74" s="61">
        <v>447359</v>
      </c>
      <c r="K74" s="61">
        <v>474906</v>
      </c>
      <c r="L74" s="61">
        <v>506599</v>
      </c>
      <c r="M74" s="61">
        <v>526307</v>
      </c>
      <c r="N74" s="61">
        <v>557426</v>
      </c>
      <c r="O74" s="61">
        <v>585821</v>
      </c>
      <c r="P74" s="61">
        <v>629399</v>
      </c>
      <c r="Q74" s="61">
        <v>666984</v>
      </c>
      <c r="R74" s="61">
        <v>704134</v>
      </c>
      <c r="S74" s="61">
        <v>749132</v>
      </c>
      <c r="T74" s="61">
        <v>788084</v>
      </c>
      <c r="U74" s="61">
        <v>844406</v>
      </c>
      <c r="V74" s="61">
        <v>893639</v>
      </c>
      <c r="X74" s="84"/>
    </row>
    <row r="75" spans="1:24" ht="12.75" customHeight="1">
      <c r="A75" s="58">
        <v>44</v>
      </c>
      <c r="B75" s="54" t="s">
        <v>51</v>
      </c>
      <c r="F75" s="62">
        <v>754924</v>
      </c>
      <c r="G75" s="62">
        <v>771819</v>
      </c>
      <c r="H75" s="62">
        <v>850869</v>
      </c>
      <c r="I75" s="62">
        <v>856006</v>
      </c>
      <c r="J75" s="62">
        <v>908716</v>
      </c>
      <c r="K75" s="62">
        <v>934058</v>
      </c>
      <c r="L75" s="62">
        <v>994207</v>
      </c>
      <c r="M75" s="62">
        <v>1009868</v>
      </c>
      <c r="N75" s="62">
        <v>1064749</v>
      </c>
      <c r="O75" s="62">
        <v>1150959</v>
      </c>
      <c r="P75" s="62">
        <v>1220889</v>
      </c>
      <c r="Q75" s="62">
        <v>1288303</v>
      </c>
      <c r="R75" s="62">
        <v>1339779</v>
      </c>
      <c r="S75" s="62">
        <v>1416364</v>
      </c>
      <c r="T75" s="62">
        <v>1472270</v>
      </c>
      <c r="U75" s="62">
        <v>1589486</v>
      </c>
      <c r="V75" s="62">
        <v>1729585</v>
      </c>
      <c r="X75" s="84"/>
    </row>
    <row r="76" spans="1:24" ht="2.25" customHeight="1">
      <c r="A76" s="58"/>
      <c r="F76" s="61"/>
      <c r="G76" s="61"/>
      <c r="H76" s="61"/>
      <c r="I76" s="61"/>
      <c r="J76" s="61"/>
      <c r="K76" s="61"/>
      <c r="L76" s="61"/>
      <c r="M76" s="61"/>
      <c r="N76" s="61"/>
      <c r="O76" s="61"/>
      <c r="P76" s="61"/>
      <c r="Q76" s="61"/>
      <c r="R76" s="61"/>
      <c r="S76" s="61"/>
      <c r="T76" s="61"/>
      <c r="U76" s="61"/>
      <c r="V76" s="61"/>
    </row>
    <row r="77" spans="1:24">
      <c r="A77" s="58">
        <v>45</v>
      </c>
      <c r="B77" s="54" t="s">
        <v>52</v>
      </c>
      <c r="F77" s="63">
        <v>-105775</v>
      </c>
      <c r="G77" s="63">
        <v>-109541</v>
      </c>
      <c r="H77" s="63">
        <v>-111367</v>
      </c>
      <c r="I77" s="63">
        <v>-135404</v>
      </c>
      <c r="J77" s="63">
        <v>-150960</v>
      </c>
      <c r="K77" s="63">
        <v>-134967</v>
      </c>
      <c r="L77" s="63">
        <v>-138495</v>
      </c>
      <c r="M77" s="63">
        <v>-139033</v>
      </c>
      <c r="N77" s="63">
        <v>-147502</v>
      </c>
      <c r="O77" s="63">
        <v>-163716</v>
      </c>
      <c r="P77" s="63">
        <v>-184825</v>
      </c>
      <c r="Q77" s="63">
        <v>-201163</v>
      </c>
      <c r="R77" s="63">
        <v>-208209</v>
      </c>
      <c r="S77" s="63">
        <v>-221354</v>
      </c>
      <c r="T77" s="63">
        <v>-257766</v>
      </c>
      <c r="U77" s="63">
        <v>-317860</v>
      </c>
      <c r="V77" s="63">
        <v>-353900</v>
      </c>
    </row>
    <row r="78" spans="1:24">
      <c r="A78" s="58">
        <v>46</v>
      </c>
      <c r="C78" s="53" t="s">
        <v>119</v>
      </c>
      <c r="D78" s="53"/>
      <c r="E78" s="53"/>
      <c r="F78" s="75">
        <v>649149</v>
      </c>
      <c r="G78" s="75">
        <v>662278</v>
      </c>
      <c r="H78" s="75">
        <v>739502</v>
      </c>
      <c r="I78" s="75">
        <v>720602</v>
      </c>
      <c r="J78" s="75">
        <v>757756</v>
      </c>
      <c r="K78" s="75">
        <v>799091</v>
      </c>
      <c r="L78" s="75">
        <v>855712</v>
      </c>
      <c r="M78" s="75">
        <v>870835</v>
      </c>
      <c r="N78" s="75">
        <v>917247</v>
      </c>
      <c r="O78" s="75">
        <v>987243</v>
      </c>
      <c r="P78" s="75">
        <v>1036064</v>
      </c>
      <c r="Q78" s="75">
        <v>1087140</v>
      </c>
      <c r="R78" s="75">
        <v>1131570</v>
      </c>
      <c r="S78" s="75">
        <v>1195010</v>
      </c>
      <c r="T78" s="75">
        <v>1214504</v>
      </c>
      <c r="U78" s="75">
        <v>1271626</v>
      </c>
      <c r="V78" s="75">
        <v>1375685</v>
      </c>
    </row>
    <row r="79" spans="1:24">
      <c r="A79" s="58">
        <v>47</v>
      </c>
      <c r="B79" s="54" t="s">
        <v>247</v>
      </c>
      <c r="F79" s="61">
        <v>-80657</v>
      </c>
      <c r="G79" s="61">
        <v>-64763</v>
      </c>
      <c r="H79" s="61">
        <v>22356</v>
      </c>
      <c r="I79" s="61">
        <v>21841</v>
      </c>
      <c r="J79" s="61">
        <v>20255</v>
      </c>
      <c r="K79" s="61">
        <v>20751</v>
      </c>
      <c r="L79" s="61">
        <v>18799</v>
      </c>
      <c r="M79" s="61">
        <v>21020</v>
      </c>
      <c r="N79" s="61">
        <v>19593</v>
      </c>
      <c r="O79" s="61">
        <v>17776</v>
      </c>
      <c r="P79" s="61">
        <v>17776</v>
      </c>
      <c r="Q79" s="61">
        <v>18845</v>
      </c>
      <c r="R79" s="61">
        <v>16438</v>
      </c>
      <c r="S79" s="61">
        <v>14761</v>
      </c>
      <c r="T79" s="61">
        <v>10846</v>
      </c>
      <c r="U79" s="61">
        <v>7458</v>
      </c>
      <c r="V79" s="61">
        <v>4566</v>
      </c>
    </row>
    <row r="80" spans="1:24">
      <c r="A80" s="58">
        <v>48</v>
      </c>
      <c r="B80" s="54" t="s">
        <v>55</v>
      </c>
      <c r="F80" s="61">
        <v>0</v>
      </c>
      <c r="G80" s="61">
        <v>0</v>
      </c>
      <c r="H80" s="61">
        <v>0</v>
      </c>
      <c r="I80" s="61">
        <v>0</v>
      </c>
      <c r="J80" s="61">
        <v>0</v>
      </c>
      <c r="K80" s="61">
        <v>0</v>
      </c>
      <c r="L80" s="61">
        <v>0</v>
      </c>
      <c r="M80" s="61">
        <v>0</v>
      </c>
      <c r="N80" s="61">
        <v>0</v>
      </c>
      <c r="O80" s="61">
        <v>0</v>
      </c>
      <c r="P80" s="61">
        <v>18188</v>
      </c>
      <c r="Q80" s="61">
        <v>31877</v>
      </c>
      <c r="R80" s="61">
        <v>10967</v>
      </c>
      <c r="S80" s="61">
        <v>16281</v>
      </c>
      <c r="T80" s="61">
        <v>47807</v>
      </c>
      <c r="U80" s="61">
        <v>59722</v>
      </c>
      <c r="V80" s="61">
        <v>62474</v>
      </c>
    </row>
    <row r="81" spans="1:29" ht="6.75" customHeight="1">
      <c r="A81" s="58"/>
      <c r="G81" s="55"/>
      <c r="H81" s="55"/>
      <c r="I81" s="55"/>
      <c r="J81" s="55"/>
      <c r="L81" s="55"/>
      <c r="M81" s="55"/>
      <c r="N81" s="55"/>
      <c r="O81" s="55"/>
      <c r="P81" s="55"/>
      <c r="Q81" s="61"/>
      <c r="R81" s="61"/>
      <c r="S81" s="61"/>
      <c r="T81" s="61"/>
      <c r="U81" s="61"/>
      <c r="V81" s="61"/>
    </row>
    <row r="82" spans="1:29" ht="12.75" thickBot="1">
      <c r="A82" s="58">
        <v>49</v>
      </c>
      <c r="B82" s="54" t="s">
        <v>56</v>
      </c>
      <c r="F82" s="68">
        <v>568492</v>
      </c>
      <c r="G82" s="68">
        <v>597515</v>
      </c>
      <c r="H82" s="68">
        <v>761858</v>
      </c>
      <c r="I82" s="68">
        <v>742443</v>
      </c>
      <c r="J82" s="68">
        <v>778011</v>
      </c>
      <c r="K82" s="68">
        <v>819842</v>
      </c>
      <c r="L82" s="68">
        <v>874511</v>
      </c>
      <c r="M82" s="68">
        <v>891855</v>
      </c>
      <c r="N82" s="68">
        <v>936840</v>
      </c>
      <c r="O82" s="68">
        <v>1005019</v>
      </c>
      <c r="P82" s="68">
        <v>1072028</v>
      </c>
      <c r="Q82" s="68">
        <v>1137863</v>
      </c>
      <c r="R82" s="68">
        <v>1158975</v>
      </c>
      <c r="S82" s="68">
        <v>1226052</v>
      </c>
      <c r="T82" s="68">
        <v>1273157</v>
      </c>
      <c r="U82" s="68">
        <v>1338806</v>
      </c>
      <c r="V82" s="68">
        <v>1442726</v>
      </c>
    </row>
    <row r="83" spans="1:29" ht="12.75" hidden="1" thickTop="1">
      <c r="A83" s="58"/>
      <c r="F83" s="70"/>
      <c r="G83" s="70"/>
      <c r="H83" s="70"/>
      <c r="I83" s="70"/>
      <c r="J83" s="70"/>
      <c r="K83" s="70"/>
      <c r="L83" s="70"/>
      <c r="M83" s="70"/>
      <c r="N83" s="70"/>
      <c r="O83" s="70"/>
      <c r="P83" s="70"/>
      <c r="Q83" s="70"/>
      <c r="R83" s="70"/>
      <c r="S83" s="70"/>
      <c r="T83" s="70"/>
      <c r="U83" s="70"/>
      <c r="V83" s="70"/>
    </row>
    <row r="84" spans="1:29" ht="4.5" customHeight="1" thickTop="1">
      <c r="A84" s="69"/>
      <c r="F84" s="70"/>
      <c r="G84" s="70"/>
      <c r="H84" s="70"/>
      <c r="I84" s="70"/>
      <c r="J84" s="70"/>
      <c r="K84" s="70"/>
      <c r="L84" s="70"/>
      <c r="M84" s="70"/>
      <c r="N84" s="70"/>
      <c r="O84" s="70"/>
      <c r="P84" s="70"/>
      <c r="Q84" s="70"/>
      <c r="R84" s="70"/>
      <c r="S84" s="80"/>
      <c r="T84" s="80"/>
      <c r="U84" s="80"/>
      <c r="V84" s="80"/>
    </row>
    <row r="85" spans="1:29">
      <c r="A85" s="88" t="s">
        <v>239</v>
      </c>
      <c r="B85" s="69"/>
      <c r="C85" s="69"/>
      <c r="F85" s="70"/>
      <c r="G85" s="70"/>
      <c r="H85" s="70"/>
      <c r="I85" s="70"/>
      <c r="J85" s="70"/>
      <c r="K85" s="70"/>
      <c r="L85" s="70"/>
      <c r="M85" s="70"/>
      <c r="N85" s="70"/>
      <c r="O85" s="70"/>
      <c r="P85" s="70"/>
      <c r="Q85" s="70"/>
      <c r="R85" s="70"/>
      <c r="S85" s="80"/>
      <c r="T85" s="80"/>
      <c r="U85" s="80"/>
      <c r="V85" s="80"/>
    </row>
    <row r="86" spans="1:29">
      <c r="A86" s="88" t="s">
        <v>249</v>
      </c>
      <c r="B86" s="69"/>
      <c r="C86" s="69"/>
      <c r="F86" s="70"/>
      <c r="G86" s="70"/>
      <c r="H86" s="70"/>
      <c r="I86" s="70"/>
      <c r="J86" s="70"/>
      <c r="K86" s="70"/>
      <c r="L86" s="70"/>
      <c r="M86" s="70"/>
      <c r="N86" s="70"/>
      <c r="O86" s="70"/>
      <c r="P86" s="70"/>
      <c r="Q86" s="70"/>
      <c r="R86" s="70"/>
      <c r="S86" s="80"/>
      <c r="T86" s="80"/>
      <c r="U86" s="80"/>
      <c r="V86" s="80"/>
    </row>
    <row r="87" spans="1:29" ht="7.5" hidden="1" customHeight="1">
      <c r="A87" s="58"/>
      <c r="C87" s="69"/>
      <c r="F87" s="70"/>
      <c r="G87" s="70"/>
      <c r="H87" s="70"/>
      <c r="I87" s="70"/>
      <c r="J87" s="70"/>
      <c r="K87" s="70"/>
      <c r="L87" s="70"/>
      <c r="M87" s="70"/>
      <c r="N87" s="70"/>
      <c r="O87" s="70"/>
      <c r="P87" s="70"/>
      <c r="Q87" s="70"/>
      <c r="R87" s="70"/>
      <c r="S87" s="80"/>
      <c r="T87" s="80"/>
      <c r="U87" s="80"/>
      <c r="V87" s="80"/>
    </row>
    <row r="88" spans="1:29" ht="15.75">
      <c r="A88" s="89" t="s">
        <v>240</v>
      </c>
      <c r="E88" s="90" t="s">
        <v>250</v>
      </c>
      <c r="F88" s="90"/>
      <c r="G88" s="90"/>
      <c r="H88" s="90"/>
      <c r="I88" s="90"/>
      <c r="J88" s="90"/>
      <c r="K88" s="90"/>
      <c r="L88" s="90"/>
      <c r="M88" s="90"/>
      <c r="N88" s="90"/>
      <c r="O88" s="90"/>
      <c r="P88" s="90"/>
      <c r="Q88" s="90"/>
      <c r="R88" s="90"/>
      <c r="S88" s="80"/>
      <c r="T88" s="79"/>
      <c r="U88" s="79"/>
      <c r="V88" s="79"/>
    </row>
    <row r="89" spans="1:29" ht="3" customHeight="1">
      <c r="A89" s="58"/>
      <c r="F89" s="91"/>
      <c r="G89" s="91"/>
      <c r="H89" s="91"/>
      <c r="I89" s="91"/>
      <c r="J89" s="91"/>
      <c r="K89" s="91"/>
      <c r="L89" s="91"/>
      <c r="M89" s="91"/>
      <c r="N89" s="91"/>
      <c r="O89" s="91"/>
      <c r="P89" s="91"/>
      <c r="Q89" s="91"/>
      <c r="R89" s="91"/>
      <c r="S89" s="80"/>
      <c r="T89" s="80"/>
      <c r="U89" s="80"/>
      <c r="V89" s="80"/>
    </row>
    <row r="90" spans="1:29">
      <c r="A90" s="58"/>
      <c r="F90" s="59">
        <v>2000</v>
      </c>
      <c r="G90" s="59">
        <v>2001</v>
      </c>
      <c r="H90" s="59">
        <v>2002</v>
      </c>
      <c r="I90" s="59">
        <v>2003</v>
      </c>
      <c r="J90" s="59">
        <v>2004</v>
      </c>
      <c r="K90" s="59">
        <v>2005</v>
      </c>
      <c r="L90" s="59">
        <v>2006</v>
      </c>
      <c r="M90" s="59">
        <v>2007</v>
      </c>
      <c r="N90" s="59">
        <v>2008</v>
      </c>
      <c r="O90" s="59">
        <v>2009</v>
      </c>
      <c r="P90" s="59">
        <v>2010</v>
      </c>
      <c r="Q90" s="59">
        <v>2011</v>
      </c>
      <c r="R90" s="59">
        <v>2012</v>
      </c>
      <c r="S90" s="59">
        <v>2013</v>
      </c>
      <c r="T90" s="59">
        <v>2014</v>
      </c>
      <c r="U90" s="59">
        <v>2015</v>
      </c>
      <c r="V90" s="59">
        <v>2016</v>
      </c>
    </row>
    <row r="91" spans="1:29" ht="25.9" customHeight="1">
      <c r="A91" s="92" t="s">
        <v>251</v>
      </c>
      <c r="D91" s="54" t="s">
        <v>252</v>
      </c>
      <c r="F91" s="91"/>
      <c r="G91" s="91"/>
      <c r="H91" s="91"/>
      <c r="I91" s="91"/>
      <c r="J91" s="91"/>
      <c r="K91" s="91"/>
      <c r="L91" s="91"/>
      <c r="M91" s="91"/>
      <c r="N91" s="91"/>
      <c r="O91" s="91"/>
      <c r="P91" s="91"/>
      <c r="Q91" s="91"/>
      <c r="R91" s="91"/>
      <c r="S91" s="91"/>
      <c r="T91" s="91"/>
      <c r="U91" s="91"/>
      <c r="V91" s="91"/>
      <c r="AA91" s="59"/>
      <c r="AB91" s="59"/>
      <c r="AC91" s="59"/>
    </row>
    <row r="92" spans="1:29" ht="12" customHeight="1">
      <c r="A92" s="58">
        <v>1</v>
      </c>
      <c r="B92" s="54" t="s">
        <v>253</v>
      </c>
      <c r="E92" s="93" t="s">
        <v>254</v>
      </c>
      <c r="F92" s="61">
        <v>78721</v>
      </c>
      <c r="G92" s="61">
        <v>47157</v>
      </c>
      <c r="H92" s="61">
        <v>101475</v>
      </c>
      <c r="I92" s="61">
        <v>132098</v>
      </c>
      <c r="J92" s="61">
        <v>101545</v>
      </c>
      <c r="K92" s="61">
        <v>105374</v>
      </c>
      <c r="L92" s="61">
        <v>104260</v>
      </c>
      <c r="M92" s="61">
        <v>102890</v>
      </c>
      <c r="N92" s="61">
        <v>117123</v>
      </c>
      <c r="O92" s="61">
        <v>87599</v>
      </c>
      <c r="P92" s="61">
        <v>147107</v>
      </c>
      <c r="Q92" s="61">
        <v>145634</v>
      </c>
      <c r="R92" s="61">
        <v>131795</v>
      </c>
      <c r="S92" s="61">
        <v>143904</v>
      </c>
      <c r="T92" s="61">
        <v>120307</v>
      </c>
      <c r="U92" s="61">
        <v>140485</v>
      </c>
      <c r="V92" s="61">
        <v>136385</v>
      </c>
      <c r="Z92" s="93"/>
    </row>
    <row r="93" spans="1:29" ht="12" customHeight="1">
      <c r="A93" s="58">
        <v>2</v>
      </c>
      <c r="B93" s="54" t="s">
        <v>255</v>
      </c>
      <c r="E93" s="93" t="s">
        <v>256</v>
      </c>
      <c r="F93" s="61">
        <v>181189</v>
      </c>
      <c r="G93" s="61">
        <v>132159</v>
      </c>
      <c r="H93" s="61">
        <v>50769</v>
      </c>
      <c r="I93" s="61">
        <v>46591</v>
      </c>
      <c r="J93" s="61">
        <v>51042</v>
      </c>
      <c r="K93" s="61">
        <v>55046</v>
      </c>
      <c r="L93" s="61">
        <v>79146</v>
      </c>
      <c r="M93" s="61">
        <v>65640</v>
      </c>
      <c r="N93" s="61">
        <v>72508</v>
      </c>
      <c r="O93" s="61">
        <v>100437</v>
      </c>
      <c r="P93" s="61">
        <v>142197</v>
      </c>
      <c r="Q93" s="61">
        <v>91142</v>
      </c>
      <c r="R93" s="61">
        <v>101283</v>
      </c>
      <c r="S93" s="61">
        <v>109034</v>
      </c>
      <c r="T93" s="61">
        <v>116643</v>
      </c>
      <c r="U93" s="61">
        <v>85107</v>
      </c>
      <c r="V93" s="61">
        <v>78794</v>
      </c>
    </row>
    <row r="94" spans="1:29" ht="12" customHeight="1">
      <c r="A94" s="58">
        <v>3</v>
      </c>
      <c r="B94" s="54" t="s">
        <v>85</v>
      </c>
      <c r="E94" s="93" t="s">
        <v>257</v>
      </c>
      <c r="F94" s="61">
        <v>9418</v>
      </c>
      <c r="G94" s="61">
        <v>10560</v>
      </c>
      <c r="H94" s="61">
        <v>9631</v>
      </c>
      <c r="I94" s="61">
        <v>10171</v>
      </c>
      <c r="J94" s="61">
        <v>12016</v>
      </c>
      <c r="K94" s="61">
        <v>14263</v>
      </c>
      <c r="L94" s="61">
        <v>15485</v>
      </c>
      <c r="M94" s="61">
        <v>14563</v>
      </c>
      <c r="N94" s="61">
        <v>17329</v>
      </c>
      <c r="O94" s="61">
        <v>17267</v>
      </c>
      <c r="P94" s="61">
        <v>18354</v>
      </c>
      <c r="Q94" s="61">
        <v>19081</v>
      </c>
      <c r="R94" s="61">
        <v>21152</v>
      </c>
      <c r="S94" s="61">
        <v>20878</v>
      </c>
      <c r="T94" s="61">
        <v>21299</v>
      </c>
      <c r="U94" s="61">
        <v>24056</v>
      </c>
      <c r="V94" s="61">
        <v>21415</v>
      </c>
    </row>
    <row r="95" spans="1:29" ht="12" customHeight="1">
      <c r="A95" s="58">
        <v>4</v>
      </c>
      <c r="B95" s="54" t="s">
        <v>87</v>
      </c>
      <c r="E95" s="93" t="s">
        <v>258</v>
      </c>
      <c r="F95" s="61">
        <v>5768</v>
      </c>
      <c r="G95" s="61">
        <v>6196</v>
      </c>
      <c r="H95" s="61">
        <v>7113</v>
      </c>
      <c r="I95" s="61">
        <v>7129</v>
      </c>
      <c r="J95" s="61">
        <v>7352</v>
      </c>
      <c r="K95" s="61">
        <v>7156</v>
      </c>
      <c r="L95" s="61">
        <v>7097</v>
      </c>
      <c r="M95" s="61">
        <v>7514</v>
      </c>
      <c r="N95" s="61">
        <v>7919</v>
      </c>
      <c r="O95" s="61">
        <v>9646</v>
      </c>
      <c r="P95" s="61">
        <v>9261</v>
      </c>
      <c r="Q95" s="61">
        <v>10274.701588</v>
      </c>
      <c r="R95" s="61">
        <v>10335.791302</v>
      </c>
      <c r="S95" s="61">
        <v>11334</v>
      </c>
      <c r="T95" s="61">
        <v>11166</v>
      </c>
      <c r="U95" s="61">
        <v>12363</v>
      </c>
      <c r="V95" s="61">
        <v>13021</v>
      </c>
    </row>
    <row r="96" spans="1:29" ht="12" customHeight="1">
      <c r="A96" s="58">
        <v>5</v>
      </c>
      <c r="B96" s="54" t="s">
        <v>259</v>
      </c>
      <c r="E96" s="93" t="s">
        <v>260</v>
      </c>
      <c r="F96" s="61">
        <v>5704</v>
      </c>
      <c r="G96" s="61">
        <v>5381</v>
      </c>
      <c r="H96" s="61">
        <v>6261</v>
      </c>
      <c r="I96" s="61">
        <v>6620</v>
      </c>
      <c r="J96" s="61">
        <v>266</v>
      </c>
      <c r="K96" s="61">
        <v>7127</v>
      </c>
      <c r="L96" s="61">
        <v>1159</v>
      </c>
      <c r="M96" s="61">
        <v>7472</v>
      </c>
      <c r="N96" s="61">
        <v>12847</v>
      </c>
      <c r="O96" s="61">
        <v>19736</v>
      </c>
      <c r="P96" s="61">
        <v>20832</v>
      </c>
      <c r="Q96" s="61">
        <v>21292</v>
      </c>
      <c r="R96" s="61">
        <v>18487</v>
      </c>
      <c r="S96" s="61">
        <v>1516</v>
      </c>
      <c r="T96" s="61">
        <v>1383</v>
      </c>
      <c r="U96" s="61">
        <v>1454</v>
      </c>
      <c r="V96" s="61">
        <v>1406</v>
      </c>
      <c r="AB96" s="94"/>
      <c r="AC96" s="94"/>
    </row>
    <row r="97" spans="1:31" ht="12" customHeight="1">
      <c r="A97" s="58">
        <v>6</v>
      </c>
      <c r="B97" s="54" t="s">
        <v>261</v>
      </c>
      <c r="E97" s="93" t="s">
        <v>262</v>
      </c>
      <c r="F97" s="61">
        <v>1071</v>
      </c>
      <c r="G97" s="61">
        <v>734</v>
      </c>
      <c r="H97" s="61">
        <v>628</v>
      </c>
      <c r="I97" s="61">
        <v>734</v>
      </c>
      <c r="J97" s="61">
        <v>686</v>
      </c>
      <c r="K97" s="61">
        <v>430</v>
      </c>
      <c r="L97" s="61">
        <v>657</v>
      </c>
      <c r="M97" s="61">
        <v>682</v>
      </c>
      <c r="N97" s="61">
        <v>571</v>
      </c>
      <c r="O97" s="61">
        <v>660</v>
      </c>
      <c r="P97" s="61">
        <v>176</v>
      </c>
      <c r="Q97" s="61">
        <v>4</v>
      </c>
      <c r="R97" s="61">
        <v>5</v>
      </c>
      <c r="S97" s="61">
        <v>5</v>
      </c>
      <c r="T97" s="61">
        <v>0</v>
      </c>
      <c r="U97" s="61">
        <v>0</v>
      </c>
      <c r="V97" s="61">
        <v>0</v>
      </c>
    </row>
    <row r="98" spans="1:31" ht="12" customHeight="1">
      <c r="A98" s="58">
        <v>7</v>
      </c>
      <c r="B98" s="54" t="s">
        <v>263</v>
      </c>
      <c r="E98" s="93" t="s">
        <v>264</v>
      </c>
      <c r="F98" s="61">
        <v>30350</v>
      </c>
      <c r="G98" s="61">
        <v>25102</v>
      </c>
      <c r="H98" s="61">
        <v>30304</v>
      </c>
      <c r="I98" s="61">
        <v>30153</v>
      </c>
      <c r="J98" s="61">
        <v>31927</v>
      </c>
      <c r="K98" s="61">
        <v>33143</v>
      </c>
      <c r="L98" s="61">
        <v>33148</v>
      </c>
      <c r="M98" s="61">
        <v>35844</v>
      </c>
      <c r="N98" s="61">
        <v>35982</v>
      </c>
      <c r="O98" s="61">
        <v>38461</v>
      </c>
      <c r="P98" s="61">
        <v>44662</v>
      </c>
      <c r="Q98" s="61">
        <v>44779.252</v>
      </c>
      <c r="R98" s="61">
        <v>49333.396000000001</v>
      </c>
      <c r="S98" s="61">
        <v>43310</v>
      </c>
      <c r="T98" s="61">
        <v>46210</v>
      </c>
      <c r="U98" s="61">
        <v>49942</v>
      </c>
      <c r="V98" s="61">
        <v>48989</v>
      </c>
    </row>
    <row r="99" spans="1:31" ht="12" customHeight="1">
      <c r="A99" s="58">
        <v>8</v>
      </c>
      <c r="B99" s="95" t="s">
        <v>265</v>
      </c>
      <c r="C99" s="58"/>
      <c r="D99" s="58"/>
      <c r="E99" s="58"/>
      <c r="F99" s="62">
        <v>312221</v>
      </c>
      <c r="G99" s="62">
        <v>227289</v>
      </c>
      <c r="H99" s="62">
        <v>206181</v>
      </c>
      <c r="I99" s="62">
        <v>233496</v>
      </c>
      <c r="J99" s="62">
        <v>204834</v>
      </c>
      <c r="K99" s="62">
        <v>222539</v>
      </c>
      <c r="L99" s="62">
        <v>240952</v>
      </c>
      <c r="M99" s="62">
        <v>234605</v>
      </c>
      <c r="N99" s="62">
        <v>264279</v>
      </c>
      <c r="O99" s="62">
        <v>273806</v>
      </c>
      <c r="P99" s="62">
        <v>382589</v>
      </c>
      <c r="Q99" s="62">
        <v>332206.95358799997</v>
      </c>
      <c r="R99" s="62">
        <v>332391.18730200001</v>
      </c>
      <c r="S99" s="62">
        <v>329981</v>
      </c>
      <c r="T99" s="62">
        <v>317008</v>
      </c>
      <c r="U99" s="62">
        <v>313407</v>
      </c>
      <c r="V99" s="62">
        <v>300010</v>
      </c>
    </row>
    <row r="100" spans="1:31">
      <c r="A100" s="58">
        <v>9</v>
      </c>
      <c r="B100" s="58"/>
      <c r="C100" s="95" t="s">
        <v>266</v>
      </c>
      <c r="D100" s="58"/>
      <c r="E100" s="58"/>
      <c r="F100" s="61">
        <v>-234785.2591</v>
      </c>
      <c r="G100" s="61">
        <v>-156185</v>
      </c>
      <c r="H100" s="61">
        <v>-124379</v>
      </c>
      <c r="I100" s="61">
        <v>-154282</v>
      </c>
      <c r="J100" s="61">
        <v>-122799</v>
      </c>
      <c r="K100" s="61">
        <v>-133120.12169999999</v>
      </c>
      <c r="L100" s="61">
        <v>-152124</v>
      </c>
      <c r="M100" s="61">
        <v>-135719</v>
      </c>
      <c r="N100" s="61">
        <v>-152984</v>
      </c>
      <c r="O100" s="61">
        <v>-146538.0865</v>
      </c>
      <c r="P100" s="61">
        <v>-249368.62319999994</v>
      </c>
      <c r="Q100" s="61">
        <v>-188583.39639999997</v>
      </c>
      <c r="R100" s="61">
        <v>-180833.76630000002</v>
      </c>
      <c r="S100" s="61">
        <v>-201471</v>
      </c>
      <c r="T100" s="61">
        <v>-186117</v>
      </c>
      <c r="U100" s="61">
        <v>-175095</v>
      </c>
      <c r="V100" s="61">
        <v>-160262</v>
      </c>
    </row>
    <row r="101" spans="1:31">
      <c r="A101" s="58">
        <v>10</v>
      </c>
      <c r="B101" s="58"/>
      <c r="C101" s="95" t="s">
        <v>267</v>
      </c>
      <c r="D101" s="58"/>
      <c r="E101" s="58"/>
      <c r="F101" s="61">
        <v>-3473.9924664958971</v>
      </c>
      <c r="G101" s="61">
        <v>-5119.6740560558192</v>
      </c>
      <c r="H101" s="61">
        <v>-6118.585627891699</v>
      </c>
      <c r="I101" s="61">
        <v>-6185.1797326807582</v>
      </c>
      <c r="J101" s="61">
        <v>0</v>
      </c>
      <c r="K101" s="61">
        <v>-6651.8503863469796</v>
      </c>
      <c r="L101" s="61">
        <v>0</v>
      </c>
      <c r="M101" s="61">
        <v>-6711.241907653648</v>
      </c>
      <c r="N101" s="61">
        <v>-12172.241960004189</v>
      </c>
      <c r="O101" s="61">
        <v>-19005.286818134227</v>
      </c>
      <c r="P101" s="61">
        <v>-19612.288298607476</v>
      </c>
      <c r="Q101" s="61">
        <v>-20235.39595435033</v>
      </c>
      <c r="R101" s="61">
        <v>-17018.187444246676</v>
      </c>
      <c r="S101" s="61">
        <v>0</v>
      </c>
      <c r="T101" s="61">
        <v>0</v>
      </c>
      <c r="U101" s="61">
        <v>0</v>
      </c>
      <c r="V101" s="61">
        <v>0</v>
      </c>
    </row>
    <row r="102" spans="1:31">
      <c r="A102" s="58">
        <v>11</v>
      </c>
      <c r="B102" s="58"/>
      <c r="C102" s="95" t="s">
        <v>268</v>
      </c>
      <c r="D102" s="58"/>
      <c r="E102" s="58"/>
      <c r="F102" s="61">
        <v>149.82242589535787</v>
      </c>
      <c r="G102" s="61">
        <v>12.746248201623811</v>
      </c>
      <c r="H102" s="61">
        <v>67.619926900139887</v>
      </c>
      <c r="I102" s="61">
        <v>57.06106451277779</v>
      </c>
      <c r="J102" s="61">
        <v>0</v>
      </c>
      <c r="K102" s="61">
        <v>62.298339440896243</v>
      </c>
      <c r="L102" s="61">
        <v>0</v>
      </c>
      <c r="M102" s="61">
        <v>37.041897183540996</v>
      </c>
      <c r="N102" s="61">
        <v>23.730172756779396</v>
      </c>
      <c r="O102" s="61">
        <v>26.576997173070886</v>
      </c>
      <c r="P102" s="61">
        <v>41.434898963459318</v>
      </c>
      <c r="Q102" s="61">
        <v>30.591749555020414</v>
      </c>
      <c r="R102" s="61">
        <v>55.257591875196319</v>
      </c>
      <c r="S102" s="61">
        <v>0</v>
      </c>
      <c r="T102" s="61">
        <v>0</v>
      </c>
      <c r="U102" s="61">
        <v>0</v>
      </c>
      <c r="V102" s="61">
        <v>0</v>
      </c>
      <c r="AE102" s="55"/>
    </row>
    <row r="103" spans="1:31">
      <c r="A103" s="58"/>
      <c r="B103" s="58"/>
      <c r="C103" s="95" t="s">
        <v>269</v>
      </c>
      <c r="D103" s="58"/>
      <c r="E103" s="58"/>
      <c r="F103" s="61"/>
      <c r="G103" s="61"/>
      <c r="H103" s="61"/>
      <c r="I103" s="61"/>
      <c r="J103" s="61"/>
      <c r="K103" s="61"/>
      <c r="L103" s="61"/>
      <c r="M103" s="61"/>
      <c r="N103" s="61"/>
      <c r="O103" s="61"/>
      <c r="P103" s="61"/>
      <c r="Q103" s="61"/>
      <c r="R103" s="61">
        <v>-4400</v>
      </c>
      <c r="S103" s="61">
        <v>1000</v>
      </c>
      <c r="T103" s="61">
        <v>1000</v>
      </c>
      <c r="U103" s="61">
        <v>1000</v>
      </c>
      <c r="V103" s="61">
        <v>1100</v>
      </c>
      <c r="AE103" s="55"/>
    </row>
    <row r="104" spans="1:31" ht="11.25" customHeight="1">
      <c r="A104" s="58"/>
      <c r="B104" s="58"/>
      <c r="C104" s="95" t="s">
        <v>270</v>
      </c>
      <c r="D104" s="58"/>
      <c r="E104" s="58"/>
      <c r="F104" s="61"/>
      <c r="G104" s="61"/>
      <c r="H104" s="61"/>
      <c r="I104" s="61"/>
      <c r="J104" s="61"/>
      <c r="K104" s="61"/>
      <c r="L104" s="61"/>
      <c r="M104" s="61"/>
      <c r="N104" s="61"/>
      <c r="O104" s="61"/>
      <c r="P104" s="61"/>
      <c r="Q104" s="61"/>
      <c r="R104" s="61"/>
      <c r="S104" s="61"/>
      <c r="T104" s="61"/>
      <c r="U104" s="61">
        <v>-2303</v>
      </c>
      <c r="V104" s="61">
        <v>0</v>
      </c>
      <c r="AE104" s="55"/>
    </row>
    <row r="105" spans="1:31" ht="12.75" thickBot="1">
      <c r="A105" s="58">
        <v>12</v>
      </c>
      <c r="B105" s="71" t="s">
        <v>116</v>
      </c>
      <c r="C105" s="58"/>
      <c r="D105" s="58"/>
      <c r="E105" s="58"/>
      <c r="F105" s="96">
        <v>74111.570859399464</v>
      </c>
      <c r="G105" s="96">
        <v>65997.072192145803</v>
      </c>
      <c r="H105" s="96">
        <v>75751.034299008432</v>
      </c>
      <c r="I105" s="96">
        <v>73085.881331832017</v>
      </c>
      <c r="J105" s="96">
        <v>82035</v>
      </c>
      <c r="K105" s="96">
        <v>82829.326253093925</v>
      </c>
      <c r="L105" s="96">
        <v>88828</v>
      </c>
      <c r="M105" s="96">
        <v>92211.7999895299</v>
      </c>
      <c r="N105" s="96">
        <v>99146.488212752593</v>
      </c>
      <c r="O105" s="96">
        <v>108289.20367903885</v>
      </c>
      <c r="P105" s="96">
        <v>113649.52340035603</v>
      </c>
      <c r="Q105" s="96">
        <v>123418.7529832047</v>
      </c>
      <c r="R105" s="96">
        <v>130194.49114962851</v>
      </c>
      <c r="S105" s="96">
        <v>129510</v>
      </c>
      <c r="T105" s="96">
        <v>131891</v>
      </c>
      <c r="U105" s="96">
        <v>137009</v>
      </c>
      <c r="V105" s="96">
        <v>140848</v>
      </c>
      <c r="AE105" s="97"/>
    </row>
    <row r="106" spans="1:31" ht="12.75" thickTop="1">
      <c r="A106" s="58"/>
      <c r="B106" s="58"/>
      <c r="C106" s="58"/>
      <c r="D106" s="58"/>
      <c r="E106" s="58"/>
      <c r="F106" s="61"/>
      <c r="G106" s="98"/>
      <c r="H106" s="98"/>
      <c r="I106" s="98"/>
      <c r="J106" s="98"/>
      <c r="K106" s="98"/>
      <c r="L106" s="98">
        <v>7.242209997672179E-2</v>
      </c>
      <c r="M106" s="98">
        <v>3.809384416546472E-2</v>
      </c>
      <c r="N106" s="98">
        <v>7.5203913425506114E-2</v>
      </c>
      <c r="O106" s="98">
        <v>9.2214213847569129E-2</v>
      </c>
      <c r="P106" s="98">
        <v>4.9500038223614332E-2</v>
      </c>
      <c r="Q106" s="98">
        <v>8.595926573694776E-2</v>
      </c>
      <c r="R106" s="98">
        <v>5.4900394005324898E-2</v>
      </c>
      <c r="S106" s="98">
        <v>-5.2574509380880121E-3</v>
      </c>
      <c r="T106" s="98">
        <v>1.838468071963555E-2</v>
      </c>
      <c r="U106" s="98">
        <v>3.8804770606030735E-2</v>
      </c>
      <c r="V106" s="98">
        <v>2.8020057076542416E-2</v>
      </c>
      <c r="Y106" s="98"/>
      <c r="Z106" s="98"/>
      <c r="AE106" s="55"/>
    </row>
    <row r="107" spans="1:31" ht="11.25" customHeight="1">
      <c r="A107" s="58"/>
      <c r="B107" s="58"/>
      <c r="C107" s="58"/>
      <c r="D107" s="58"/>
      <c r="E107" s="58"/>
      <c r="F107" s="61"/>
      <c r="G107" s="61"/>
      <c r="H107" s="61"/>
      <c r="I107" s="61"/>
      <c r="J107" s="61"/>
      <c r="K107" s="61"/>
      <c r="L107" s="61"/>
      <c r="M107" s="61"/>
      <c r="N107" s="61"/>
      <c r="O107" s="61"/>
      <c r="P107" s="61"/>
      <c r="Q107" s="61"/>
      <c r="R107" s="61"/>
      <c r="S107" s="61"/>
      <c r="T107" s="61"/>
      <c r="U107" s="61"/>
      <c r="V107" s="61"/>
      <c r="AE107" s="55"/>
    </row>
    <row r="108" spans="1:31">
      <c r="A108" s="58"/>
      <c r="C108" s="71" t="s">
        <v>27</v>
      </c>
      <c r="E108" s="58"/>
      <c r="F108" s="61"/>
      <c r="G108" s="61"/>
      <c r="H108" s="61"/>
      <c r="I108" s="61"/>
      <c r="J108" s="61"/>
      <c r="K108" s="61"/>
      <c r="L108" s="61"/>
      <c r="M108" s="59">
        <v>2007</v>
      </c>
      <c r="N108" s="59">
        <v>2008</v>
      </c>
      <c r="O108" s="59">
        <v>2009</v>
      </c>
      <c r="P108" s="59">
        <v>2010</v>
      </c>
      <c r="Q108" s="59">
        <v>2011</v>
      </c>
      <c r="R108" s="59">
        <v>2012</v>
      </c>
      <c r="S108" s="59">
        <v>2013</v>
      </c>
      <c r="T108" s="59">
        <v>2014</v>
      </c>
      <c r="U108" s="59">
        <v>2015</v>
      </c>
      <c r="V108" s="59">
        <v>2016</v>
      </c>
      <c r="AD108" s="93"/>
      <c r="AE108" s="55"/>
    </row>
    <row r="109" spans="1:31">
      <c r="A109" s="58">
        <v>13</v>
      </c>
      <c r="B109" s="95" t="s">
        <v>253</v>
      </c>
      <c r="C109" s="58"/>
      <c r="D109" s="58"/>
      <c r="E109" s="93" t="s">
        <v>271</v>
      </c>
      <c r="F109" s="61">
        <v>14850</v>
      </c>
      <c r="G109" s="61">
        <v>15202</v>
      </c>
      <c r="H109" s="61">
        <v>20157</v>
      </c>
      <c r="I109" s="61">
        <v>20523</v>
      </c>
      <c r="J109" s="61">
        <v>22312</v>
      </c>
      <c r="K109" s="61">
        <v>22629</v>
      </c>
      <c r="L109" s="61">
        <v>24577</v>
      </c>
      <c r="M109" s="61">
        <v>24877</v>
      </c>
      <c r="N109" s="61">
        <v>23076</v>
      </c>
      <c r="O109" s="61">
        <v>23969</v>
      </c>
      <c r="P109" s="61">
        <v>25008</v>
      </c>
      <c r="Q109" s="61">
        <v>25158</v>
      </c>
      <c r="R109" s="61">
        <v>25680</v>
      </c>
      <c r="S109" s="61">
        <v>23284</v>
      </c>
      <c r="T109" s="61">
        <v>23715</v>
      </c>
      <c r="U109" s="61">
        <v>24947</v>
      </c>
      <c r="V109" s="61">
        <v>26676</v>
      </c>
      <c r="W109" s="55"/>
      <c r="X109" s="391"/>
      <c r="Y109" s="391"/>
      <c r="Z109" s="391"/>
      <c r="AE109" s="55"/>
    </row>
    <row r="110" spans="1:31">
      <c r="A110" s="58">
        <v>14</v>
      </c>
      <c r="B110" s="95" t="s">
        <v>85</v>
      </c>
      <c r="C110" s="58"/>
      <c r="D110" s="58"/>
      <c r="E110" s="93" t="s">
        <v>272</v>
      </c>
      <c r="F110" s="61">
        <v>9056</v>
      </c>
      <c r="G110" s="61">
        <v>9178</v>
      </c>
      <c r="H110" s="61">
        <v>9427</v>
      </c>
      <c r="I110" s="61">
        <v>9752</v>
      </c>
      <c r="J110" s="61">
        <v>10067</v>
      </c>
      <c r="K110" s="61">
        <v>10399</v>
      </c>
      <c r="L110" s="61">
        <v>10776</v>
      </c>
      <c r="M110" s="61">
        <v>11333</v>
      </c>
      <c r="N110" s="61">
        <v>15611</v>
      </c>
      <c r="O110" s="61">
        <v>16809</v>
      </c>
      <c r="P110" s="61">
        <v>17985</v>
      </c>
      <c r="Q110" s="61">
        <v>19240</v>
      </c>
      <c r="R110" s="61">
        <v>20749</v>
      </c>
      <c r="S110" s="61">
        <v>22303</v>
      </c>
      <c r="T110" s="61">
        <v>23794</v>
      </c>
      <c r="U110" s="61">
        <v>25379</v>
      </c>
      <c r="V110" s="61">
        <v>27819</v>
      </c>
      <c r="W110" s="99"/>
      <c r="X110" s="391"/>
      <c r="Y110" s="391"/>
      <c r="Z110" s="391"/>
      <c r="AE110" s="100"/>
    </row>
    <row r="111" spans="1:31">
      <c r="A111" s="58">
        <v>15</v>
      </c>
      <c r="B111" s="54" t="s">
        <v>263</v>
      </c>
      <c r="C111" s="58"/>
      <c r="D111" s="58"/>
      <c r="E111" s="93" t="s">
        <v>273</v>
      </c>
      <c r="F111" s="61">
        <v>3998</v>
      </c>
      <c r="G111" s="61">
        <v>4414</v>
      </c>
      <c r="H111" s="61">
        <v>6606</v>
      </c>
      <c r="I111" s="61">
        <v>6659</v>
      </c>
      <c r="J111" s="61">
        <v>6072</v>
      </c>
      <c r="K111" s="61">
        <v>6537</v>
      </c>
      <c r="L111" s="61">
        <v>6459</v>
      </c>
      <c r="M111" s="61">
        <v>6739</v>
      </c>
      <c r="N111" s="61">
        <v>7187</v>
      </c>
      <c r="O111" s="61">
        <v>7688</v>
      </c>
      <c r="P111" s="61">
        <v>9277</v>
      </c>
      <c r="Q111" s="61">
        <v>10906</v>
      </c>
      <c r="R111" s="61">
        <v>12517</v>
      </c>
      <c r="S111" s="61">
        <v>14721</v>
      </c>
      <c r="T111" s="61">
        <v>16947</v>
      </c>
      <c r="U111" s="61">
        <v>21503</v>
      </c>
      <c r="V111" s="61">
        <v>23877</v>
      </c>
      <c r="W111" s="101"/>
      <c r="X111" s="101"/>
      <c r="Y111" s="101"/>
      <c r="Z111" s="101"/>
      <c r="AE111" s="55"/>
    </row>
    <row r="112" spans="1:31" ht="12.75" thickBot="1">
      <c r="A112" s="58">
        <v>16</v>
      </c>
      <c r="B112" s="71" t="s">
        <v>117</v>
      </c>
      <c r="C112" s="58"/>
      <c r="D112" s="58"/>
      <c r="E112" s="58"/>
      <c r="F112" s="96">
        <v>27904</v>
      </c>
      <c r="G112" s="96">
        <v>28794</v>
      </c>
      <c r="H112" s="96">
        <v>36190</v>
      </c>
      <c r="I112" s="96">
        <v>36934</v>
      </c>
      <c r="J112" s="96">
        <v>38451</v>
      </c>
      <c r="K112" s="96">
        <v>39565</v>
      </c>
      <c r="L112" s="96">
        <v>41812</v>
      </c>
      <c r="M112" s="96">
        <v>42949</v>
      </c>
      <c r="N112" s="96">
        <v>45874</v>
      </c>
      <c r="O112" s="96">
        <v>48466</v>
      </c>
      <c r="P112" s="96">
        <v>52270</v>
      </c>
      <c r="Q112" s="96">
        <v>55304</v>
      </c>
      <c r="R112" s="96">
        <v>58946</v>
      </c>
      <c r="S112" s="96">
        <v>60308</v>
      </c>
      <c r="T112" s="96">
        <v>64456</v>
      </c>
      <c r="U112" s="96">
        <v>71829</v>
      </c>
      <c r="V112" s="96">
        <v>78372</v>
      </c>
      <c r="W112" s="102"/>
      <c r="X112" s="102"/>
      <c r="Y112" s="102"/>
      <c r="Z112" s="102"/>
      <c r="AE112" s="55"/>
    </row>
    <row r="113" spans="1:31" ht="12.75" thickTop="1">
      <c r="A113" s="58"/>
      <c r="B113" s="58"/>
      <c r="C113" s="58"/>
      <c r="D113" s="58"/>
      <c r="E113" s="58"/>
      <c r="F113" s="61"/>
      <c r="G113" s="98">
        <v>3.1895068807339451E-2</v>
      </c>
      <c r="H113" s="98">
        <v>0.25685906786135998</v>
      </c>
      <c r="I113" s="98">
        <v>2.0558165239016303E-2</v>
      </c>
      <c r="J113" s="98">
        <v>4.1073265825526617E-2</v>
      </c>
      <c r="K113" s="98">
        <v>2.8971938311097241E-2</v>
      </c>
      <c r="L113" s="98">
        <v>5.6792619739668898E-2</v>
      </c>
      <c r="M113" s="98">
        <v>2.7193150291782264E-2</v>
      </c>
      <c r="N113" s="98">
        <v>6.8104030361591655E-2</v>
      </c>
      <c r="O113" s="98">
        <v>5.6502594061995905E-2</v>
      </c>
      <c r="P113" s="98">
        <v>7.8488012214748479E-2</v>
      </c>
      <c r="Q113" s="98">
        <v>5.8044767553089724E-2</v>
      </c>
      <c r="R113" s="98">
        <v>6.5854187762187183E-2</v>
      </c>
      <c r="S113" s="98">
        <v>2.3105893529671226E-2</v>
      </c>
      <c r="T113" s="98">
        <v>6.8780261325197323E-2</v>
      </c>
      <c r="U113" s="98">
        <v>0.11438810971825741</v>
      </c>
      <c r="V113" s="98">
        <v>9.1091341937100612E-2</v>
      </c>
      <c r="W113" s="98"/>
      <c r="X113" s="98"/>
      <c r="Y113" s="98"/>
      <c r="Z113" s="98"/>
      <c r="AE113" s="55"/>
    </row>
    <row r="114" spans="1:31" ht="6" customHeight="1">
      <c r="A114" s="58"/>
      <c r="B114" s="58"/>
      <c r="C114" s="58"/>
      <c r="D114" s="58"/>
      <c r="E114" s="58"/>
      <c r="F114" s="61"/>
      <c r="G114" s="61"/>
      <c r="H114" s="61"/>
      <c r="I114" s="61"/>
      <c r="J114" s="61"/>
      <c r="K114" s="61"/>
      <c r="L114" s="61"/>
      <c r="M114" s="61"/>
      <c r="N114" s="61"/>
      <c r="O114" s="61"/>
      <c r="P114" s="61"/>
      <c r="Q114" s="61"/>
      <c r="R114" s="61"/>
      <c r="S114" s="61"/>
      <c r="T114" s="61"/>
      <c r="U114" s="61"/>
      <c r="V114" s="61"/>
      <c r="Z114" s="94"/>
      <c r="AE114" s="55"/>
    </row>
    <row r="115" spans="1:31" hidden="1">
      <c r="A115" s="58"/>
      <c r="B115" s="58"/>
      <c r="C115" s="58"/>
      <c r="D115" s="95" t="s">
        <v>274</v>
      </c>
      <c r="E115" s="58"/>
      <c r="F115" s="61"/>
      <c r="G115" s="61"/>
      <c r="H115" s="61"/>
      <c r="I115" s="61"/>
      <c r="J115" s="61"/>
      <c r="K115" s="61"/>
      <c r="L115" s="61"/>
      <c r="M115" s="61"/>
      <c r="N115" s="61"/>
      <c r="O115" s="61"/>
      <c r="P115" s="61"/>
      <c r="Q115" s="61"/>
      <c r="R115" s="61"/>
      <c r="S115" s="61"/>
      <c r="T115" s="61"/>
      <c r="U115" s="61"/>
      <c r="V115" s="61"/>
      <c r="AE115" s="55"/>
    </row>
    <row r="116" spans="1:31" hidden="1">
      <c r="A116" s="58">
        <v>17</v>
      </c>
      <c r="B116" s="95" t="s">
        <v>91</v>
      </c>
      <c r="C116" s="58"/>
      <c r="D116" s="58"/>
      <c r="E116" s="93" t="s">
        <v>275</v>
      </c>
      <c r="F116" s="61">
        <v>-17964</v>
      </c>
      <c r="G116" s="61">
        <v>-6050</v>
      </c>
      <c r="H116" s="61">
        <v>-6349</v>
      </c>
      <c r="I116" s="61">
        <v>-5608</v>
      </c>
      <c r="J116" s="61">
        <v>567</v>
      </c>
      <c r="K116" s="61">
        <v>-8817</v>
      </c>
      <c r="L116" s="61">
        <v>1168</v>
      </c>
      <c r="M116" s="61">
        <v>-3082</v>
      </c>
      <c r="N116" s="61">
        <v>-1076</v>
      </c>
      <c r="O116" s="61">
        <v>-1703</v>
      </c>
      <c r="P116" s="61">
        <v>-2879</v>
      </c>
      <c r="Q116" s="61">
        <v>403</v>
      </c>
      <c r="R116" s="61">
        <v>-7744</v>
      </c>
      <c r="S116" s="61">
        <v>8629</v>
      </c>
      <c r="T116" s="61">
        <v>8101</v>
      </c>
      <c r="U116" s="61">
        <v>5974</v>
      </c>
      <c r="V116" s="61">
        <v>4706</v>
      </c>
    </row>
    <row r="117" spans="1:31" hidden="1">
      <c r="A117" s="58">
        <v>18</v>
      </c>
      <c r="B117" s="58"/>
      <c r="C117" s="95" t="s">
        <v>276</v>
      </c>
      <c r="D117" s="58"/>
      <c r="E117" s="58"/>
      <c r="F117" s="61">
        <v>16644</v>
      </c>
      <c r="G117" s="61">
        <v>1416</v>
      </c>
      <c r="H117" s="61">
        <v>7512</v>
      </c>
      <c r="I117" s="61">
        <v>6339</v>
      </c>
      <c r="J117" s="61">
        <v>0</v>
      </c>
      <c r="K117" s="61">
        <v>9388</v>
      </c>
      <c r="L117" s="61">
        <v>0</v>
      </c>
      <c r="M117" s="61">
        <v>5582</v>
      </c>
      <c r="N117" s="61">
        <v>3576</v>
      </c>
      <c r="O117" s="61">
        <v>4005</v>
      </c>
      <c r="P117" s="61">
        <v>6244</v>
      </c>
      <c r="Q117" s="61">
        <v>4610</v>
      </c>
      <c r="R117" s="61">
        <v>8327</v>
      </c>
      <c r="S117" s="61">
        <v>0</v>
      </c>
      <c r="T117" s="61">
        <v>0</v>
      </c>
      <c r="U117" s="61">
        <v>0</v>
      </c>
      <c r="V117" s="61">
        <v>0</v>
      </c>
    </row>
    <row r="118" spans="1:31" ht="12.75" hidden="1" thickBot="1">
      <c r="A118" s="58">
        <v>19</v>
      </c>
      <c r="B118" s="95" t="s">
        <v>277</v>
      </c>
      <c r="C118" s="58"/>
      <c r="D118" s="58"/>
      <c r="E118" s="58"/>
      <c r="F118" s="96">
        <v>-1320</v>
      </c>
      <c r="G118" s="96">
        <v>-4634</v>
      </c>
      <c r="H118" s="96">
        <v>1163</v>
      </c>
      <c r="I118" s="96">
        <v>731</v>
      </c>
      <c r="J118" s="96">
        <v>567</v>
      </c>
      <c r="K118" s="96">
        <v>571</v>
      </c>
      <c r="L118" s="96">
        <v>1168</v>
      </c>
      <c r="M118" s="96">
        <v>2500</v>
      </c>
      <c r="N118" s="96">
        <v>2500</v>
      </c>
      <c r="O118" s="96">
        <v>2302</v>
      </c>
      <c r="P118" s="96">
        <v>3365</v>
      </c>
      <c r="Q118" s="96">
        <v>5013</v>
      </c>
      <c r="R118" s="96">
        <v>583</v>
      </c>
      <c r="S118" s="96">
        <v>8629</v>
      </c>
      <c r="T118" s="96">
        <v>8101</v>
      </c>
      <c r="U118" s="96">
        <v>5974</v>
      </c>
      <c r="V118" s="96">
        <v>4706</v>
      </c>
    </row>
    <row r="119" spans="1:31" ht="0.75" hidden="1" customHeight="1">
      <c r="A119" s="58"/>
      <c r="B119" s="58"/>
      <c r="C119" s="58"/>
      <c r="D119" s="58"/>
      <c r="E119" s="58"/>
      <c r="F119" s="61"/>
      <c r="G119" s="98"/>
      <c r="H119" s="98"/>
      <c r="I119" s="98"/>
      <c r="J119" s="98"/>
      <c r="K119" s="98"/>
      <c r="L119" s="98"/>
      <c r="M119" s="98"/>
      <c r="N119" s="98"/>
      <c r="O119" s="98"/>
      <c r="P119" s="98"/>
      <c r="Q119" s="98"/>
      <c r="R119" s="98"/>
      <c r="S119" s="98"/>
      <c r="T119" s="98"/>
      <c r="U119" s="98"/>
      <c r="V119" s="98"/>
    </row>
    <row r="120" spans="1:31" ht="5.25" hidden="1" customHeight="1">
      <c r="A120" s="58"/>
      <c r="B120" s="58"/>
      <c r="C120" s="58"/>
      <c r="D120" s="58"/>
      <c r="E120" s="58"/>
      <c r="F120" s="61"/>
      <c r="G120" s="61"/>
      <c r="H120" s="61"/>
      <c r="I120" s="61"/>
      <c r="J120" s="61"/>
      <c r="K120" s="61"/>
      <c r="L120" s="61"/>
      <c r="M120" s="61"/>
      <c r="N120" s="61"/>
      <c r="O120" s="61"/>
      <c r="P120" s="61"/>
      <c r="Q120" s="61"/>
      <c r="R120" s="61"/>
      <c r="S120" s="61"/>
      <c r="T120" s="61"/>
      <c r="U120" s="61"/>
      <c r="V120" s="61"/>
    </row>
    <row r="121" spans="1:31">
      <c r="A121" s="58"/>
      <c r="B121" s="95"/>
      <c r="C121" s="58"/>
      <c r="D121" s="95" t="s">
        <v>278</v>
      </c>
      <c r="E121" s="58"/>
      <c r="F121" s="61"/>
      <c r="G121" s="61"/>
      <c r="H121" s="61"/>
      <c r="I121" s="61"/>
      <c r="J121" s="61"/>
      <c r="K121" s="61"/>
      <c r="L121" s="61"/>
      <c r="M121" s="61"/>
      <c r="N121" s="61"/>
      <c r="O121" s="61"/>
      <c r="P121" s="61"/>
      <c r="Q121" s="61"/>
      <c r="R121" s="61"/>
      <c r="S121" s="61"/>
      <c r="T121" s="61"/>
      <c r="U121" s="61"/>
      <c r="V121" s="61"/>
    </row>
    <row r="122" spans="1:31">
      <c r="A122" s="58">
        <v>20</v>
      </c>
      <c r="B122" s="95" t="s">
        <v>253</v>
      </c>
      <c r="C122" s="58"/>
      <c r="D122" s="58"/>
      <c r="E122" s="93" t="s">
        <v>279</v>
      </c>
      <c r="F122" s="61">
        <v>9346</v>
      </c>
      <c r="G122" s="61">
        <v>5139</v>
      </c>
      <c r="H122" s="61">
        <v>7164</v>
      </c>
      <c r="I122" s="61">
        <v>6722</v>
      </c>
      <c r="J122" s="61">
        <v>7283</v>
      </c>
      <c r="K122" s="61">
        <v>9900</v>
      </c>
      <c r="L122" s="61">
        <v>9115</v>
      </c>
      <c r="M122" s="61">
        <v>8319</v>
      </c>
      <c r="N122" s="61">
        <v>8146</v>
      </c>
      <c r="O122" s="61">
        <v>9014</v>
      </c>
      <c r="P122" s="61">
        <v>9955</v>
      </c>
      <c r="Q122" s="61">
        <v>10846</v>
      </c>
      <c r="R122" s="61">
        <v>11456</v>
      </c>
      <c r="S122" s="61">
        <v>12913</v>
      </c>
      <c r="T122" s="61">
        <v>12828</v>
      </c>
      <c r="U122" s="61">
        <v>14133</v>
      </c>
      <c r="V122" s="61">
        <v>14654</v>
      </c>
    </row>
    <row r="123" spans="1:31">
      <c r="A123" s="58">
        <v>21</v>
      </c>
      <c r="B123" s="95" t="s">
        <v>85</v>
      </c>
      <c r="C123" s="58"/>
      <c r="D123" s="58"/>
      <c r="E123" s="93" t="s">
        <v>280</v>
      </c>
      <c r="F123" s="61">
        <v>11693</v>
      </c>
      <c r="G123" s="61">
        <v>15462</v>
      </c>
      <c r="H123" s="61">
        <v>16996</v>
      </c>
      <c r="I123" s="61">
        <v>17286</v>
      </c>
      <c r="J123" s="61">
        <v>17401</v>
      </c>
      <c r="K123" s="61">
        <v>14988</v>
      </c>
      <c r="L123" s="61">
        <v>16307</v>
      </c>
      <c r="M123" s="61">
        <v>16156</v>
      </c>
      <c r="N123" s="61">
        <v>17416</v>
      </c>
      <c r="O123" s="61">
        <v>18216</v>
      </c>
      <c r="P123" s="61">
        <v>20029</v>
      </c>
      <c r="Q123" s="61">
        <v>22459</v>
      </c>
      <c r="R123" s="61">
        <v>22699</v>
      </c>
      <c r="S123" s="61">
        <v>23809</v>
      </c>
      <c r="T123" s="61">
        <v>25821</v>
      </c>
      <c r="U123" s="61">
        <v>27448</v>
      </c>
      <c r="V123" s="61">
        <v>27287</v>
      </c>
      <c r="W123" s="61"/>
    </row>
    <row r="124" spans="1:31">
      <c r="A124" s="58">
        <v>22</v>
      </c>
      <c r="B124" s="54" t="s">
        <v>263</v>
      </c>
      <c r="C124" s="58"/>
      <c r="D124" s="58"/>
      <c r="E124" s="93" t="s">
        <v>281</v>
      </c>
      <c r="F124" s="61">
        <v>5</v>
      </c>
      <c r="G124" s="61">
        <v>2</v>
      </c>
      <c r="H124" s="61">
        <v>1</v>
      </c>
      <c r="I124" s="61">
        <v>2</v>
      </c>
      <c r="J124" s="61">
        <v>3</v>
      </c>
      <c r="K124" s="61">
        <v>-4</v>
      </c>
      <c r="L124" s="61">
        <v>0</v>
      </c>
      <c r="M124" s="61">
        <v>-9</v>
      </c>
      <c r="N124" s="61">
        <v>-3</v>
      </c>
      <c r="O124" s="61">
        <v>-3</v>
      </c>
      <c r="P124" s="61">
        <v>2</v>
      </c>
      <c r="Q124" s="61">
        <v>0</v>
      </c>
      <c r="R124" s="61">
        <v>-4</v>
      </c>
      <c r="S124" s="61">
        <v>0</v>
      </c>
      <c r="T124" s="61">
        <v>0</v>
      </c>
      <c r="U124" s="61">
        <v>0</v>
      </c>
      <c r="V124" s="61">
        <v>0</v>
      </c>
    </row>
    <row r="125" spans="1:31">
      <c r="A125" s="58">
        <v>23</v>
      </c>
      <c r="B125" s="95" t="s">
        <v>282</v>
      </c>
      <c r="C125" s="58"/>
      <c r="D125" s="58"/>
      <c r="E125" s="58"/>
      <c r="F125" s="62">
        <v>21044</v>
      </c>
      <c r="G125" s="62">
        <v>20603</v>
      </c>
      <c r="H125" s="62">
        <v>24161</v>
      </c>
      <c r="I125" s="62">
        <v>24010</v>
      </c>
      <c r="J125" s="62">
        <v>24687</v>
      </c>
      <c r="K125" s="62">
        <v>24884</v>
      </c>
      <c r="L125" s="62">
        <v>25422</v>
      </c>
      <c r="M125" s="62">
        <v>24466</v>
      </c>
      <c r="N125" s="62">
        <v>25559</v>
      </c>
      <c r="O125" s="62">
        <v>27227</v>
      </c>
      <c r="P125" s="62">
        <v>29986</v>
      </c>
      <c r="Q125" s="62">
        <v>33305</v>
      </c>
      <c r="R125" s="62">
        <v>34151</v>
      </c>
      <c r="S125" s="62">
        <v>36722</v>
      </c>
      <c r="T125" s="62">
        <v>38649</v>
      </c>
      <c r="U125" s="62">
        <v>41581</v>
      </c>
      <c r="V125" s="62">
        <v>41941</v>
      </c>
    </row>
    <row r="126" spans="1:31">
      <c r="A126" s="58">
        <v>24</v>
      </c>
      <c r="B126" s="58"/>
      <c r="C126" s="95" t="s">
        <v>283</v>
      </c>
      <c r="D126" s="58"/>
      <c r="E126" s="58"/>
      <c r="F126" s="61">
        <v>-139.02531106267637</v>
      </c>
      <c r="G126" s="61">
        <v>-204.88365621028748</v>
      </c>
      <c r="H126" s="61">
        <v>-244.858985269843</v>
      </c>
      <c r="I126" s="61">
        <v>-247.52400720714672</v>
      </c>
      <c r="J126" s="61">
        <v>0</v>
      </c>
      <c r="K126" s="61">
        <v>-266.79687571981992</v>
      </c>
      <c r="L126" s="61">
        <v>0</v>
      </c>
      <c r="M126" s="61">
        <v>-269.17899068160403</v>
      </c>
      <c r="N126" s="61">
        <v>-488.21244267615958</v>
      </c>
      <c r="O126" s="61">
        <v>-762.2767877709141</v>
      </c>
      <c r="P126" s="61">
        <v>-786.62281017694488</v>
      </c>
      <c r="Q126" s="61">
        <v>-811.61482986074759</v>
      </c>
      <c r="R126" s="61">
        <v>-682.57687362579838</v>
      </c>
      <c r="S126" s="61">
        <v>0</v>
      </c>
      <c r="T126" s="61">
        <v>0</v>
      </c>
      <c r="U126" s="61">
        <v>0</v>
      </c>
      <c r="V126" s="61">
        <v>0</v>
      </c>
      <c r="W126" s="55"/>
    </row>
    <row r="127" spans="1:31">
      <c r="A127" s="58">
        <v>25</v>
      </c>
      <c r="B127" s="58"/>
      <c r="C127" s="95" t="s">
        <v>284</v>
      </c>
      <c r="D127" s="58"/>
      <c r="E127" s="58"/>
      <c r="F127" s="61">
        <v>672.0700776436787</v>
      </c>
      <c r="G127" s="61">
        <v>57.176834291243019</v>
      </c>
      <c r="H127" s="61">
        <v>303.3279514094757</v>
      </c>
      <c r="I127" s="61">
        <v>255.96324334194176</v>
      </c>
      <c r="J127" s="61">
        <v>0</v>
      </c>
      <c r="K127" s="61">
        <v>379.03890273269815</v>
      </c>
      <c r="L127" s="61">
        <v>0</v>
      </c>
      <c r="M127" s="61">
        <v>225.37230028269292</v>
      </c>
      <c r="N127" s="61">
        <v>144.3803915820333</v>
      </c>
      <c r="O127" s="61">
        <v>161.701193592294</v>
      </c>
      <c r="P127" s="61">
        <v>252.10043765050779</v>
      </c>
      <c r="Q127" s="61">
        <v>186.12796565804626</v>
      </c>
      <c r="R127" s="61">
        <v>336.20120825044501</v>
      </c>
      <c r="S127" s="61">
        <v>0</v>
      </c>
      <c r="T127" s="61">
        <v>0</v>
      </c>
      <c r="U127" s="61">
        <v>0</v>
      </c>
      <c r="V127" s="61">
        <v>0</v>
      </c>
      <c r="W127" s="55"/>
    </row>
    <row r="128" spans="1:31" ht="12.75" thickBot="1">
      <c r="A128" s="58">
        <v>26</v>
      </c>
      <c r="B128" s="71" t="s">
        <v>285</v>
      </c>
      <c r="C128" s="58"/>
      <c r="D128" s="58"/>
      <c r="E128" s="58"/>
      <c r="F128" s="96">
        <v>21577.044766581002</v>
      </c>
      <c r="G128" s="96">
        <v>20455.293178080956</v>
      </c>
      <c r="H128" s="96">
        <v>24219.468966139633</v>
      </c>
      <c r="I128" s="96">
        <v>24018.439236134796</v>
      </c>
      <c r="J128" s="96">
        <v>24687</v>
      </c>
      <c r="K128" s="96">
        <v>24996.242027012875</v>
      </c>
      <c r="L128" s="96">
        <v>25422</v>
      </c>
      <c r="M128" s="96">
        <v>24422.193309601087</v>
      </c>
      <c r="N128" s="96">
        <v>25215.167948905873</v>
      </c>
      <c r="O128" s="96">
        <v>26626.424405821377</v>
      </c>
      <c r="P128" s="96">
        <v>29451.477627473563</v>
      </c>
      <c r="Q128" s="96">
        <v>32679.513135797297</v>
      </c>
      <c r="R128" s="96">
        <v>33804.624334624648</v>
      </c>
      <c r="S128" s="96">
        <v>36722</v>
      </c>
      <c r="T128" s="96">
        <v>38649</v>
      </c>
      <c r="U128" s="96">
        <v>41581</v>
      </c>
      <c r="V128" s="96">
        <v>41941</v>
      </c>
      <c r="W128" s="55"/>
      <c r="X128" s="103"/>
    </row>
    <row r="129" spans="1:30" ht="12.75" thickTop="1">
      <c r="A129" s="58"/>
      <c r="B129" s="53"/>
      <c r="C129" s="58"/>
      <c r="D129" s="58"/>
      <c r="E129" s="58"/>
      <c r="F129" s="61"/>
      <c r="G129" s="98">
        <v>-5.19881939642374E-2</v>
      </c>
      <c r="H129" s="98">
        <v>0.18401964495391404</v>
      </c>
      <c r="I129" s="98">
        <v>-8.300335993571507E-3</v>
      </c>
      <c r="J129" s="98">
        <v>2.7835312581817567E-2</v>
      </c>
      <c r="K129" s="98">
        <v>1.2526513023570099E-2</v>
      </c>
      <c r="L129" s="98">
        <v>1.7032879283494611E-2</v>
      </c>
      <c r="M129" s="98">
        <v>-3.9328404153839702E-2</v>
      </c>
      <c r="N129" s="98">
        <v>3.2469427673928221E-2</v>
      </c>
      <c r="O129" s="98">
        <v>5.5968552728864154E-2</v>
      </c>
      <c r="P129" s="98">
        <v>0.10609960911742022</v>
      </c>
      <c r="Q129" s="98">
        <v>0.1096052140118256</v>
      </c>
      <c r="R129" s="98">
        <v>3.4428640174412488E-2</v>
      </c>
      <c r="S129" s="98">
        <v>8.6301082257175296E-2</v>
      </c>
      <c r="T129" s="98">
        <v>5.2475355372801048E-2</v>
      </c>
      <c r="U129" s="98">
        <v>7.5862247406142461E-2</v>
      </c>
      <c r="V129" s="98">
        <v>8.6578004376999113E-3</v>
      </c>
      <c r="W129" s="104"/>
      <c r="X129" s="392" t="s">
        <v>286</v>
      </c>
      <c r="Y129" s="392"/>
      <c r="Z129" s="393"/>
    </row>
    <row r="130" spans="1:30" ht="14.25" customHeight="1">
      <c r="A130" s="58"/>
      <c r="B130" s="95"/>
      <c r="C130" s="58"/>
      <c r="D130" s="58"/>
      <c r="E130" s="58"/>
      <c r="F130" s="61"/>
      <c r="G130" s="61"/>
      <c r="H130" s="61"/>
      <c r="I130" s="61"/>
      <c r="J130" s="61"/>
      <c r="K130" s="61"/>
      <c r="L130" s="61"/>
      <c r="M130" s="61"/>
      <c r="N130" s="61"/>
      <c r="O130" s="61"/>
      <c r="P130" s="61"/>
      <c r="Q130" s="61"/>
      <c r="R130" s="61"/>
      <c r="S130" s="61"/>
      <c r="T130" s="61"/>
      <c r="U130" s="61"/>
      <c r="V130" s="61"/>
      <c r="W130" s="101"/>
      <c r="X130" s="101" t="s">
        <v>287</v>
      </c>
      <c r="Y130" s="101" t="s">
        <v>288</v>
      </c>
      <c r="Z130" s="105" t="s">
        <v>289</v>
      </c>
      <c r="AD130" s="94"/>
    </row>
    <row r="131" spans="1:30" ht="12.75" thickBot="1">
      <c r="A131" s="58">
        <v>27</v>
      </c>
      <c r="B131" s="71" t="s">
        <v>290</v>
      </c>
      <c r="C131" s="58"/>
      <c r="D131" s="58"/>
      <c r="E131" s="93" t="s">
        <v>291</v>
      </c>
      <c r="F131" s="96">
        <v>649149</v>
      </c>
      <c r="G131" s="96">
        <v>662278</v>
      </c>
      <c r="H131" s="96">
        <v>739502</v>
      </c>
      <c r="I131" s="96">
        <v>720602</v>
      </c>
      <c r="J131" s="96">
        <v>757756</v>
      </c>
      <c r="K131" s="96">
        <v>799091</v>
      </c>
      <c r="L131" s="96">
        <v>855712</v>
      </c>
      <c r="M131" s="96">
        <v>870835</v>
      </c>
      <c r="N131" s="96">
        <v>917247</v>
      </c>
      <c r="O131" s="96">
        <v>987243</v>
      </c>
      <c r="P131" s="96">
        <v>1036064</v>
      </c>
      <c r="Q131" s="96">
        <v>1087140</v>
      </c>
      <c r="R131" s="96">
        <v>1131570</v>
      </c>
      <c r="S131" s="96">
        <v>1195010</v>
      </c>
      <c r="T131" s="96">
        <v>1214504</v>
      </c>
      <c r="U131" s="96">
        <v>1271626</v>
      </c>
      <c r="V131" s="96">
        <v>1375685</v>
      </c>
      <c r="W131" s="102"/>
      <c r="X131" s="106">
        <v>1539337</v>
      </c>
      <c r="Y131" s="106">
        <v>1574348</v>
      </c>
      <c r="Z131" s="107">
        <v>1634379</v>
      </c>
      <c r="AB131" s="94"/>
      <c r="AC131" s="94"/>
      <c r="AD131" s="94"/>
    </row>
    <row r="132" spans="1:30" ht="3" customHeight="1" thickTop="1">
      <c r="A132" s="58"/>
      <c r="B132" s="58"/>
      <c r="C132" s="58"/>
      <c r="D132" s="58"/>
      <c r="E132" s="58"/>
      <c r="F132" s="61"/>
      <c r="G132" s="98">
        <v>2.0224940653070404E-2</v>
      </c>
      <c r="H132" s="98">
        <v>0.11660360150873199</v>
      </c>
      <c r="I132" s="98">
        <v>-2.5557740208951428E-2</v>
      </c>
      <c r="J132" s="98">
        <v>5.1559668166338703E-2</v>
      </c>
      <c r="K132" s="98">
        <v>5.4549221649185228E-2</v>
      </c>
      <c r="L132" s="98">
        <v>7.0856760994680204E-2</v>
      </c>
      <c r="M132" s="98"/>
      <c r="N132" s="98"/>
      <c r="O132" s="98"/>
      <c r="P132" s="98"/>
      <c r="Q132" s="98"/>
      <c r="R132" s="98"/>
      <c r="S132" s="98"/>
      <c r="T132" s="98"/>
      <c r="U132" s="98"/>
      <c r="V132" s="98"/>
      <c r="W132" s="98"/>
      <c r="X132" s="98"/>
      <c r="Y132" s="98"/>
      <c r="Z132" s="98"/>
      <c r="AA132" s="94"/>
      <c r="AB132" s="94"/>
      <c r="AC132" s="94"/>
      <c r="AD132" s="94"/>
    </row>
    <row r="133" spans="1:30" ht="3.75" hidden="1" customHeight="1">
      <c r="A133" s="58"/>
      <c r="B133" s="71"/>
      <c r="C133" s="58"/>
      <c r="D133" s="58"/>
      <c r="E133" s="93"/>
      <c r="F133" s="61"/>
      <c r="G133" s="61"/>
      <c r="H133" s="61"/>
      <c r="I133" s="61"/>
      <c r="J133" s="61"/>
      <c r="K133" s="61"/>
      <c r="L133" s="61"/>
      <c r="M133" s="61"/>
      <c r="N133" s="61"/>
      <c r="O133" s="61"/>
      <c r="P133" s="61"/>
      <c r="Q133" s="61"/>
      <c r="R133" s="61"/>
      <c r="S133" s="61"/>
      <c r="T133" s="61"/>
      <c r="U133" s="61"/>
      <c r="V133" s="61"/>
      <c r="W133" s="55"/>
      <c r="AB133" s="94"/>
      <c r="AC133" s="94"/>
      <c r="AD133" s="94"/>
    </row>
    <row r="134" spans="1:30" ht="12.75" hidden="1" thickBot="1">
      <c r="A134" s="58">
        <v>28</v>
      </c>
      <c r="B134" s="71" t="s">
        <v>292</v>
      </c>
      <c r="C134" s="58"/>
      <c r="D134" s="58"/>
      <c r="E134" s="93" t="s">
        <v>293</v>
      </c>
      <c r="F134" s="96">
        <v>568492</v>
      </c>
      <c r="G134" s="96">
        <v>597515</v>
      </c>
      <c r="H134" s="96">
        <v>761858</v>
      </c>
      <c r="I134" s="96">
        <v>742443</v>
      </c>
      <c r="J134" s="96">
        <v>778011</v>
      </c>
      <c r="K134" s="96">
        <v>819842</v>
      </c>
      <c r="L134" s="96">
        <v>874511</v>
      </c>
      <c r="M134" s="96">
        <v>891855</v>
      </c>
      <c r="N134" s="96">
        <v>936840</v>
      </c>
      <c r="O134" s="96">
        <v>1005019</v>
      </c>
      <c r="P134" s="96">
        <v>1072028</v>
      </c>
      <c r="Q134" s="96">
        <v>1137863</v>
      </c>
      <c r="R134" s="96">
        <v>1158975</v>
      </c>
      <c r="S134" s="96">
        <v>1226052</v>
      </c>
      <c r="T134" s="96">
        <v>1273157</v>
      </c>
      <c r="U134" s="96">
        <v>1338806</v>
      </c>
      <c r="V134" s="96">
        <v>1442726</v>
      </c>
      <c r="W134" s="55"/>
      <c r="AB134" s="94"/>
      <c r="AC134" s="94"/>
      <c r="AD134" s="94"/>
    </row>
    <row r="135" spans="1:30" hidden="1">
      <c r="A135" s="58"/>
      <c r="B135" s="58"/>
      <c r="C135" s="58"/>
      <c r="D135" s="58"/>
      <c r="E135" s="58"/>
      <c r="F135" s="61"/>
      <c r="G135" s="98">
        <v>5.1052609359498465E-2</v>
      </c>
      <c r="H135" s="98">
        <v>0.27504414115126818</v>
      </c>
      <c r="I135" s="98">
        <v>-2.5483751565252316E-2</v>
      </c>
      <c r="J135" s="98">
        <v>4.7906707989704263E-2</v>
      </c>
      <c r="K135" s="98">
        <v>5.3766591989059281E-2</v>
      </c>
      <c r="L135" s="98">
        <v>6.6682360747558678E-2</v>
      </c>
      <c r="M135" s="98">
        <v>1.9832797986531901E-2</v>
      </c>
      <c r="N135" s="98">
        <v>5.0439813646837209E-2</v>
      </c>
      <c r="O135" s="98">
        <v>7.2775500619102512E-2</v>
      </c>
      <c r="P135" s="98">
        <v>6.6674361380232611E-2</v>
      </c>
      <c r="Q135" s="98">
        <v>6.1411642233225254E-2</v>
      </c>
      <c r="R135" s="98">
        <v>1.855407900599633E-2</v>
      </c>
      <c r="S135" s="98">
        <v>5.7876140555231992E-2</v>
      </c>
      <c r="T135" s="98">
        <v>3.8420067011839629E-2</v>
      </c>
      <c r="U135" s="98">
        <v>5.1563946944485246E-2</v>
      </c>
      <c r="V135" s="98">
        <v>7.7621402951585219E-2</v>
      </c>
      <c r="W135" s="55"/>
    </row>
    <row r="136" spans="1:30" ht="18.75" hidden="1" customHeight="1">
      <c r="A136" s="58"/>
      <c r="B136" s="58"/>
      <c r="C136" s="58"/>
      <c r="D136" s="58"/>
      <c r="E136" s="58"/>
      <c r="F136" s="61"/>
      <c r="G136" s="61"/>
      <c r="H136" s="61"/>
      <c r="I136" s="61"/>
      <c r="J136" s="61"/>
      <c r="K136" s="61"/>
      <c r="L136" s="61"/>
      <c r="M136" s="61"/>
      <c r="N136" s="61"/>
      <c r="O136" s="61"/>
      <c r="P136" s="61"/>
      <c r="Q136" s="61"/>
      <c r="R136" s="61"/>
      <c r="S136" s="61"/>
      <c r="T136" s="61"/>
      <c r="U136" s="61"/>
      <c r="V136" s="61"/>
      <c r="W136" s="55"/>
    </row>
    <row r="137" spans="1:30" ht="1.5" hidden="1" customHeight="1">
      <c r="A137" s="58"/>
      <c r="B137" s="95" t="s">
        <v>294</v>
      </c>
      <c r="C137" s="58"/>
      <c r="D137" s="58"/>
      <c r="E137" s="58"/>
      <c r="F137" s="61"/>
      <c r="G137" s="61"/>
      <c r="H137" s="61"/>
      <c r="I137" s="61"/>
      <c r="J137" s="61"/>
      <c r="K137" s="61"/>
      <c r="L137" s="61"/>
      <c r="M137" s="61"/>
      <c r="N137" s="61"/>
      <c r="O137" s="61"/>
      <c r="P137" s="61"/>
      <c r="Q137" s="61"/>
      <c r="R137" s="61"/>
      <c r="S137" s="61"/>
      <c r="T137" s="61"/>
      <c r="U137" s="61"/>
      <c r="V137" s="61"/>
      <c r="W137" s="55"/>
      <c r="AB137" s="94"/>
      <c r="AC137" s="94"/>
      <c r="AD137" s="94"/>
    </row>
    <row r="138" spans="1:30" hidden="1">
      <c r="A138" s="58">
        <v>29</v>
      </c>
      <c r="B138" s="95" t="s">
        <v>295</v>
      </c>
      <c r="C138" s="58"/>
      <c r="D138" s="58"/>
      <c r="E138" s="93" t="s">
        <v>296</v>
      </c>
      <c r="F138" s="61">
        <v>13062</v>
      </c>
      <c r="G138" s="61">
        <v>14305</v>
      </c>
      <c r="H138" s="61">
        <v>34274</v>
      </c>
      <c r="I138" s="61">
        <v>57244</v>
      </c>
      <c r="J138" s="61">
        <v>8587</v>
      </c>
      <c r="K138" s="61">
        <v>10259</v>
      </c>
      <c r="L138" s="61">
        <v>10178</v>
      </c>
      <c r="M138" s="61">
        <v>10170</v>
      </c>
      <c r="N138" s="61">
        <v>10927</v>
      </c>
      <c r="O138" s="61">
        <v>9395</v>
      </c>
      <c r="P138" s="61">
        <v>11786</v>
      </c>
      <c r="Q138" s="61">
        <v>13666</v>
      </c>
      <c r="R138" s="61">
        <v>13089</v>
      </c>
      <c r="S138" s="61">
        <v>13408</v>
      </c>
      <c r="T138" s="61">
        <v>17163</v>
      </c>
      <c r="U138" s="61">
        <v>16920</v>
      </c>
      <c r="V138" s="61">
        <v>17310</v>
      </c>
      <c r="W138" s="55"/>
      <c r="AB138" s="94"/>
      <c r="AC138" s="94"/>
      <c r="AD138" s="94"/>
    </row>
    <row r="139" spans="1:30" hidden="1">
      <c r="A139" s="58">
        <v>30</v>
      </c>
      <c r="B139" s="95"/>
      <c r="C139" s="95" t="s">
        <v>297</v>
      </c>
      <c r="D139" s="58"/>
      <c r="E139" s="93"/>
      <c r="F139" s="61"/>
      <c r="G139" s="61"/>
      <c r="H139" s="61"/>
      <c r="I139" s="61"/>
      <c r="J139" s="61"/>
      <c r="K139" s="61"/>
      <c r="L139" s="61"/>
      <c r="M139" s="61"/>
      <c r="N139" s="61"/>
      <c r="O139" s="61"/>
      <c r="P139" s="61"/>
      <c r="Q139" s="61"/>
      <c r="R139" s="61"/>
      <c r="S139" s="61"/>
      <c r="T139" s="61"/>
      <c r="U139" s="61">
        <v>-3691</v>
      </c>
      <c r="V139" s="61">
        <v>-3887</v>
      </c>
      <c r="W139" s="55"/>
      <c r="AB139" s="94"/>
      <c r="AC139" s="94"/>
      <c r="AD139" s="94"/>
    </row>
    <row r="140" spans="1:30" hidden="1">
      <c r="A140" s="58">
        <v>31</v>
      </c>
      <c r="B140" s="95"/>
      <c r="C140" s="95" t="s">
        <v>298</v>
      </c>
      <c r="D140" s="58"/>
      <c r="E140" s="58"/>
      <c r="F140" s="61">
        <v>-7824</v>
      </c>
      <c r="G140" s="61">
        <v>-2251</v>
      </c>
      <c r="H140" s="61">
        <v>-25293</v>
      </c>
      <c r="I140" s="61">
        <v>-47139</v>
      </c>
      <c r="J140" s="61">
        <v>-285</v>
      </c>
      <c r="K140" s="61">
        <v>-179.11379999999997</v>
      </c>
      <c r="L140" s="61">
        <v>-198</v>
      </c>
      <c r="M140" s="61">
        <v>-221</v>
      </c>
      <c r="N140" s="61">
        <v>-1839</v>
      </c>
      <c r="O140" s="61">
        <v>-448.37979999999999</v>
      </c>
      <c r="P140" s="61">
        <v>-639.87119999999993</v>
      </c>
      <c r="Q140" s="61">
        <v>-1751.694</v>
      </c>
      <c r="R140" s="61">
        <v>-1489.3194000000001</v>
      </c>
      <c r="S140" s="61">
        <v>-282</v>
      </c>
      <c r="T140" s="61">
        <v>-3062.3724999999999</v>
      </c>
      <c r="U140" s="61">
        <v>-267.11410000000001</v>
      </c>
      <c r="V140" s="61">
        <v>-234.65610000000001</v>
      </c>
      <c r="W140" s="55"/>
      <c r="AD140" s="94"/>
    </row>
    <row r="141" spans="1:30" hidden="1">
      <c r="A141" s="58">
        <v>32</v>
      </c>
      <c r="B141" s="95"/>
      <c r="C141" s="95" t="s">
        <v>299</v>
      </c>
      <c r="D141" s="58"/>
      <c r="E141" s="58"/>
      <c r="F141" s="61">
        <v>-3487.7256000000007</v>
      </c>
      <c r="G141" s="61">
        <v>-9892</v>
      </c>
      <c r="H141" s="61">
        <v>-7115</v>
      </c>
      <c r="I141" s="61">
        <v>-7569</v>
      </c>
      <c r="J141" s="61">
        <v>-5523</v>
      </c>
      <c r="K141" s="61">
        <v>-6637</v>
      </c>
      <c r="L141" s="61">
        <v>-7024</v>
      </c>
      <c r="M141" s="61">
        <v>-6876</v>
      </c>
      <c r="N141" s="61">
        <v>-6213</v>
      </c>
      <c r="O141" s="61">
        <v>-6133</v>
      </c>
      <c r="P141" s="61">
        <v>-8333</v>
      </c>
      <c r="Q141" s="61">
        <v>-9102</v>
      </c>
      <c r="R141" s="61">
        <v>-8285</v>
      </c>
      <c r="S141" s="61">
        <v>-9662</v>
      </c>
      <c r="T141" s="61">
        <v>-10622</v>
      </c>
      <c r="U141" s="61">
        <v>-10512</v>
      </c>
      <c r="V141" s="61">
        <v>-10386.6546</v>
      </c>
      <c r="W141" s="55"/>
      <c r="AD141" s="94"/>
    </row>
    <row r="142" spans="1:30" ht="12.75" hidden="1" thickBot="1">
      <c r="A142" s="58">
        <v>33</v>
      </c>
      <c r="B142" s="71" t="s">
        <v>300</v>
      </c>
      <c r="C142" s="95"/>
      <c r="D142" s="58"/>
      <c r="E142" s="58"/>
      <c r="F142" s="96">
        <v>1750.2743999999993</v>
      </c>
      <c r="G142" s="96">
        <v>2162</v>
      </c>
      <c r="H142" s="96">
        <v>1866</v>
      </c>
      <c r="I142" s="96">
        <v>2536</v>
      </c>
      <c r="J142" s="96">
        <v>2779</v>
      </c>
      <c r="K142" s="96">
        <v>3442.8862000000008</v>
      </c>
      <c r="L142" s="96">
        <v>2956</v>
      </c>
      <c r="M142" s="96">
        <v>3073</v>
      </c>
      <c r="N142" s="96">
        <v>2875</v>
      </c>
      <c r="O142" s="96">
        <v>2813.6201999999994</v>
      </c>
      <c r="P142" s="96">
        <v>2813.1288000000004</v>
      </c>
      <c r="Q142" s="96">
        <v>2812.3060000000005</v>
      </c>
      <c r="R142" s="96">
        <v>3314.6805999999997</v>
      </c>
      <c r="S142" s="96">
        <v>3464</v>
      </c>
      <c r="T142" s="96">
        <v>3478.6275000000005</v>
      </c>
      <c r="U142" s="96">
        <v>2449.8858999999993</v>
      </c>
      <c r="V142" s="96">
        <v>2801.6893</v>
      </c>
      <c r="W142" s="55"/>
    </row>
    <row r="143" spans="1:30" hidden="1">
      <c r="A143" s="58"/>
      <c r="F143" s="108"/>
      <c r="G143" s="98">
        <v>0.23523488659835329</v>
      </c>
      <c r="H143" s="98">
        <v>-0.13691026827012026</v>
      </c>
      <c r="I143" s="98">
        <v>0.35905680600214362</v>
      </c>
      <c r="J143" s="98">
        <v>9.5820189274447951E-2</v>
      </c>
      <c r="K143" s="98">
        <v>0.23889391867578294</v>
      </c>
      <c r="L143" s="98">
        <v>-0.14141803467102709</v>
      </c>
      <c r="M143" s="98">
        <v>3.9580514208389712E-2</v>
      </c>
      <c r="N143" s="98">
        <v>-6.4432150992515452E-2</v>
      </c>
      <c r="O143" s="98">
        <v>-2.1349495652174127E-2</v>
      </c>
      <c r="P143" s="98">
        <v>-1.7465043789455863E-4</v>
      </c>
      <c r="Q143" s="98">
        <v>-2.9248571910390862E-4</v>
      </c>
      <c r="R143" s="98">
        <v>0.17863440180407078</v>
      </c>
      <c r="S143" s="98">
        <v>4.5047899939439209E-2</v>
      </c>
      <c r="T143" s="98">
        <v>4.222719399538253E-3</v>
      </c>
      <c r="U143" s="98">
        <v>-0.29573203799487041</v>
      </c>
      <c r="V143" s="98">
        <v>0.14359991214284745</v>
      </c>
      <c r="W143" s="55"/>
    </row>
    <row r="144" spans="1:30" ht="4.5" hidden="1" customHeight="1">
      <c r="A144" s="58"/>
      <c r="F144" s="108"/>
      <c r="G144" s="98"/>
      <c r="H144" s="98"/>
      <c r="I144" s="98"/>
      <c r="J144" s="98"/>
      <c r="K144" s="98"/>
      <c r="L144" s="98"/>
      <c r="M144" s="98"/>
      <c r="N144" s="98"/>
      <c r="O144" s="98"/>
      <c r="P144" s="98"/>
      <c r="Q144" s="98"/>
      <c r="R144" s="98"/>
      <c r="S144" s="80"/>
      <c r="T144" s="80"/>
      <c r="U144" s="80"/>
      <c r="V144" s="80"/>
      <c r="W144" s="55"/>
    </row>
    <row r="145" spans="1:26" ht="14.25" hidden="1" customHeight="1">
      <c r="A145" s="58"/>
      <c r="F145" s="108"/>
      <c r="G145" s="98"/>
      <c r="H145" s="98"/>
      <c r="I145" s="98"/>
      <c r="J145" s="98"/>
      <c r="K145" s="98"/>
      <c r="L145" s="98"/>
      <c r="M145" s="98"/>
      <c r="N145" s="98"/>
      <c r="O145" s="98"/>
      <c r="P145" s="98"/>
      <c r="Q145" s="98"/>
      <c r="R145" s="98"/>
      <c r="S145" s="109"/>
      <c r="T145" s="109"/>
      <c r="U145" s="110" t="s">
        <v>301</v>
      </c>
      <c r="V145" s="109"/>
      <c r="W145" s="55"/>
    </row>
    <row r="146" spans="1:26" ht="5.25" customHeight="1">
      <c r="A146" s="111"/>
      <c r="F146" s="108"/>
      <c r="G146" s="98"/>
      <c r="H146" s="98"/>
      <c r="I146" s="98"/>
      <c r="J146" s="98"/>
      <c r="K146" s="98"/>
      <c r="L146" s="98"/>
      <c r="M146" s="98"/>
      <c r="N146" s="98"/>
      <c r="O146" s="98"/>
      <c r="P146" s="98"/>
      <c r="Q146" s="98"/>
      <c r="R146" s="98"/>
      <c r="S146" s="80"/>
      <c r="T146" s="80"/>
      <c r="U146" s="80"/>
      <c r="V146" s="54"/>
      <c r="W146" s="55"/>
      <c r="Z146" s="94"/>
    </row>
    <row r="147" spans="1:26" ht="5.25" customHeight="1">
      <c r="A147" s="111"/>
      <c r="F147" s="108"/>
      <c r="G147" s="98"/>
      <c r="H147" s="98"/>
      <c r="I147" s="98"/>
      <c r="J147" s="98"/>
      <c r="K147" s="98"/>
      <c r="L147" s="98"/>
      <c r="M147" s="98"/>
      <c r="N147" s="98"/>
      <c r="O147" s="98"/>
      <c r="P147" s="98"/>
      <c r="Q147" s="98"/>
      <c r="R147" s="98"/>
      <c r="S147" s="80"/>
      <c r="T147" s="80"/>
      <c r="U147" s="80"/>
      <c r="V147" s="54"/>
    </row>
    <row r="148" spans="1:26">
      <c r="A148" s="111" t="s">
        <v>302</v>
      </c>
      <c r="F148" s="108"/>
      <c r="G148" s="98"/>
      <c r="H148" s="98"/>
      <c r="I148" s="98"/>
      <c r="J148" s="98"/>
      <c r="K148" s="98"/>
      <c r="L148" s="98"/>
      <c r="M148" s="98"/>
      <c r="N148" s="98"/>
      <c r="O148" s="98"/>
      <c r="P148" s="98"/>
      <c r="Q148" s="98"/>
      <c r="R148" s="98"/>
      <c r="S148" s="80"/>
      <c r="V148" s="54"/>
      <c r="X148" s="55"/>
      <c r="Y148" s="55"/>
    </row>
    <row r="149" spans="1:26" ht="0.6" customHeight="1">
      <c r="A149" s="58"/>
      <c r="G149" s="55"/>
      <c r="H149" s="55"/>
      <c r="I149" s="55"/>
      <c r="J149" s="55"/>
      <c r="L149" s="55"/>
      <c r="M149" s="55"/>
      <c r="N149" s="55"/>
      <c r="O149" s="55"/>
      <c r="P149" s="55"/>
      <c r="Q149" s="55"/>
      <c r="R149" s="55"/>
      <c r="V149" s="54"/>
      <c r="X149" s="55"/>
      <c r="Y149" s="55"/>
    </row>
    <row r="150" spans="1:26" ht="18" customHeight="1">
      <c r="A150" s="112" t="s">
        <v>6</v>
      </c>
      <c r="B150" s="90" t="s">
        <v>303</v>
      </c>
      <c r="F150" s="90"/>
      <c r="G150" s="90"/>
      <c r="H150" s="90"/>
      <c r="I150" s="90"/>
      <c r="J150" s="90"/>
      <c r="K150" s="90"/>
      <c r="L150" s="90"/>
      <c r="M150" s="90"/>
      <c r="N150" s="90"/>
      <c r="O150" s="90"/>
      <c r="P150" s="90"/>
      <c r="Q150" s="90"/>
      <c r="R150" s="90"/>
      <c r="T150" s="113" t="s">
        <v>304</v>
      </c>
      <c r="U150" s="80"/>
      <c r="V150" s="113" t="s">
        <v>305</v>
      </c>
      <c r="W150" s="55"/>
      <c r="X150" s="55"/>
      <c r="Y150" s="55"/>
    </row>
    <row r="151" spans="1:26" ht="12.75" hidden="1">
      <c r="A151" s="114" t="s">
        <v>7</v>
      </c>
      <c r="B151" s="115" t="s">
        <v>306</v>
      </c>
      <c r="C151" s="115"/>
      <c r="D151" s="116"/>
      <c r="E151" s="117"/>
      <c r="F151" s="117"/>
      <c r="G151" s="118"/>
      <c r="H151" s="118" t="s">
        <v>307</v>
      </c>
      <c r="I151" s="118" t="s">
        <v>308</v>
      </c>
      <c r="J151" s="118" t="s">
        <v>309</v>
      </c>
      <c r="K151" s="118" t="s">
        <v>310</v>
      </c>
      <c r="L151" s="118" t="s">
        <v>311</v>
      </c>
      <c r="M151" s="118" t="s">
        <v>312</v>
      </c>
      <c r="N151" s="118" t="s">
        <v>313</v>
      </c>
      <c r="O151" s="118" t="s">
        <v>314</v>
      </c>
      <c r="P151" s="118" t="s">
        <v>315</v>
      </c>
      <c r="Q151" s="118" t="s">
        <v>316</v>
      </c>
      <c r="R151" s="118" t="s">
        <v>317</v>
      </c>
      <c r="S151" s="119" t="s">
        <v>318</v>
      </c>
      <c r="T151" s="119" t="s">
        <v>319</v>
      </c>
      <c r="U151" s="119"/>
      <c r="V151" s="119"/>
      <c r="W151" s="120"/>
      <c r="X151" s="120"/>
      <c r="Y151" s="119" t="s">
        <v>320</v>
      </c>
      <c r="Z151" s="119" t="s">
        <v>321</v>
      </c>
    </row>
    <row r="152" spans="1:26" ht="12.75" hidden="1">
      <c r="A152" s="121"/>
      <c r="B152" s="122"/>
      <c r="C152" s="122"/>
      <c r="D152" s="122"/>
      <c r="E152" s="122"/>
      <c r="F152" s="122"/>
      <c r="G152" s="123"/>
      <c r="H152" s="123"/>
      <c r="I152" s="123"/>
      <c r="J152" s="123"/>
      <c r="K152" s="123"/>
      <c r="L152" s="123"/>
      <c r="M152" s="123"/>
      <c r="N152" s="123"/>
      <c r="O152" s="123"/>
      <c r="P152" s="124"/>
      <c r="Q152" s="124"/>
      <c r="R152" s="124"/>
      <c r="S152" s="125"/>
      <c r="T152" s="125"/>
      <c r="U152" s="125"/>
      <c r="V152" s="125"/>
      <c r="W152" s="126"/>
      <c r="X152" s="126"/>
      <c r="Y152" s="125"/>
      <c r="Z152" s="125"/>
    </row>
    <row r="153" spans="1:26" ht="12.75" hidden="1">
      <c r="A153" s="121">
        <v>1</v>
      </c>
      <c r="B153" s="127" t="s">
        <v>116</v>
      </c>
      <c r="C153" s="122"/>
      <c r="D153" s="122"/>
      <c r="E153" s="122"/>
      <c r="F153" s="122"/>
      <c r="G153" s="128"/>
      <c r="H153" s="128">
        <v>0.1477938608922629</v>
      </c>
      <c r="I153" s="128">
        <v>-3.5183057127066861E-2</v>
      </c>
      <c r="J153" s="128">
        <v>0.12244661356050802</v>
      </c>
      <c r="K153" s="128">
        <v>9.6827726347769195E-3</v>
      </c>
      <c r="L153" s="128">
        <v>7.242209997672179E-2</v>
      </c>
      <c r="M153" s="128">
        <v>3.809384416546472E-2</v>
      </c>
      <c r="N153" s="128">
        <v>7.5203913425506114E-2</v>
      </c>
      <c r="O153" s="129">
        <v>9.2214213847569129E-2</v>
      </c>
      <c r="P153" s="129">
        <v>4.9500038223614332E-2</v>
      </c>
      <c r="Q153" s="128">
        <v>8.595926573694776E-2</v>
      </c>
      <c r="R153" s="128">
        <v>5.4900394005324898E-2</v>
      </c>
      <c r="S153" s="129">
        <v>-5.2574509380880121E-3</v>
      </c>
      <c r="T153" s="129">
        <v>1.838468071963555E-2</v>
      </c>
      <c r="U153" s="129"/>
      <c r="V153" s="129"/>
      <c r="W153" s="130"/>
      <c r="X153" s="130"/>
      <c r="Y153" s="129"/>
      <c r="Z153" s="129"/>
    </row>
    <row r="154" spans="1:26" ht="12.75" hidden="1">
      <c r="A154" s="121"/>
      <c r="B154" s="131"/>
      <c r="C154" s="122"/>
      <c r="D154" s="122"/>
      <c r="E154" s="122"/>
      <c r="F154" s="122"/>
      <c r="G154" s="123"/>
      <c r="H154" s="123"/>
      <c r="I154" s="123"/>
      <c r="J154" s="123"/>
      <c r="K154" s="123"/>
      <c r="L154" s="123"/>
      <c r="M154" s="123"/>
      <c r="N154" s="123"/>
      <c r="O154" s="123"/>
      <c r="P154" s="132"/>
      <c r="Q154" s="133"/>
      <c r="R154" s="100"/>
      <c r="S154" s="132"/>
      <c r="T154" s="132"/>
      <c r="U154" s="133"/>
      <c r="V154" s="100"/>
      <c r="W154" s="100"/>
      <c r="X154" s="100"/>
      <c r="Y154" s="100"/>
      <c r="Z154" s="100"/>
    </row>
    <row r="155" spans="1:26" ht="12.75" hidden="1">
      <c r="A155" s="121">
        <v>2</v>
      </c>
      <c r="B155" s="127" t="s">
        <v>117</v>
      </c>
      <c r="C155" s="122"/>
      <c r="D155" s="122"/>
      <c r="E155" s="122"/>
      <c r="F155" s="122"/>
      <c r="G155" s="128"/>
      <c r="H155" s="128">
        <v>0.25685906786135998</v>
      </c>
      <c r="I155" s="128">
        <v>2.0558165239016303E-2</v>
      </c>
      <c r="J155" s="128">
        <v>4.1073265825526617E-2</v>
      </c>
      <c r="K155" s="128">
        <v>2.8971938311097241E-2</v>
      </c>
      <c r="L155" s="128">
        <v>5.6792619739668898E-2</v>
      </c>
      <c r="M155" s="128">
        <v>2.7193150291782264E-2</v>
      </c>
      <c r="N155" s="128">
        <v>6.8104030361591655E-2</v>
      </c>
      <c r="O155" s="128">
        <v>5.6502594061995905E-2</v>
      </c>
      <c r="P155" s="128">
        <v>7.8488012214748479E-2</v>
      </c>
      <c r="Q155" s="128">
        <v>5.8044767553089724E-2</v>
      </c>
      <c r="R155" s="128">
        <v>6.5854187762187183E-2</v>
      </c>
      <c r="S155" s="129">
        <v>2.3105893529671226E-2</v>
      </c>
      <c r="T155" s="129">
        <v>6.8780261325197323E-2</v>
      </c>
      <c r="U155" s="129"/>
      <c r="V155" s="129"/>
      <c r="W155" s="130"/>
      <c r="X155" s="130"/>
      <c r="Y155" s="129" t="e">
        <v>#DIV/0!</v>
      </c>
      <c r="Z155" s="129" t="e">
        <v>#DIV/0!</v>
      </c>
    </row>
    <row r="156" spans="1:26" ht="12.75" hidden="1">
      <c r="A156" s="121"/>
      <c r="B156" s="131"/>
      <c r="C156" s="122"/>
      <c r="D156" s="122"/>
      <c r="E156" s="122"/>
      <c r="F156" s="122"/>
      <c r="G156" s="123"/>
      <c r="H156" s="123"/>
      <c r="I156" s="123"/>
      <c r="J156" s="123"/>
      <c r="K156" s="123"/>
      <c r="L156" s="123"/>
      <c r="M156" s="123"/>
      <c r="N156" s="123"/>
      <c r="O156" s="123"/>
      <c r="P156" s="132"/>
      <c r="Q156" s="133"/>
      <c r="R156" s="100"/>
      <c r="S156" s="132"/>
      <c r="T156" s="132"/>
      <c r="U156" s="133"/>
      <c r="V156" s="100"/>
      <c r="W156" s="100"/>
      <c r="X156" s="100"/>
      <c r="Y156" s="100"/>
      <c r="Z156" s="100"/>
    </row>
    <row r="157" spans="1:26" ht="12.75" hidden="1">
      <c r="A157" s="121">
        <v>3</v>
      </c>
      <c r="B157" s="134" t="s">
        <v>118</v>
      </c>
      <c r="C157" s="122"/>
      <c r="D157" s="122"/>
      <c r="E157" s="122"/>
      <c r="F157" s="122"/>
      <c r="G157" s="128"/>
      <c r="H157" s="128">
        <v>0.18401964495391404</v>
      </c>
      <c r="I157" s="128">
        <v>-8.300335993571507E-3</v>
      </c>
      <c r="J157" s="128">
        <v>2.7835312581817567E-2</v>
      </c>
      <c r="K157" s="128">
        <v>1.2526513023570099E-2</v>
      </c>
      <c r="L157" s="128">
        <v>1.7032879283494611E-2</v>
      </c>
      <c r="M157" s="128">
        <v>-3.9328404153839702E-2</v>
      </c>
      <c r="N157" s="128">
        <v>3.2469427673928221E-2</v>
      </c>
      <c r="O157" s="128">
        <v>5.5968552728864154E-2</v>
      </c>
      <c r="P157" s="128">
        <v>0.10609960911742022</v>
      </c>
      <c r="Q157" s="128">
        <v>0.1096052140118256</v>
      </c>
      <c r="R157" s="128">
        <v>3.4428640174412488E-2</v>
      </c>
      <c r="S157" s="129">
        <v>8.6301082257175296E-2</v>
      </c>
      <c r="T157" s="129">
        <v>5.2475355372801048E-2</v>
      </c>
      <c r="U157" s="129"/>
      <c r="V157" s="129"/>
      <c r="W157" s="130"/>
      <c r="X157" s="130"/>
      <c r="Y157" s="129"/>
      <c r="Z157" s="129"/>
    </row>
    <row r="158" spans="1:26" ht="12.75" hidden="1">
      <c r="A158" s="121"/>
      <c r="B158" s="131"/>
      <c r="C158" s="122"/>
      <c r="D158" s="122"/>
      <c r="E158" s="122"/>
      <c r="F158" s="122"/>
      <c r="G158" s="123"/>
      <c r="H158" s="123"/>
      <c r="I158" s="123"/>
      <c r="J158" s="123"/>
      <c r="K158" s="123"/>
      <c r="L158" s="123"/>
      <c r="M158" s="123"/>
      <c r="N158" s="123"/>
      <c r="O158" s="123"/>
      <c r="P158" s="132"/>
      <c r="Q158" s="133"/>
      <c r="R158" s="100"/>
      <c r="S158" s="132"/>
      <c r="T158" s="132"/>
      <c r="U158" s="133"/>
      <c r="V158" s="100"/>
      <c r="W158" s="100"/>
      <c r="X158" s="100"/>
      <c r="Y158" s="100"/>
      <c r="Z158" s="100"/>
    </row>
    <row r="159" spans="1:26" ht="12.75" hidden="1">
      <c r="A159" s="121">
        <v>4</v>
      </c>
      <c r="B159" s="123" t="s">
        <v>119</v>
      </c>
      <c r="C159" s="122"/>
      <c r="D159" s="122"/>
      <c r="E159" s="122"/>
      <c r="F159" s="122"/>
      <c r="G159" s="128"/>
      <c r="H159" s="128">
        <v>0.11660360150873199</v>
      </c>
      <c r="I159" s="128">
        <v>-2.5557740208951428E-2</v>
      </c>
      <c r="J159" s="128">
        <v>5.1559668166338703E-2</v>
      </c>
      <c r="K159" s="128">
        <v>5.4549221649185228E-2</v>
      </c>
      <c r="L159" s="128">
        <v>7.0856760994680204E-2</v>
      </c>
      <c r="M159" s="128">
        <v>1.7673002131558282E-2</v>
      </c>
      <c r="N159" s="128">
        <v>5.3295974553158751E-2</v>
      </c>
      <c r="O159" s="128">
        <v>7.6310960951630258E-2</v>
      </c>
      <c r="P159" s="128">
        <v>4.9451857344139184E-2</v>
      </c>
      <c r="Q159" s="128">
        <v>4.9298112857892949E-2</v>
      </c>
      <c r="R159" s="128">
        <v>4.0868701363209893E-2</v>
      </c>
      <c r="S159" s="129">
        <v>5.6063699108318529E-2</v>
      </c>
      <c r="T159" s="129">
        <v>1.631283420222425E-2</v>
      </c>
      <c r="U159" s="129"/>
      <c r="V159" s="129"/>
      <c r="W159" s="130"/>
      <c r="X159" s="130"/>
      <c r="Y159" s="129">
        <v>2.2744207408774038E-2</v>
      </c>
      <c r="Z159" s="129">
        <v>3.813070553651416E-2</v>
      </c>
    </row>
    <row r="160" spans="1:26" ht="12.75" hidden="1">
      <c r="A160" s="121"/>
      <c r="B160" s="131"/>
      <c r="C160" s="122"/>
      <c r="D160" s="122"/>
      <c r="E160" s="122"/>
      <c r="F160" s="122"/>
      <c r="G160" s="123"/>
      <c r="H160" s="123"/>
      <c r="I160" s="123"/>
      <c r="J160" s="123"/>
      <c r="K160" s="123"/>
      <c r="L160" s="123"/>
      <c r="M160" s="123"/>
      <c r="N160" s="123"/>
      <c r="O160" s="123"/>
      <c r="P160" s="132"/>
      <c r="Q160" s="133"/>
      <c r="R160" s="100"/>
      <c r="S160" s="132"/>
      <c r="T160" s="132"/>
      <c r="U160" s="133"/>
      <c r="V160" s="100"/>
      <c r="W160" s="100"/>
      <c r="X160" s="100"/>
      <c r="Y160" s="100"/>
      <c r="Z160" s="100"/>
    </row>
    <row r="161" spans="1:30" ht="12.75" hidden="1">
      <c r="A161" s="121">
        <v>5</v>
      </c>
      <c r="B161" s="123" t="s">
        <v>292</v>
      </c>
      <c r="C161" s="122"/>
      <c r="D161" s="122"/>
      <c r="E161" s="122"/>
      <c r="F161" s="122"/>
      <c r="G161" s="128"/>
      <c r="H161" s="128">
        <v>0.27504414115126818</v>
      </c>
      <c r="I161" s="128">
        <v>-2.5483751565252316E-2</v>
      </c>
      <c r="J161" s="128">
        <v>4.7906707989704263E-2</v>
      </c>
      <c r="K161" s="128">
        <v>5.3766591989059281E-2</v>
      </c>
      <c r="L161" s="128">
        <v>6.6682360747558678E-2</v>
      </c>
      <c r="M161" s="128">
        <v>1.9832797986531901E-2</v>
      </c>
      <c r="N161" s="128">
        <v>5.0439813646837209E-2</v>
      </c>
      <c r="O161" s="128">
        <v>7.2775500619102512E-2</v>
      </c>
      <c r="P161" s="128">
        <v>6.6674361380232611E-2</v>
      </c>
      <c r="Q161" s="128">
        <v>6.1411642233225254E-2</v>
      </c>
      <c r="R161" s="129"/>
      <c r="S161" s="129">
        <v>5.7876140555231992E-2</v>
      </c>
      <c r="T161" s="129">
        <v>3.8420067011839629E-2</v>
      </c>
      <c r="U161" s="129"/>
      <c r="V161" s="129"/>
      <c r="W161" s="130"/>
      <c r="X161" s="130"/>
      <c r="Y161" s="129"/>
      <c r="Z161" s="129"/>
    </row>
    <row r="162" spans="1:30" ht="12.75" hidden="1" customHeight="1">
      <c r="A162" s="121"/>
      <c r="B162" s="123"/>
      <c r="C162" s="122"/>
      <c r="D162" s="122"/>
      <c r="E162" s="122"/>
      <c r="F162" s="122"/>
      <c r="G162" s="128"/>
      <c r="H162" s="128"/>
      <c r="I162" s="128"/>
      <c r="J162" s="128"/>
      <c r="K162" s="128"/>
      <c r="L162" s="128"/>
      <c r="M162" s="128"/>
      <c r="N162" s="128"/>
      <c r="O162" s="128"/>
      <c r="P162" s="132"/>
      <c r="Q162" s="133"/>
      <c r="R162" s="100"/>
      <c r="S162" s="132"/>
      <c r="T162" s="132"/>
      <c r="U162" s="133"/>
      <c r="V162" s="100"/>
      <c r="W162" s="100"/>
      <c r="X162" s="55"/>
      <c r="Y162" s="55"/>
    </row>
    <row r="163" spans="1:30" ht="23.25" hidden="1" customHeight="1">
      <c r="A163" s="121">
        <v>6</v>
      </c>
      <c r="B163" s="123" t="s">
        <v>300</v>
      </c>
      <c r="C163" s="122"/>
      <c r="D163" s="122"/>
      <c r="E163" s="122"/>
      <c r="F163" s="122"/>
      <c r="G163" s="128"/>
      <c r="H163" s="128">
        <v>-0.13691026827012026</v>
      </c>
      <c r="I163" s="128">
        <v>0.35905680600214362</v>
      </c>
      <c r="J163" s="128">
        <v>9.5820189274447951E-2</v>
      </c>
      <c r="K163" s="128">
        <v>0.23889391867578294</v>
      </c>
      <c r="L163" s="128">
        <v>-0.14141803467102709</v>
      </c>
      <c r="M163" s="128">
        <v>3.9580514208389712E-2</v>
      </c>
      <c r="N163" s="128">
        <v>-6.4432150992515452E-2</v>
      </c>
      <c r="O163" s="128">
        <v>-2.1349495652174127E-2</v>
      </c>
      <c r="P163" s="128">
        <v>-1.7465043789455863E-4</v>
      </c>
      <c r="Q163" s="128">
        <v>-2.9248571910390862E-4</v>
      </c>
      <c r="R163" s="129"/>
      <c r="S163" s="129">
        <v>4.5047899939439209E-2</v>
      </c>
      <c r="T163" s="129">
        <v>4.222719399538253E-3</v>
      </c>
      <c r="U163" s="129"/>
      <c r="V163" s="129"/>
      <c r="W163" s="55"/>
      <c r="X163" s="55"/>
      <c r="Y163" s="55"/>
    </row>
    <row r="164" spans="1:30" ht="3" hidden="1" customHeight="1">
      <c r="A164" s="121"/>
      <c r="B164" s="122"/>
      <c r="C164" s="122"/>
      <c r="D164" s="122"/>
      <c r="E164" s="122"/>
      <c r="F164" s="122"/>
      <c r="G164" s="122"/>
      <c r="H164" s="122"/>
      <c r="I164" s="122"/>
      <c r="J164" s="122"/>
      <c r="K164" s="122"/>
      <c r="L164" s="135"/>
      <c r="M164" s="122"/>
      <c r="N164" s="135"/>
      <c r="O164" s="122"/>
      <c r="P164" s="135"/>
      <c r="Q164" s="124"/>
      <c r="R164" s="125"/>
      <c r="S164" s="54"/>
      <c r="T164" s="54"/>
      <c r="U164" s="54"/>
      <c r="V164" s="54"/>
      <c r="W164" s="55"/>
      <c r="X164" s="55"/>
      <c r="Y164" s="55"/>
    </row>
    <row r="165" spans="1:30" ht="12.75">
      <c r="A165" s="121" t="s">
        <v>7</v>
      </c>
      <c r="B165" s="115" t="s">
        <v>322</v>
      </c>
      <c r="C165" s="115"/>
      <c r="D165" s="116"/>
      <c r="E165" s="117"/>
      <c r="F165" s="117"/>
      <c r="G165" s="118"/>
      <c r="H165" s="118" t="s">
        <v>323</v>
      </c>
      <c r="I165" s="118" t="s">
        <v>324</v>
      </c>
      <c r="J165" s="118" t="s">
        <v>325</v>
      </c>
      <c r="K165" s="118" t="s">
        <v>326</v>
      </c>
      <c r="L165" s="118" t="s">
        <v>327</v>
      </c>
      <c r="M165" s="119"/>
      <c r="N165" s="118" t="s">
        <v>328</v>
      </c>
      <c r="O165" s="118" t="s">
        <v>329</v>
      </c>
      <c r="P165" s="118" t="s">
        <v>330</v>
      </c>
      <c r="Q165" s="118" t="s">
        <v>331</v>
      </c>
      <c r="R165" s="118" t="s">
        <v>332</v>
      </c>
      <c r="S165" s="119" t="s">
        <v>333</v>
      </c>
      <c r="T165" s="136" t="s">
        <v>334</v>
      </c>
      <c r="U165" s="119"/>
      <c r="V165" s="136" t="s">
        <v>335</v>
      </c>
      <c r="W165" s="120"/>
      <c r="Z165" s="58"/>
    </row>
    <row r="166" spans="1:30" ht="8.25" customHeight="1">
      <c r="A166" s="121"/>
      <c r="B166" s="122"/>
      <c r="C166" s="122"/>
      <c r="D166" s="122"/>
      <c r="E166" s="122"/>
      <c r="F166" s="122"/>
      <c r="G166" s="137"/>
      <c r="H166" s="137"/>
      <c r="I166" s="137"/>
      <c r="J166" s="137"/>
      <c r="K166" s="137"/>
      <c r="L166" s="137"/>
      <c r="M166" s="138"/>
      <c r="N166" s="139"/>
      <c r="O166" s="137"/>
      <c r="P166" s="124"/>
      <c r="Q166" s="124"/>
      <c r="R166" s="124"/>
      <c r="S166" s="58"/>
      <c r="T166" s="140"/>
      <c r="U166" s="58"/>
      <c r="W166" s="55"/>
    </row>
    <row r="167" spans="1:30" ht="15" customHeight="1">
      <c r="A167" s="121">
        <v>1</v>
      </c>
      <c r="B167" s="127" t="s">
        <v>116</v>
      </c>
      <c r="C167" s="122"/>
      <c r="D167" s="122"/>
      <c r="E167" s="122"/>
      <c r="F167" s="122"/>
      <c r="G167" s="141"/>
      <c r="H167" s="141">
        <v>5.4702651491722785E-2</v>
      </c>
      <c r="I167" s="141">
        <v>4.7294644812129492E-2</v>
      </c>
      <c r="J167" s="141">
        <v>5.5133531303289039E-2</v>
      </c>
      <c r="K167" s="141">
        <v>4.8628357343467064E-2</v>
      </c>
      <c r="L167" s="141">
        <v>5.3047332832783331E-2</v>
      </c>
      <c r="M167" s="142"/>
      <c r="N167" s="143">
        <v>4.8191093056040621E-2</v>
      </c>
      <c r="O167" s="142">
        <v>4.4862562275938885E-2</v>
      </c>
      <c r="P167" s="142">
        <v>3.8267740877742824E-2</v>
      </c>
      <c r="Q167" s="142">
        <v>3.6407413701026146E-2</v>
      </c>
      <c r="R167" s="142">
        <v>2.6771737852322699E-2</v>
      </c>
      <c r="S167" s="142">
        <v>1.9857558616754128E-2</v>
      </c>
      <c r="T167" s="144">
        <v>2.8369356623313181E-2</v>
      </c>
      <c r="U167" s="142"/>
      <c r="V167" s="145">
        <v>2.5532420960981864E-2</v>
      </c>
      <c r="W167" s="142"/>
      <c r="X167" s="146" t="s">
        <v>336</v>
      </c>
    </row>
    <row r="168" spans="1:30" ht="9" hidden="1" customHeight="1">
      <c r="A168" s="121"/>
      <c r="B168" s="127"/>
      <c r="C168" s="122"/>
      <c r="D168" s="122"/>
      <c r="E168" s="122"/>
      <c r="F168" s="122"/>
      <c r="G168" s="141"/>
      <c r="H168" s="141"/>
      <c r="I168" s="141"/>
      <c r="J168" s="141"/>
      <c r="K168" s="141"/>
      <c r="L168" s="141"/>
      <c r="M168" s="142"/>
      <c r="N168" s="141"/>
      <c r="O168" s="141"/>
      <c r="P168" s="141"/>
      <c r="Q168" s="141"/>
      <c r="R168" s="141"/>
      <c r="S168" s="142"/>
      <c r="T168" s="144"/>
      <c r="U168" s="142"/>
      <c r="W168" s="55"/>
      <c r="Y168" s="146"/>
    </row>
    <row r="169" spans="1:30" ht="12.75" hidden="1" customHeight="1">
      <c r="A169" s="112" t="s">
        <v>337</v>
      </c>
      <c r="B169" s="127"/>
      <c r="C169" s="122"/>
      <c r="D169" s="122"/>
      <c r="E169" s="122"/>
      <c r="F169" s="122"/>
      <c r="G169" s="141"/>
      <c r="H169" s="141"/>
      <c r="I169" s="141"/>
      <c r="J169" s="141"/>
      <c r="K169" s="141"/>
      <c r="L169" s="141"/>
      <c r="M169" s="142"/>
      <c r="N169" s="142"/>
      <c r="O169" s="141"/>
      <c r="P169" s="141"/>
      <c r="Q169" s="141"/>
      <c r="R169" s="141"/>
      <c r="S169" s="142"/>
      <c r="T169" s="144"/>
      <c r="U169" s="142"/>
      <c r="W169" s="55"/>
      <c r="Y169" s="146"/>
    </row>
    <row r="170" spans="1:30" ht="7.5" customHeight="1">
      <c r="A170" s="112"/>
      <c r="B170" s="127"/>
      <c r="C170" s="122"/>
      <c r="D170" s="122"/>
      <c r="E170" s="122"/>
      <c r="F170" s="122"/>
      <c r="G170" s="141"/>
      <c r="H170" s="141"/>
      <c r="I170" s="141"/>
      <c r="J170" s="141"/>
      <c r="K170" s="141"/>
      <c r="L170" s="141"/>
      <c r="M170" s="142"/>
      <c r="N170" s="141"/>
      <c r="O170" s="141"/>
      <c r="P170" s="141"/>
      <c r="Q170" s="141"/>
      <c r="R170" s="141"/>
      <c r="S170" s="142"/>
      <c r="T170" s="144"/>
      <c r="U170" s="142"/>
      <c r="W170" s="55"/>
      <c r="X170" s="69"/>
      <c r="Y170" s="69"/>
      <c r="Z170" s="69"/>
    </row>
    <row r="171" spans="1:30" ht="12.75">
      <c r="A171" s="112">
        <v>2</v>
      </c>
      <c r="B171" s="127" t="s">
        <v>117</v>
      </c>
      <c r="C171" s="122"/>
      <c r="D171" s="122"/>
      <c r="E171" s="122"/>
      <c r="F171" s="122"/>
      <c r="G171" s="141"/>
      <c r="H171" s="141">
        <v>6.394726835508166E-2</v>
      </c>
      <c r="I171" s="141">
        <v>4.9275576140767163E-2</v>
      </c>
      <c r="J171" s="141">
        <v>5.1925982638870098E-2</v>
      </c>
      <c r="K171" s="141">
        <v>5.3017457362145651E-2</v>
      </c>
      <c r="L171" s="141">
        <v>5.5723629797216304E-2</v>
      </c>
      <c r="M171" s="142"/>
      <c r="N171" s="142">
        <v>6.9111736181121583E-2</v>
      </c>
      <c r="O171" s="142">
        <v>6.9237766237775292E-2</v>
      </c>
      <c r="P171" s="142">
        <v>7.1069565127570608E-2</v>
      </c>
      <c r="Q171" s="142">
        <v>6.9838127868877761E-2</v>
      </c>
      <c r="R171" s="142">
        <v>7.2212527659928222E-2</v>
      </c>
      <c r="S171" s="142">
        <v>7.3808030474377673E-2</v>
      </c>
      <c r="T171" s="144">
        <v>9.1261083983235194E-2</v>
      </c>
      <c r="U171" s="142"/>
      <c r="V171" s="142"/>
      <c r="W171" s="142"/>
      <c r="X171" s="69"/>
      <c r="Y171" s="69"/>
      <c r="Z171" s="69"/>
    </row>
    <row r="172" spans="1:30" ht="6.75" customHeight="1">
      <c r="A172" s="112"/>
      <c r="B172" s="127"/>
      <c r="C172" s="122"/>
      <c r="D172" s="131"/>
      <c r="E172" s="122"/>
      <c r="F172" s="122"/>
      <c r="G172" s="147"/>
      <c r="H172" s="147"/>
      <c r="I172" s="147"/>
      <c r="J172" s="147"/>
      <c r="K172" s="147"/>
      <c r="L172" s="147"/>
      <c r="M172" s="148"/>
      <c r="N172" s="142"/>
      <c r="O172" s="148"/>
      <c r="P172" s="148"/>
      <c r="Q172" s="148"/>
      <c r="R172" s="148"/>
      <c r="S172" s="148"/>
      <c r="T172" s="149"/>
      <c r="U172" s="148"/>
      <c r="W172" s="55"/>
      <c r="X172" s="69"/>
      <c r="Y172" s="69"/>
      <c r="Z172" s="69"/>
    </row>
    <row r="173" spans="1:30" ht="12.75">
      <c r="A173" s="112">
        <v>3</v>
      </c>
      <c r="B173" s="127" t="s">
        <v>118</v>
      </c>
      <c r="C173" s="150"/>
      <c r="D173" s="150"/>
      <c r="E173" s="150"/>
      <c r="F173" s="150"/>
      <c r="G173" s="142"/>
      <c r="H173" s="142">
        <v>5.0162123078173367E-2</v>
      </c>
      <c r="I173" s="142">
        <v>3.9715384987870278E-2</v>
      </c>
      <c r="J173" s="142">
        <v>4.4194076809312872E-2</v>
      </c>
      <c r="K173" s="142">
        <v>4.5844205275785872E-2</v>
      </c>
      <c r="L173" s="142">
        <v>4.9613196349063395E-2</v>
      </c>
      <c r="M173" s="142"/>
      <c r="N173" s="142">
        <v>6.1927583819493162E-2</v>
      </c>
      <c r="O173" s="142">
        <v>6.5668465156334302E-2</v>
      </c>
      <c r="P173" s="142">
        <v>6.7061421508537375E-2</v>
      </c>
      <c r="Q173" s="142">
        <v>6.0690344253766883E-2</v>
      </c>
      <c r="R173" s="142">
        <v>5.1169232473647283E-2</v>
      </c>
      <c r="S173" s="142">
        <v>5.5396541737780233E-2</v>
      </c>
      <c r="T173" s="144">
        <v>4.529165909887143E-2</v>
      </c>
      <c r="U173" s="142"/>
      <c r="W173" s="55"/>
      <c r="X173" s="69"/>
      <c r="Y173" s="69"/>
      <c r="Z173" s="69"/>
    </row>
    <row r="174" spans="1:30" ht="9" customHeight="1">
      <c r="A174" s="112"/>
      <c r="B174" s="131"/>
      <c r="C174" s="122"/>
      <c r="D174" s="131"/>
      <c r="E174" s="122"/>
      <c r="F174" s="122"/>
      <c r="G174" s="147"/>
      <c r="H174" s="147"/>
      <c r="I174" s="147"/>
      <c r="J174" s="147"/>
      <c r="K174" s="147"/>
      <c r="L174" s="147"/>
      <c r="M174" s="148"/>
      <c r="N174" s="142"/>
      <c r="O174" s="148"/>
      <c r="P174" s="148"/>
      <c r="Q174" s="148"/>
      <c r="R174" s="148"/>
      <c r="S174" s="148"/>
      <c r="T174" s="149"/>
      <c r="U174" s="148"/>
      <c r="W174" s="55"/>
      <c r="X174" s="69"/>
      <c r="Y174" s="69"/>
      <c r="Z174" s="69"/>
      <c r="AA174" s="55"/>
      <c r="AB174" s="55"/>
      <c r="AC174" s="55"/>
      <c r="AD174" s="55"/>
    </row>
    <row r="175" spans="1:30" ht="12.75">
      <c r="A175" s="112">
        <v>4</v>
      </c>
      <c r="B175" s="123" t="s">
        <v>119</v>
      </c>
      <c r="C175" s="122"/>
      <c r="D175" s="122"/>
      <c r="E175" s="124"/>
      <c r="F175" s="124"/>
      <c r="G175" s="151"/>
      <c r="H175" s="151">
        <v>4.7751654874845346E-2</v>
      </c>
      <c r="I175" s="151">
        <v>4.2209353212042514E-2</v>
      </c>
      <c r="J175" s="151">
        <v>4.8598924277941435E-2</v>
      </c>
      <c r="K175" s="151">
        <v>4.830330876750677E-2</v>
      </c>
      <c r="L175" s="151">
        <v>4.7611606013095532E-2</v>
      </c>
      <c r="M175" s="152"/>
      <c r="N175" s="142">
        <v>5.2118826317226481E-2</v>
      </c>
      <c r="O175" s="152">
        <v>5.197177531847634E-2</v>
      </c>
      <c r="P175" s="152">
        <v>4.8539972369379722E-2</v>
      </c>
      <c r="Q175" s="152">
        <v>4.8388068592976959E-2</v>
      </c>
      <c r="R175" s="152">
        <v>4.8206154474426291E-2</v>
      </c>
      <c r="S175" s="152">
        <v>5.0048585476755593E-2</v>
      </c>
      <c r="T175" s="153">
        <v>4.805117077128554E-2</v>
      </c>
      <c r="U175" s="152"/>
      <c r="V175" s="145">
        <v>3.0408737162420218E-2</v>
      </c>
      <c r="W175" s="142"/>
      <c r="X175" s="154" t="s">
        <v>338</v>
      </c>
      <c r="AA175" s="55"/>
      <c r="AB175" s="55"/>
      <c r="AC175" s="55"/>
      <c r="AD175" s="55"/>
    </row>
    <row r="176" spans="1:30" ht="6.75" hidden="1" customHeight="1">
      <c r="A176" s="112"/>
      <c r="B176" s="123"/>
      <c r="C176" s="122"/>
      <c r="D176" s="122"/>
      <c r="E176" s="124"/>
      <c r="F176" s="124"/>
      <c r="G176" s="151"/>
      <c r="H176" s="151"/>
      <c r="I176" s="151"/>
      <c r="J176" s="151"/>
      <c r="K176" s="151"/>
      <c r="L176" s="151"/>
      <c r="M176" s="152"/>
      <c r="N176" s="142"/>
      <c r="O176" s="152"/>
      <c r="P176" s="152"/>
      <c r="Q176" s="152"/>
      <c r="R176" s="152"/>
      <c r="S176" s="152"/>
      <c r="T176" s="153"/>
      <c r="U176" s="155"/>
      <c r="W176" s="55"/>
      <c r="Z176" s="55"/>
      <c r="AA176" s="55"/>
      <c r="AB176" s="55"/>
      <c r="AC176" s="55"/>
      <c r="AD176" s="55"/>
    </row>
    <row r="177" spans="1:30" ht="12.75" hidden="1">
      <c r="A177" s="112">
        <v>11</v>
      </c>
      <c r="B177" s="123" t="s">
        <v>339</v>
      </c>
      <c r="C177" s="122"/>
      <c r="D177" s="122"/>
      <c r="E177" s="122"/>
      <c r="F177" s="122"/>
      <c r="G177" s="151"/>
      <c r="H177" s="151">
        <v>5.9916811852193413E-2</v>
      </c>
      <c r="I177" s="151">
        <v>4.3719972514857285E-2</v>
      </c>
      <c r="J177" s="151">
        <v>5.0249835767023479E-2</v>
      </c>
      <c r="K177" s="151">
        <v>5.0484436510544822E-2</v>
      </c>
      <c r="L177" s="151">
        <v>5.01203841945803E-2</v>
      </c>
      <c r="M177" s="152"/>
      <c r="N177" s="142">
        <v>5.9749798478817402E-2</v>
      </c>
      <c r="O177" s="152">
        <v>6.1309465125706696E-2</v>
      </c>
      <c r="P177" s="152">
        <v>5.9031006294123459E-2</v>
      </c>
      <c r="Q177" s="152">
        <v>5.7128740584982567E-2</v>
      </c>
      <c r="R177" s="152">
        <v>4.1494350732095002E-2</v>
      </c>
      <c r="S177" s="152">
        <v>7.5729958088000343E-2</v>
      </c>
      <c r="T177" s="153">
        <v>5.5743272819740765E-2</v>
      </c>
      <c r="U177" s="155">
        <v>6.4512947689998587E-2</v>
      </c>
      <c r="W177" s="55"/>
      <c r="Z177" s="55"/>
      <c r="AA177" s="55"/>
      <c r="AB177" s="55"/>
      <c r="AC177" s="55"/>
      <c r="AD177" s="55"/>
    </row>
    <row r="178" spans="1:30" ht="3.75" hidden="1" customHeight="1">
      <c r="A178" s="112"/>
      <c r="B178" s="134"/>
      <c r="C178" s="134"/>
      <c r="D178" s="131"/>
      <c r="E178" s="124"/>
      <c r="F178" s="124"/>
      <c r="G178" s="147"/>
      <c r="H178" s="147"/>
      <c r="I178" s="147"/>
      <c r="J178" s="147"/>
      <c r="K178" s="147"/>
      <c r="L178" s="147"/>
      <c r="M178" s="148"/>
      <c r="N178" s="142"/>
      <c r="O178" s="148"/>
      <c r="P178" s="148"/>
      <c r="Q178" s="148"/>
      <c r="R178" s="148"/>
      <c r="S178" s="148"/>
      <c r="T178" s="149"/>
      <c r="U178" s="156"/>
      <c r="W178" s="55"/>
      <c r="Z178" s="55"/>
      <c r="AA178" s="55"/>
      <c r="AB178" s="55"/>
      <c r="AC178" s="55"/>
      <c r="AD178" s="55"/>
    </row>
    <row r="179" spans="1:30" ht="12.75" hidden="1">
      <c r="A179" s="112">
        <v>12</v>
      </c>
      <c r="B179" s="123" t="s">
        <v>300</v>
      </c>
      <c r="C179" s="122"/>
      <c r="D179" s="122"/>
      <c r="E179" s="124"/>
      <c r="F179" s="124"/>
      <c r="G179" s="151"/>
      <c r="H179" s="151">
        <v>3.7262395787796047E-2</v>
      </c>
      <c r="I179" s="151">
        <v>5.3273984047451164E-2</v>
      </c>
      <c r="J179" s="151">
        <v>2.914853821848196E-2</v>
      </c>
      <c r="K179" s="151">
        <v>2.2708670528141389E-2</v>
      </c>
      <c r="L179" s="151">
        <v>1.1481795651673353E-3</v>
      </c>
      <c r="M179" s="152"/>
      <c r="N179" s="142">
        <v>-3.1854856764249012E-2</v>
      </c>
      <c r="O179" s="152">
        <v>-2.6316071794573032E-2</v>
      </c>
      <c r="P179" s="152">
        <v>-2.7306358322388511E-2</v>
      </c>
      <c r="Q179" s="152">
        <v>-3.397345510314493E-2</v>
      </c>
      <c r="R179" s="152">
        <v>-3.3902804945406928E-2</v>
      </c>
      <c r="S179" s="152">
        <v>-0.26089835020605023</v>
      </c>
      <c r="T179" s="153">
        <v>-0.29275811200923813</v>
      </c>
      <c r="U179" s="155">
        <v>-0.29573203799487036</v>
      </c>
      <c r="W179" s="55"/>
      <c r="Z179" s="55"/>
      <c r="AA179" s="55"/>
      <c r="AB179" s="55"/>
      <c r="AC179" s="55"/>
      <c r="AD179" s="55"/>
    </row>
    <row r="180" spans="1:30" ht="0.75" hidden="1" customHeight="1">
      <c r="A180" s="112"/>
      <c r="B180" s="134"/>
      <c r="C180" s="134"/>
      <c r="D180" s="134"/>
      <c r="E180" s="157"/>
      <c r="F180" s="157"/>
      <c r="G180" s="124"/>
      <c r="H180" s="124"/>
      <c r="I180" s="124"/>
      <c r="J180" s="124"/>
      <c r="K180" s="124"/>
      <c r="L180" s="124"/>
      <c r="M180" s="125"/>
      <c r="N180" s="158"/>
      <c r="O180" s="125"/>
      <c r="P180" s="125"/>
      <c r="Q180" s="125"/>
      <c r="R180" s="125"/>
      <c r="S180" s="54"/>
      <c r="T180" s="159"/>
      <c r="U180" s="160"/>
      <c r="W180" s="55"/>
      <c r="Z180" s="55"/>
      <c r="AA180" s="55"/>
      <c r="AB180" s="55"/>
      <c r="AC180" s="55"/>
      <c r="AD180" s="55"/>
    </row>
    <row r="181" spans="1:30" ht="12.75" hidden="1" customHeight="1">
      <c r="A181" s="112"/>
      <c r="B181" s="115" t="s">
        <v>340</v>
      </c>
      <c r="C181" s="115"/>
      <c r="D181" s="116"/>
      <c r="E181" s="117"/>
      <c r="F181" s="117"/>
      <c r="G181" s="118"/>
      <c r="H181" s="118" t="s">
        <v>323</v>
      </c>
      <c r="I181" s="118" t="s">
        <v>324</v>
      </c>
      <c r="J181" s="118" t="s">
        <v>325</v>
      </c>
      <c r="K181" s="118" t="s">
        <v>326</v>
      </c>
      <c r="L181" s="118" t="s">
        <v>327</v>
      </c>
      <c r="M181" s="119"/>
      <c r="N181" s="119" t="s">
        <v>328</v>
      </c>
      <c r="O181" s="119" t="s">
        <v>329</v>
      </c>
      <c r="P181" s="119" t="s">
        <v>330</v>
      </c>
      <c r="Q181" s="119" t="s">
        <v>331</v>
      </c>
      <c r="R181" s="119" t="s">
        <v>332</v>
      </c>
      <c r="S181" s="119" t="s">
        <v>333</v>
      </c>
      <c r="T181" s="136" t="s">
        <v>334</v>
      </c>
      <c r="U181" s="161" t="s">
        <v>341</v>
      </c>
      <c r="V181" s="54"/>
      <c r="W181" s="55"/>
      <c r="AA181" s="120"/>
      <c r="AB181" s="55"/>
      <c r="AC181" s="55"/>
      <c r="AD181" s="55"/>
    </row>
    <row r="182" spans="1:30" ht="6.75" hidden="1" customHeight="1">
      <c r="A182" s="112"/>
      <c r="B182" s="134"/>
      <c r="C182" s="134"/>
      <c r="D182" s="134"/>
      <c r="E182" s="157"/>
      <c r="F182" s="157"/>
      <c r="G182" s="162"/>
      <c r="H182" s="162"/>
      <c r="I182" s="162"/>
      <c r="J182" s="162"/>
      <c r="K182" s="162"/>
      <c r="L182" s="162"/>
      <c r="M182" s="163"/>
      <c r="N182" s="164"/>
      <c r="O182" s="163"/>
      <c r="P182" s="163"/>
      <c r="Q182" s="163"/>
      <c r="R182" s="163"/>
      <c r="S182" s="58"/>
      <c r="T182" s="140"/>
      <c r="U182" s="165"/>
      <c r="V182" s="54"/>
      <c r="W182" s="55"/>
      <c r="AA182" s="55"/>
      <c r="AB182" s="55"/>
      <c r="AC182" s="55"/>
      <c r="AD182" s="55"/>
    </row>
    <row r="183" spans="1:30" hidden="1">
      <c r="A183" s="112">
        <v>13</v>
      </c>
      <c r="B183" s="127" t="s">
        <v>116</v>
      </c>
      <c r="C183" s="134"/>
      <c r="D183" s="134"/>
      <c r="G183" s="157" t="s">
        <v>342</v>
      </c>
      <c r="H183" s="166">
        <v>0.10940530298344557</v>
      </c>
      <c r="I183" s="166">
        <v>9.4589289624258985E-2</v>
      </c>
      <c r="J183" s="166">
        <v>0.11026706260657808</v>
      </c>
      <c r="K183" s="166">
        <v>9.7256714686934129E-2</v>
      </c>
      <c r="L183" s="166">
        <v>0.10609466566556666</v>
      </c>
      <c r="M183" s="167"/>
      <c r="N183" s="168">
        <v>9.6382186112081242E-2</v>
      </c>
      <c r="O183" s="167">
        <v>8.9725124551877769E-2</v>
      </c>
      <c r="P183" s="167">
        <v>7.6535481755485649E-2</v>
      </c>
      <c r="Q183" s="167">
        <v>7.2814827402052293E-2</v>
      </c>
      <c r="R183" s="167">
        <v>5.3543475704645398E-2</v>
      </c>
      <c r="S183" s="167">
        <v>4.6327684252887386E-2</v>
      </c>
      <c r="T183" s="169">
        <v>6.618570900218966E-2</v>
      </c>
      <c r="U183" s="170">
        <v>0</v>
      </c>
      <c r="V183" s="54"/>
      <c r="W183" s="55"/>
      <c r="AA183" s="171"/>
      <c r="AB183" s="55"/>
      <c r="AC183" s="55"/>
      <c r="AD183" s="55"/>
    </row>
    <row r="184" spans="1:30" hidden="1">
      <c r="A184" s="112"/>
      <c r="B184" s="127"/>
      <c r="C184" s="134"/>
      <c r="D184" s="134"/>
      <c r="G184" s="157"/>
      <c r="H184" s="166"/>
      <c r="I184" s="166"/>
      <c r="J184" s="166"/>
      <c r="K184" s="166"/>
      <c r="L184" s="166"/>
      <c r="M184" s="167"/>
      <c r="N184" s="171"/>
      <c r="O184" s="167"/>
      <c r="P184" s="167"/>
      <c r="Q184" s="167"/>
      <c r="R184" s="167"/>
      <c r="S184" s="167"/>
      <c r="T184" s="169"/>
      <c r="U184" s="170"/>
      <c r="V184" s="54"/>
      <c r="W184" s="55"/>
      <c r="AA184" s="171"/>
      <c r="AB184" s="55"/>
      <c r="AC184" s="55"/>
      <c r="AD184" s="55"/>
    </row>
    <row r="185" spans="1:30" ht="2.25" hidden="1" customHeight="1">
      <c r="A185" s="112" t="s">
        <v>343</v>
      </c>
      <c r="B185" s="127" t="s">
        <v>344</v>
      </c>
      <c r="C185" s="134"/>
      <c r="D185" s="134"/>
      <c r="G185" s="157" t="s">
        <v>342</v>
      </c>
      <c r="H185" s="166"/>
      <c r="I185" s="166"/>
      <c r="J185" s="166"/>
      <c r="K185" s="166"/>
      <c r="L185" s="166"/>
      <c r="M185" s="167"/>
      <c r="N185" s="171">
        <v>0</v>
      </c>
      <c r="O185" s="167"/>
      <c r="P185" s="167"/>
      <c r="Q185" s="167"/>
      <c r="R185" s="167"/>
      <c r="S185" s="167"/>
      <c r="T185" s="169"/>
      <c r="U185" s="170"/>
      <c r="V185" s="54"/>
      <c r="W185" s="55"/>
      <c r="AA185" s="171"/>
      <c r="AB185" s="55"/>
      <c r="AC185" s="55"/>
      <c r="AD185" s="55"/>
    </row>
    <row r="186" spans="1:30" ht="12" hidden="1" customHeight="1">
      <c r="A186" s="112"/>
      <c r="B186" s="172"/>
      <c r="C186" s="134"/>
      <c r="D186" s="134"/>
      <c r="G186" s="157"/>
      <c r="H186" s="166"/>
      <c r="I186" s="166"/>
      <c r="J186" s="166"/>
      <c r="K186" s="166"/>
      <c r="L186" s="166"/>
      <c r="M186" s="167"/>
      <c r="N186" s="142"/>
      <c r="O186" s="167"/>
      <c r="P186" s="167"/>
      <c r="Q186" s="167"/>
      <c r="R186" s="167"/>
      <c r="S186" s="94"/>
      <c r="T186" s="145"/>
      <c r="U186" s="173"/>
      <c r="V186" s="54"/>
      <c r="W186" s="55"/>
      <c r="AA186" s="100"/>
      <c r="AB186" s="55"/>
      <c r="AC186" s="55"/>
      <c r="AD186" s="55"/>
    </row>
    <row r="187" spans="1:30" hidden="1">
      <c r="A187" s="112">
        <v>14</v>
      </c>
      <c r="B187" s="127" t="s">
        <v>345</v>
      </c>
      <c r="C187" s="134"/>
      <c r="D187" s="134"/>
      <c r="G187" s="126" t="s">
        <v>342</v>
      </c>
      <c r="H187" s="166">
        <v>0.12789453671016332</v>
      </c>
      <c r="I187" s="166">
        <v>9.8551152281534327E-2</v>
      </c>
      <c r="J187" s="166">
        <v>0.1038519652777402</v>
      </c>
      <c r="K187" s="166">
        <v>0.1060349147242913</v>
      </c>
      <c r="L187" s="166">
        <v>0.11144725959443261</v>
      </c>
      <c r="M187" s="167"/>
      <c r="N187" s="171">
        <v>0.13822347236224317</v>
      </c>
      <c r="O187" s="167">
        <v>0.13847553247555058</v>
      </c>
      <c r="P187" s="167">
        <v>0.14213913025514122</v>
      </c>
      <c r="Q187" s="167">
        <v>0.13967625573775552</v>
      </c>
      <c r="R187" s="167">
        <v>0.14442505531985644</v>
      </c>
      <c r="S187" s="167">
        <v>0.17219413509672313</v>
      </c>
      <c r="T187" s="169">
        <v>0.21291210893288773</v>
      </c>
      <c r="U187" s="170">
        <v>0</v>
      </c>
      <c r="V187" s="54"/>
      <c r="W187" s="55"/>
      <c r="AA187" s="171"/>
      <c r="AB187" s="55"/>
      <c r="AC187" s="55"/>
      <c r="AD187" s="55"/>
    </row>
    <row r="188" spans="1:30" hidden="1">
      <c r="A188" s="112"/>
      <c r="B188" s="172"/>
      <c r="C188" s="134"/>
      <c r="D188" s="134"/>
      <c r="G188" s="157"/>
      <c r="H188" s="166"/>
      <c r="I188" s="166"/>
      <c r="J188" s="166"/>
      <c r="K188" s="166"/>
      <c r="L188" s="166"/>
      <c r="M188" s="167"/>
      <c r="N188" s="142"/>
      <c r="O188" s="167"/>
      <c r="P188" s="167"/>
      <c r="Q188" s="167"/>
      <c r="R188" s="167"/>
      <c r="S188" s="167"/>
      <c r="T188" s="169"/>
      <c r="U188" s="170"/>
      <c r="V188" s="54"/>
      <c r="W188" s="55"/>
      <c r="AA188" s="171"/>
      <c r="AB188" s="55"/>
      <c r="AC188" s="55"/>
      <c r="AD188" s="55"/>
    </row>
    <row r="189" spans="1:30" hidden="1">
      <c r="A189" s="112">
        <v>15</v>
      </c>
      <c r="B189" s="127" t="s">
        <v>118</v>
      </c>
      <c r="C189" s="134"/>
      <c r="D189" s="134"/>
      <c r="G189" s="126" t="s">
        <v>342</v>
      </c>
      <c r="H189" s="166">
        <v>0.10032424615634673</v>
      </c>
      <c r="I189" s="166">
        <v>7.9430769975740556E-2</v>
      </c>
      <c r="J189" s="166">
        <v>8.8388153618625745E-2</v>
      </c>
      <c r="K189" s="166">
        <v>9.1688410551571745E-2</v>
      </c>
      <c r="L189" s="166">
        <v>9.9226392698126789E-2</v>
      </c>
      <c r="M189" s="167"/>
      <c r="N189" s="171">
        <v>0.12385516763898632</v>
      </c>
      <c r="O189" s="167">
        <v>0.1313369303126686</v>
      </c>
      <c r="P189" s="167">
        <v>0.13412284301707475</v>
      </c>
      <c r="Q189" s="167">
        <v>0.12138068850753377</v>
      </c>
      <c r="R189" s="167">
        <v>0.10233846494729457</v>
      </c>
      <c r="S189" s="167">
        <v>0.1292401318742413</v>
      </c>
      <c r="T189" s="169">
        <v>0.10566544067766706</v>
      </c>
      <c r="U189" s="170">
        <v>0</v>
      </c>
      <c r="V189" s="54"/>
      <c r="W189" s="55"/>
      <c r="AA189" s="171"/>
      <c r="AB189" s="55"/>
      <c r="AC189" s="55"/>
      <c r="AD189" s="55"/>
    </row>
    <row r="190" spans="1:30" ht="12.75" hidden="1">
      <c r="A190" s="112"/>
      <c r="B190" s="122"/>
      <c r="C190" s="134"/>
      <c r="D190" s="134"/>
      <c r="G190" s="157"/>
      <c r="H190" s="162"/>
      <c r="I190" s="162"/>
      <c r="J190" s="162"/>
      <c r="K190" s="162"/>
      <c r="L190" s="162"/>
      <c r="M190" s="163"/>
      <c r="N190" s="174"/>
      <c r="O190" s="163"/>
      <c r="P190" s="163"/>
      <c r="Q190" s="163"/>
      <c r="R190" s="163"/>
      <c r="S190" s="163"/>
      <c r="T190" s="175"/>
      <c r="U190" s="176"/>
      <c r="V190" s="54"/>
      <c r="W190" s="55"/>
      <c r="AA190" s="164"/>
      <c r="AB190" s="55"/>
      <c r="AC190" s="55"/>
      <c r="AD190" s="55"/>
    </row>
    <row r="191" spans="1:30" ht="15" hidden="1" customHeight="1">
      <c r="A191" s="112">
        <v>16</v>
      </c>
      <c r="B191" s="123" t="s">
        <v>119</v>
      </c>
      <c r="C191" s="134"/>
      <c r="D191" s="134"/>
      <c r="G191" s="126" t="s">
        <v>342</v>
      </c>
      <c r="H191" s="166">
        <v>9.5503309749690693E-2</v>
      </c>
      <c r="I191" s="166">
        <v>8.4418706424085027E-2</v>
      </c>
      <c r="J191" s="166">
        <v>9.7197848555882871E-2</v>
      </c>
      <c r="K191" s="166">
        <v>9.6606617535013539E-2</v>
      </c>
      <c r="L191" s="166">
        <v>9.5223212026191065E-2</v>
      </c>
      <c r="M191" s="167"/>
      <c r="N191" s="177">
        <v>0.10423765263445296</v>
      </c>
      <c r="O191" s="166">
        <v>0.10394355063695268</v>
      </c>
      <c r="P191" s="166">
        <v>9.7079944738759444E-2</v>
      </c>
      <c r="Q191" s="166">
        <v>9.6776137185953917E-2</v>
      </c>
      <c r="R191" s="166">
        <v>9.6412308948852582E-2</v>
      </c>
      <c r="S191" s="167">
        <v>0.1167633499172708</v>
      </c>
      <c r="T191" s="169">
        <v>0.11210338140940918</v>
      </c>
      <c r="U191" s="170">
        <v>0</v>
      </c>
      <c r="V191" s="54"/>
      <c r="W191" s="55"/>
      <c r="AA191" s="171"/>
      <c r="AB191" s="55"/>
      <c r="AC191" s="55"/>
      <c r="AD191" s="55"/>
    </row>
    <row r="192" spans="1:30" ht="1.5" hidden="1" customHeight="1">
      <c r="A192" s="112"/>
      <c r="B192" s="178"/>
      <c r="C192" s="134"/>
      <c r="D192" s="134"/>
      <c r="G192" s="157"/>
      <c r="H192" s="166"/>
      <c r="I192" s="166"/>
      <c r="J192" s="166"/>
      <c r="K192" s="166"/>
      <c r="L192" s="166"/>
      <c r="M192" s="166"/>
      <c r="N192" s="179"/>
      <c r="O192" s="166"/>
      <c r="P192" s="166"/>
      <c r="Q192" s="166"/>
      <c r="R192" s="167"/>
      <c r="S192" s="167"/>
      <c r="T192" s="167"/>
      <c r="U192" s="167"/>
      <c r="V192" s="54"/>
      <c r="W192" s="55"/>
      <c r="AA192" s="55"/>
      <c r="AB192" s="55"/>
      <c r="AC192" s="55"/>
      <c r="AD192" s="55"/>
    </row>
    <row r="193" spans="1:30" ht="12" hidden="1" customHeight="1">
      <c r="A193" s="112">
        <v>17</v>
      </c>
      <c r="B193" s="123" t="s">
        <v>339</v>
      </c>
      <c r="G193" s="126" t="s">
        <v>342</v>
      </c>
      <c r="H193" s="166">
        <v>0.11983362370438683</v>
      </c>
      <c r="I193" s="166">
        <v>8.7439945029714569E-2</v>
      </c>
      <c r="J193" s="166">
        <v>0.10049967153404696</v>
      </c>
      <c r="K193" s="166">
        <v>0.10096887302108964</v>
      </c>
      <c r="L193" s="166">
        <v>0.1002407683891606</v>
      </c>
      <c r="M193" s="166">
        <v>0</v>
      </c>
      <c r="N193" s="180">
        <v>0.1194995969576348</v>
      </c>
      <c r="O193" s="166">
        <v>0.12261893025141339</v>
      </c>
      <c r="P193" s="166">
        <v>0.11806201258824692</v>
      </c>
      <c r="Q193" s="166">
        <v>0.11425748116996513</v>
      </c>
      <c r="R193" s="181">
        <v>8.2988701464190004E-2</v>
      </c>
      <c r="S193" s="167">
        <v>0.1766779922193048</v>
      </c>
      <c r="T193" s="166">
        <v>0.11148654563948153</v>
      </c>
      <c r="U193" s="167">
        <v>0.12902589537999717</v>
      </c>
      <c r="V193" s="54"/>
      <c r="W193" s="55"/>
      <c r="AA193" s="55"/>
      <c r="AB193" s="55"/>
      <c r="AC193" s="55"/>
      <c r="AD193" s="55"/>
    </row>
    <row r="194" spans="1:30" ht="12.75" hidden="1" customHeight="1">
      <c r="A194" s="112"/>
      <c r="B194" s="122"/>
      <c r="G194" s="55"/>
      <c r="H194" s="54"/>
      <c r="I194" s="54"/>
      <c r="J194" s="54"/>
      <c r="K194" s="54"/>
      <c r="L194" s="54"/>
      <c r="M194" s="54"/>
      <c r="N194" s="182"/>
      <c r="O194" s="54"/>
      <c r="P194" s="54"/>
      <c r="Q194" s="54"/>
      <c r="R194" s="183"/>
      <c r="S194" s="54"/>
      <c r="T194" s="54"/>
      <c r="U194" s="54"/>
      <c r="V194" s="54"/>
      <c r="W194" s="55"/>
      <c r="AA194" s="55"/>
      <c r="AB194" s="55"/>
      <c r="AC194" s="55"/>
      <c r="AD194" s="55"/>
    </row>
    <row r="195" spans="1:30" ht="0.75" hidden="1" customHeight="1">
      <c r="A195" s="112">
        <v>18</v>
      </c>
      <c r="B195" s="123" t="s">
        <v>300</v>
      </c>
      <c r="G195" s="126" t="s">
        <v>342</v>
      </c>
      <c r="H195" s="166">
        <v>7.5913277715438321E-2</v>
      </c>
      <c r="I195" s="166">
        <v>0.10938608547119055</v>
      </c>
      <c r="J195" s="166">
        <v>5.914671371723812E-2</v>
      </c>
      <c r="K195" s="166">
        <v>4.5933024773438413E-2</v>
      </c>
      <c r="L195" s="166">
        <v>2.2976774466485494E-3</v>
      </c>
      <c r="M195" s="166">
        <v>0</v>
      </c>
      <c r="N195" s="184">
        <v>-6.3709713528498024E-2</v>
      </c>
      <c r="O195" s="166">
        <v>-5.2632143589146065E-2</v>
      </c>
      <c r="P195" s="166">
        <v>-5.4612716644777022E-2</v>
      </c>
      <c r="Q195" s="166">
        <v>-6.7946910206289859E-2</v>
      </c>
      <c r="R195" s="166">
        <v>-6.7805609890813856E-2</v>
      </c>
      <c r="S195" s="167">
        <v>-0.52179670041210047</v>
      </c>
      <c r="T195" s="166">
        <v>-0.58551622401847625</v>
      </c>
      <c r="U195" s="167">
        <v>-0.59146407598974071</v>
      </c>
      <c r="V195" s="54"/>
      <c r="W195" s="55"/>
      <c r="AA195" s="55"/>
      <c r="AB195" s="55"/>
      <c r="AC195" s="55"/>
      <c r="AD195" s="55"/>
    </row>
    <row r="196" spans="1:30" ht="5.25" customHeight="1" thickBot="1">
      <c r="A196" s="112"/>
      <c r="D196" s="55"/>
      <c r="G196" s="54"/>
      <c r="H196" s="54"/>
      <c r="I196" s="54"/>
      <c r="J196" s="54"/>
      <c r="K196" s="54"/>
      <c r="L196" s="54"/>
      <c r="M196" s="55"/>
      <c r="N196" s="55"/>
      <c r="O196" s="55"/>
      <c r="P196" s="55"/>
      <c r="Q196" s="55"/>
      <c r="R196" s="55"/>
      <c r="S196" s="54"/>
      <c r="U196" s="54"/>
      <c r="V196" s="54"/>
      <c r="W196" s="55"/>
    </row>
    <row r="197" spans="1:30">
      <c r="A197" s="112"/>
      <c r="D197" s="185"/>
      <c r="E197" s="186"/>
      <c r="F197" s="186"/>
      <c r="G197" s="186"/>
      <c r="H197" s="186"/>
      <c r="I197" s="186"/>
      <c r="J197" s="186"/>
      <c r="K197" s="186"/>
      <c r="L197" s="186"/>
      <c r="M197" s="186" t="s">
        <v>346</v>
      </c>
      <c r="N197" s="186"/>
      <c r="O197" s="186"/>
      <c r="P197" s="186"/>
      <c r="Q197" s="186"/>
      <c r="R197" s="186"/>
      <c r="S197" s="186"/>
      <c r="T197" s="187" t="s">
        <v>334</v>
      </c>
      <c r="V197" s="188" t="s">
        <v>335</v>
      </c>
      <c r="W197" s="120"/>
    </row>
    <row r="198" spans="1:30">
      <c r="A198" s="112">
        <v>5</v>
      </c>
      <c r="D198" s="189" t="s">
        <v>163</v>
      </c>
      <c r="E198" s="55"/>
      <c r="G198" s="55"/>
      <c r="H198" s="55"/>
      <c r="I198" s="55"/>
      <c r="J198" s="55"/>
      <c r="L198" s="55"/>
      <c r="M198" s="190">
        <v>0.20051949770646785</v>
      </c>
      <c r="N198" s="100">
        <v>1.385825062466042E-2</v>
      </c>
      <c r="O198" s="100">
        <v>1.388352210831654E-2</v>
      </c>
      <c r="P198" s="100">
        <v>1.4250833501597561E-2</v>
      </c>
      <c r="Q198" s="100">
        <v>1.4003906321027442E-2</v>
      </c>
      <c r="R198" s="100">
        <v>1.4480019774483223E-2</v>
      </c>
      <c r="S198" s="100">
        <v>1.4799949197425883E-2</v>
      </c>
      <c r="T198" s="191">
        <v>1.8299626720466099E-2</v>
      </c>
      <c r="U198" s="100"/>
      <c r="V198" s="192">
        <v>1.8299626720466099E-2</v>
      </c>
      <c r="W198" s="100"/>
      <c r="Z198" s="100"/>
      <c r="AA198" s="100"/>
      <c r="AB198" s="100"/>
      <c r="AC198" s="100"/>
      <c r="AD198" s="100"/>
    </row>
    <row r="199" spans="1:30">
      <c r="A199" s="112">
        <v>6</v>
      </c>
      <c r="D199" s="189" t="s">
        <v>164</v>
      </c>
      <c r="E199" s="55"/>
      <c r="G199" s="55"/>
      <c r="H199" s="55"/>
      <c r="I199" s="55"/>
      <c r="J199" s="55"/>
      <c r="L199" s="55"/>
      <c r="M199" s="190">
        <v>0.3573623040489835</v>
      </c>
      <c r="N199" s="100">
        <v>1.7221680049145646E-2</v>
      </c>
      <c r="O199" s="100">
        <v>1.6032188620470528E-2</v>
      </c>
      <c r="P199" s="100">
        <v>1.3675448050819647E-2</v>
      </c>
      <c r="Q199" s="100">
        <v>1.3010637244663234E-2</v>
      </c>
      <c r="R199" s="100">
        <v>9.5672099223014246E-3</v>
      </c>
      <c r="S199" s="100">
        <v>7.0963429000710006E-3</v>
      </c>
      <c r="T199" s="191">
        <v>1.0138138647294489E-2</v>
      </c>
      <c r="U199" s="100"/>
      <c r="V199" s="193">
        <v>9.1243247825650402E-3</v>
      </c>
      <c r="W199" s="100"/>
      <c r="X199" s="100" t="s">
        <v>347</v>
      </c>
      <c r="AA199" s="100"/>
      <c r="AB199" s="100"/>
      <c r="AC199" s="100"/>
      <c r="AD199" s="100"/>
    </row>
    <row r="200" spans="1:30">
      <c r="A200" s="112">
        <v>7</v>
      </c>
      <c r="D200" s="189" t="s">
        <v>165</v>
      </c>
      <c r="E200" s="55"/>
      <c r="G200" s="55"/>
      <c r="H200" s="55"/>
      <c r="I200" s="55"/>
      <c r="J200" s="55"/>
      <c r="L200" s="55"/>
      <c r="M200" s="190">
        <v>9.81597699268488E-2</v>
      </c>
      <c r="N200" s="100">
        <v>6.0787973798470934E-3</v>
      </c>
      <c r="O200" s="100">
        <v>6.4460014311950621E-3</v>
      </c>
      <c r="P200" s="100">
        <v>6.5827337062454583E-3</v>
      </c>
      <c r="Q200" s="100">
        <v>5.9573502287310074E-3</v>
      </c>
      <c r="R200" s="100">
        <v>5.0227600869466576E-3</v>
      </c>
      <c r="S200" s="100">
        <v>5.4377117917235847E-3</v>
      </c>
      <c r="T200" s="191">
        <v>4.4458188367504873E-3</v>
      </c>
      <c r="U200" s="100"/>
      <c r="V200" s="192">
        <v>4.4458188367504873E-3</v>
      </c>
      <c r="W200" s="100"/>
      <c r="X200" s="100"/>
      <c r="AA200" s="100"/>
      <c r="AB200" s="100"/>
      <c r="AC200" s="100"/>
      <c r="AD200" s="100"/>
    </row>
    <row r="201" spans="1:30">
      <c r="A201" s="112">
        <v>8</v>
      </c>
      <c r="D201" s="194" t="s">
        <v>166</v>
      </c>
      <c r="E201" s="55"/>
      <c r="G201" s="55"/>
      <c r="H201" s="55"/>
      <c r="I201" s="55"/>
      <c r="J201" s="55"/>
      <c r="L201" s="55"/>
      <c r="M201" s="190">
        <v>0.3439584283176999</v>
      </c>
      <c r="N201" s="100">
        <v>1.7926709585836396E-2</v>
      </c>
      <c r="O201" s="100">
        <v>1.7876130155423751E-2</v>
      </c>
      <c r="P201" s="100">
        <v>1.6695732606756428E-2</v>
      </c>
      <c r="Q201" s="100">
        <v>1.6643484022569412E-2</v>
      </c>
      <c r="R201" s="100">
        <v>1.6580913128263923E-2</v>
      </c>
      <c r="S201" s="100">
        <v>1.7214632800108914E-2</v>
      </c>
      <c r="T201" s="191">
        <v>1.6527605177316773E-2</v>
      </c>
      <c r="U201" s="100"/>
      <c r="V201" s="193">
        <v>1.0459341441512091E-2</v>
      </c>
      <c r="W201" s="100"/>
      <c r="X201" s="100" t="s">
        <v>348</v>
      </c>
      <c r="AA201" s="100"/>
      <c r="AB201" s="100"/>
      <c r="AC201" s="100"/>
      <c r="AD201" s="100"/>
    </row>
    <row r="202" spans="1:30">
      <c r="A202" s="112">
        <v>9</v>
      </c>
      <c r="D202" s="194" t="s">
        <v>167</v>
      </c>
      <c r="E202" s="55"/>
      <c r="G202" s="55"/>
      <c r="H202" s="55"/>
      <c r="I202" s="55"/>
      <c r="J202" s="55"/>
      <c r="L202" s="55"/>
      <c r="M202" s="55"/>
      <c r="N202" s="195">
        <v>-1.0200000000000001E-2</v>
      </c>
      <c r="O202" s="195">
        <v>-1.0200000000000001E-2</v>
      </c>
      <c r="P202" s="195">
        <v>-1.0200000000000001E-2</v>
      </c>
      <c r="Q202" s="195">
        <v>-1.0200000000000001E-2</v>
      </c>
      <c r="R202" s="195">
        <v>-1.0200000000000001E-2</v>
      </c>
      <c r="S202" s="195">
        <v>-1.0200000000000001E-2</v>
      </c>
      <c r="T202" s="196">
        <v>-1.0200000000000001E-2</v>
      </c>
      <c r="U202" s="100"/>
      <c r="V202" s="192">
        <v>-1.0200000000000001E-2</v>
      </c>
      <c r="W202" s="100"/>
      <c r="Z202" s="100"/>
      <c r="AA202" s="100"/>
      <c r="AB202" s="100"/>
      <c r="AC202" s="100"/>
      <c r="AD202" s="100"/>
    </row>
    <row r="203" spans="1:30">
      <c r="A203" s="112"/>
      <c r="D203" s="194"/>
      <c r="E203" s="55"/>
      <c r="G203" s="55"/>
      <c r="H203" s="55"/>
      <c r="I203" s="55"/>
      <c r="J203" s="55"/>
      <c r="L203" s="55"/>
      <c r="M203" s="55"/>
      <c r="N203" s="55"/>
      <c r="O203" s="55"/>
      <c r="P203" s="55"/>
      <c r="Q203" s="55"/>
      <c r="R203" s="55"/>
      <c r="T203" s="197"/>
      <c r="V203" s="192"/>
      <c r="W203" s="100"/>
      <c r="Z203" s="100"/>
      <c r="AA203" s="100"/>
      <c r="AB203" s="100"/>
      <c r="AC203" s="100"/>
      <c r="AD203" s="100"/>
    </row>
    <row r="204" spans="1:30">
      <c r="A204" s="112">
        <v>10</v>
      </c>
      <c r="D204" s="194" t="s">
        <v>349</v>
      </c>
      <c r="E204" s="55"/>
      <c r="G204" s="55"/>
      <c r="H204" s="55"/>
      <c r="I204" s="55"/>
      <c r="J204" s="55"/>
      <c r="L204" s="55"/>
      <c r="M204" s="55"/>
      <c r="N204" s="100">
        <v>4.4885437639489559E-2</v>
      </c>
      <c r="O204" s="100">
        <v>4.4037842315405876E-2</v>
      </c>
      <c r="P204" s="100">
        <v>4.1004747865419092E-2</v>
      </c>
      <c r="Q204" s="100">
        <v>3.9415377816991094E-2</v>
      </c>
      <c r="R204" s="100">
        <v>3.5450902911995229E-2</v>
      </c>
      <c r="S204" s="100">
        <v>3.434863668932938E-2</v>
      </c>
      <c r="T204" s="198">
        <v>3.9211189381827848E-2</v>
      </c>
      <c r="U204" s="100"/>
      <c r="V204" s="193">
        <v>3.2129111781293712E-2</v>
      </c>
      <c r="W204" s="100"/>
      <c r="Z204" s="100"/>
      <c r="AA204" s="100"/>
      <c r="AB204" s="100"/>
      <c r="AC204" s="100"/>
      <c r="AD204" s="100"/>
    </row>
    <row r="205" spans="1:30" ht="12.75" thickBot="1">
      <c r="A205" s="112"/>
      <c r="D205" s="199"/>
      <c r="E205" s="200"/>
      <c r="F205" s="200"/>
      <c r="G205" s="200"/>
      <c r="H205" s="200"/>
      <c r="I205" s="200"/>
      <c r="J205" s="200"/>
      <c r="K205" s="200"/>
      <c r="L205" s="200"/>
      <c r="M205" s="200"/>
      <c r="N205" s="200"/>
      <c r="O205" s="200"/>
      <c r="P205" s="200"/>
      <c r="Q205" s="200"/>
      <c r="R205" s="200"/>
      <c r="S205" s="200"/>
      <c r="T205" s="201"/>
      <c r="V205" s="202"/>
      <c r="W205" s="100"/>
      <c r="Z205" s="100"/>
      <c r="AA205" s="100"/>
      <c r="AB205" s="100"/>
      <c r="AC205" s="100"/>
      <c r="AD205" s="100"/>
    </row>
    <row r="206" spans="1:30" ht="12" customHeight="1">
      <c r="D206" s="389" t="s">
        <v>350</v>
      </c>
      <c r="E206" s="389"/>
      <c r="F206" s="389"/>
      <c r="G206" s="389"/>
      <c r="H206" s="389"/>
      <c r="I206" s="389"/>
      <c r="J206" s="389"/>
      <c r="K206" s="389"/>
      <c r="L206" s="389"/>
      <c r="M206" s="389"/>
      <c r="N206" s="389"/>
      <c r="O206" s="389"/>
      <c r="P206" s="389"/>
      <c r="Q206" s="389"/>
      <c r="R206" s="389"/>
      <c r="S206" s="389"/>
      <c r="T206" s="389"/>
      <c r="U206" s="389"/>
      <c r="V206" s="389"/>
      <c r="W206" s="389"/>
      <c r="X206" s="389"/>
      <c r="Y206" s="389"/>
      <c r="Z206" s="203"/>
    </row>
    <row r="207" spans="1:30" ht="37.5" customHeight="1">
      <c r="D207" s="389"/>
      <c r="E207" s="389"/>
      <c r="F207" s="389"/>
      <c r="G207" s="389"/>
      <c r="H207" s="389"/>
      <c r="I207" s="389"/>
      <c r="J207" s="389"/>
      <c r="K207" s="389"/>
      <c r="L207" s="389"/>
      <c r="M207" s="389"/>
      <c r="N207" s="389"/>
      <c r="O207" s="389"/>
      <c r="P207" s="389"/>
      <c r="Q207" s="389"/>
      <c r="R207" s="389"/>
      <c r="S207" s="389"/>
      <c r="T207" s="389"/>
      <c r="U207" s="389"/>
      <c r="V207" s="389"/>
      <c r="W207" s="389"/>
      <c r="X207" s="389"/>
      <c r="Y207" s="389"/>
      <c r="Z207" s="203"/>
    </row>
    <row r="208" spans="1:30" ht="48.75" customHeight="1">
      <c r="D208" s="390" t="s">
        <v>351</v>
      </c>
      <c r="E208" s="389"/>
      <c r="F208" s="389"/>
      <c r="G208" s="389"/>
      <c r="H208" s="389"/>
      <c r="I208" s="389"/>
      <c r="J208" s="389"/>
      <c r="K208" s="389"/>
      <c r="L208" s="389"/>
      <c r="M208" s="389"/>
      <c r="N208" s="389"/>
      <c r="O208" s="389"/>
      <c r="P208" s="389"/>
      <c r="Q208" s="389"/>
      <c r="R208" s="389"/>
      <c r="S208" s="389"/>
      <c r="T208" s="389"/>
      <c r="U208" s="389"/>
      <c r="V208" s="389"/>
      <c r="W208" s="389"/>
      <c r="X208" s="389"/>
      <c r="Y208" s="389"/>
      <c r="Z208" s="100"/>
      <c r="AA208" s="100"/>
      <c r="AB208" s="100"/>
      <c r="AC208" s="100"/>
      <c r="AD208" s="100"/>
    </row>
    <row r="209" spans="7:26" ht="19.5" customHeight="1">
      <c r="G209" s="54"/>
      <c r="H209" s="54"/>
      <c r="I209" s="54"/>
      <c r="J209" s="54"/>
      <c r="K209" s="54"/>
      <c r="L209" s="54"/>
      <c r="M209" s="54"/>
      <c r="N209" s="54"/>
      <c r="O209" s="54"/>
      <c r="P209" s="54"/>
      <c r="Q209" s="54"/>
    </row>
    <row r="210" spans="7:26">
      <c r="G210" s="54"/>
      <c r="H210" s="54"/>
      <c r="I210" s="54"/>
      <c r="J210" s="54"/>
      <c r="K210" s="54"/>
      <c r="L210" s="54"/>
      <c r="M210" s="54"/>
      <c r="N210" s="54"/>
      <c r="O210" s="54"/>
      <c r="P210" s="54"/>
      <c r="Q210" s="54"/>
      <c r="W210" s="204"/>
      <c r="X210" s="204"/>
      <c r="Y210" s="204"/>
      <c r="Z210" s="204"/>
    </row>
    <row r="211" spans="7:26">
      <c r="G211" s="54"/>
      <c r="H211" s="54"/>
      <c r="I211" s="54"/>
      <c r="J211" s="54"/>
      <c r="K211" s="54"/>
      <c r="L211" s="54"/>
      <c r="M211" s="54"/>
      <c r="N211" s="54"/>
      <c r="O211" s="54"/>
      <c r="P211" s="54"/>
      <c r="Q211" s="54"/>
      <c r="W211" s="204"/>
      <c r="X211" s="204"/>
      <c r="Y211" s="204"/>
      <c r="Z211" s="204"/>
    </row>
    <row r="212" spans="7:26">
      <c r="G212" s="54"/>
      <c r="H212" s="54"/>
      <c r="I212" s="54"/>
      <c r="J212" s="54"/>
      <c r="K212" s="54"/>
      <c r="L212" s="54"/>
      <c r="M212" s="54"/>
      <c r="N212" s="54"/>
      <c r="O212" s="54"/>
      <c r="P212" s="54"/>
      <c r="Q212" s="54"/>
      <c r="W212" s="204"/>
      <c r="X212" s="204"/>
      <c r="Y212" s="204"/>
      <c r="Z212" s="204"/>
    </row>
    <row r="213" spans="7:26">
      <c r="G213" s="54"/>
      <c r="H213" s="54"/>
      <c r="I213" s="54"/>
      <c r="J213" s="54"/>
      <c r="K213" s="54"/>
      <c r="L213" s="54"/>
      <c r="M213" s="54"/>
      <c r="N213" s="54"/>
      <c r="O213" s="54"/>
      <c r="P213" s="54"/>
      <c r="Q213" s="54"/>
      <c r="W213" s="204"/>
      <c r="X213" s="204"/>
      <c r="Y213" s="204"/>
      <c r="Z213" s="204"/>
    </row>
    <row r="214" spans="7:26">
      <c r="G214" s="54"/>
      <c r="H214" s="54"/>
      <c r="I214" s="54"/>
      <c r="J214" s="54"/>
      <c r="K214" s="54"/>
      <c r="L214" s="54"/>
      <c r="M214" s="54"/>
      <c r="N214" s="54"/>
      <c r="O214" s="54"/>
      <c r="P214" s="54"/>
      <c r="Q214" s="54"/>
      <c r="W214" s="204"/>
      <c r="X214" s="204"/>
      <c r="Y214" s="204"/>
      <c r="Z214" s="204"/>
    </row>
    <row r="215" spans="7:26">
      <c r="G215" s="54"/>
      <c r="H215" s="54"/>
      <c r="I215" s="54"/>
      <c r="J215" s="54"/>
      <c r="K215" s="54"/>
      <c r="L215" s="54"/>
      <c r="M215" s="54"/>
      <c r="N215" s="54"/>
      <c r="O215" s="54"/>
      <c r="P215" s="54"/>
      <c r="Q215" s="54"/>
      <c r="W215" s="204"/>
      <c r="X215" s="204"/>
      <c r="Y215" s="204"/>
      <c r="Z215" s="204"/>
    </row>
    <row r="216" spans="7:26">
      <c r="G216" s="54"/>
      <c r="H216" s="54"/>
      <c r="I216" s="54"/>
      <c r="J216" s="54"/>
      <c r="K216" s="54"/>
      <c r="L216" s="54"/>
      <c r="M216" s="54"/>
      <c r="N216" s="54"/>
      <c r="O216" s="54"/>
      <c r="P216" s="54"/>
      <c r="Q216" s="54"/>
      <c r="W216" s="204"/>
      <c r="X216" s="204"/>
      <c r="Y216" s="204"/>
      <c r="Z216" s="204"/>
    </row>
    <row r="217" spans="7:26">
      <c r="G217" s="54"/>
      <c r="H217" s="54"/>
      <c r="I217" s="54"/>
      <c r="J217" s="54"/>
      <c r="K217" s="54"/>
      <c r="L217" s="54"/>
      <c r="M217" s="54"/>
      <c r="N217" s="54"/>
      <c r="O217" s="54"/>
      <c r="P217" s="54"/>
      <c r="Q217" s="54"/>
      <c r="W217" s="204"/>
      <c r="X217" s="204"/>
      <c r="Y217" s="204"/>
      <c r="Z217" s="204"/>
    </row>
    <row r="218" spans="7:26">
      <c r="G218" s="54"/>
      <c r="H218" s="54"/>
      <c r="I218" s="54"/>
      <c r="J218" s="54"/>
      <c r="K218" s="54"/>
      <c r="L218" s="54"/>
      <c r="M218" s="54"/>
      <c r="N218" s="54"/>
      <c r="O218" s="54"/>
      <c r="P218" s="54"/>
      <c r="Q218" s="54"/>
      <c r="W218" s="204"/>
      <c r="X218" s="204"/>
      <c r="Y218" s="204"/>
      <c r="Z218" s="204"/>
    </row>
    <row r="219" spans="7:26">
      <c r="G219" s="54"/>
      <c r="H219" s="54"/>
      <c r="I219" s="54"/>
      <c r="J219" s="54"/>
      <c r="K219" s="54"/>
      <c r="L219" s="54"/>
      <c r="M219" s="54"/>
      <c r="N219" s="54"/>
      <c r="O219" s="54"/>
      <c r="P219" s="54"/>
      <c r="Q219" s="54"/>
      <c r="W219" s="204"/>
      <c r="X219" s="204"/>
      <c r="Y219" s="204"/>
      <c r="Z219" s="204"/>
    </row>
    <row r="220" spans="7:26">
      <c r="G220" s="54"/>
      <c r="H220" s="54"/>
      <c r="I220" s="54"/>
      <c r="J220" s="54"/>
      <c r="K220" s="54"/>
      <c r="L220" s="54"/>
      <c r="M220" s="54"/>
      <c r="N220" s="54"/>
      <c r="O220" s="54"/>
      <c r="P220" s="54"/>
      <c r="Q220" s="54"/>
      <c r="W220" s="204"/>
      <c r="X220" s="204"/>
      <c r="Y220" s="204"/>
      <c r="Z220" s="204"/>
    </row>
    <row r="221" spans="7:26">
      <c r="G221" s="54"/>
      <c r="H221" s="54"/>
      <c r="I221" s="54"/>
      <c r="J221" s="54"/>
      <c r="K221" s="54"/>
      <c r="L221" s="54"/>
      <c r="M221" s="54"/>
      <c r="N221" s="54"/>
      <c r="O221" s="54"/>
      <c r="P221" s="54"/>
      <c r="Q221" s="54"/>
      <c r="W221" s="204"/>
      <c r="X221" s="204"/>
      <c r="Y221" s="204"/>
      <c r="Z221" s="204"/>
    </row>
    <row r="222" spans="7:26">
      <c r="G222" s="54"/>
      <c r="H222" s="54"/>
      <c r="I222" s="54"/>
      <c r="J222" s="54"/>
      <c r="K222" s="54"/>
      <c r="L222" s="54"/>
      <c r="M222" s="54"/>
      <c r="N222" s="54"/>
      <c r="O222" s="54"/>
      <c r="P222" s="54"/>
      <c r="Q222" s="54"/>
      <c r="W222" s="204"/>
      <c r="X222" s="204"/>
      <c r="Y222" s="204"/>
      <c r="Z222" s="204"/>
    </row>
    <row r="223" spans="7:26">
      <c r="G223" s="54"/>
      <c r="H223" s="54"/>
      <c r="I223" s="54"/>
      <c r="J223" s="54"/>
      <c r="K223" s="54"/>
      <c r="L223" s="54"/>
      <c r="M223" s="54"/>
      <c r="N223" s="54"/>
      <c r="O223" s="54"/>
      <c r="P223" s="54"/>
      <c r="Q223" s="54"/>
      <c r="W223" s="204"/>
      <c r="X223" s="204"/>
      <c r="Y223" s="204"/>
      <c r="Z223" s="204"/>
    </row>
    <row r="224" spans="7:26">
      <c r="G224" s="54"/>
      <c r="H224" s="54"/>
      <c r="I224" s="54"/>
      <c r="J224" s="54"/>
      <c r="K224" s="54"/>
      <c r="L224" s="54"/>
      <c r="M224" s="54"/>
      <c r="N224" s="54"/>
      <c r="O224" s="54"/>
      <c r="P224" s="54"/>
      <c r="Q224" s="54"/>
    </row>
    <row r="225" spans="7:17">
      <c r="G225" s="54"/>
      <c r="H225" s="54"/>
      <c r="I225" s="54"/>
      <c r="J225" s="54"/>
      <c r="K225" s="54"/>
      <c r="L225" s="54"/>
      <c r="M225" s="54"/>
      <c r="N225" s="54"/>
      <c r="O225" s="54"/>
      <c r="P225" s="54"/>
      <c r="Q225" s="54"/>
    </row>
    <row r="226" spans="7:17">
      <c r="G226" s="54"/>
      <c r="H226" s="54"/>
      <c r="I226" s="54"/>
      <c r="J226" s="54"/>
      <c r="K226" s="54"/>
      <c r="L226" s="54"/>
      <c r="M226" s="54"/>
      <c r="N226" s="54"/>
      <c r="O226" s="54"/>
      <c r="P226" s="54"/>
      <c r="Q226" s="54"/>
    </row>
    <row r="227" spans="7:17">
      <c r="G227" s="54"/>
      <c r="H227" s="54"/>
      <c r="I227" s="54"/>
      <c r="J227" s="54"/>
      <c r="K227" s="54"/>
      <c r="L227" s="54"/>
      <c r="M227" s="54"/>
      <c r="N227" s="54"/>
      <c r="O227" s="54"/>
      <c r="P227" s="54"/>
      <c r="Q227" s="54"/>
    </row>
    <row r="228" spans="7:17">
      <c r="G228" s="54"/>
      <c r="H228" s="54"/>
      <c r="I228" s="54"/>
      <c r="J228" s="54"/>
      <c r="K228" s="54"/>
      <c r="L228" s="54"/>
      <c r="M228" s="54"/>
      <c r="N228" s="54"/>
      <c r="O228" s="54"/>
      <c r="P228" s="54"/>
      <c r="Q228" s="54"/>
    </row>
    <row r="229" spans="7:17">
      <c r="G229" s="54"/>
      <c r="H229" s="54"/>
      <c r="I229" s="54"/>
      <c r="J229" s="54"/>
      <c r="K229" s="54"/>
      <c r="L229" s="54"/>
      <c r="M229" s="54"/>
      <c r="N229" s="54"/>
      <c r="O229" s="54"/>
      <c r="P229" s="54"/>
      <c r="Q229" s="54"/>
    </row>
    <row r="230" spans="7:17">
      <c r="G230" s="54"/>
      <c r="H230" s="54"/>
      <c r="I230" s="54"/>
      <c r="J230" s="54"/>
      <c r="K230" s="54"/>
      <c r="L230" s="54"/>
      <c r="M230" s="54"/>
      <c r="N230" s="54"/>
      <c r="O230" s="54"/>
      <c r="P230" s="54"/>
      <c r="Q230" s="54"/>
    </row>
    <row r="231" spans="7:17">
      <c r="G231" s="54"/>
      <c r="H231" s="54"/>
      <c r="I231" s="54"/>
      <c r="J231" s="54"/>
      <c r="K231" s="54"/>
      <c r="L231" s="54"/>
      <c r="M231" s="54"/>
      <c r="N231" s="54"/>
      <c r="O231" s="54"/>
      <c r="P231" s="54"/>
      <c r="Q231" s="54"/>
    </row>
    <row r="232" spans="7:17">
      <c r="G232" s="54"/>
      <c r="H232" s="54"/>
      <c r="I232" s="54"/>
      <c r="J232" s="54"/>
      <c r="K232" s="54"/>
      <c r="L232" s="54"/>
      <c r="M232" s="54"/>
      <c r="N232" s="54"/>
      <c r="O232" s="54"/>
      <c r="P232" s="54"/>
      <c r="Q232" s="54"/>
    </row>
    <row r="233" spans="7:17">
      <c r="G233" s="54"/>
      <c r="H233" s="54"/>
      <c r="I233" s="54"/>
      <c r="J233" s="54"/>
      <c r="K233" s="54"/>
      <c r="L233" s="54"/>
      <c r="M233" s="54"/>
      <c r="N233" s="54"/>
      <c r="O233" s="54"/>
      <c r="P233" s="54"/>
      <c r="Q233" s="54"/>
    </row>
    <row r="234" spans="7:17">
      <c r="G234" s="54"/>
      <c r="H234" s="54"/>
      <c r="I234" s="54"/>
      <c r="J234" s="54"/>
      <c r="K234" s="54"/>
      <c r="L234" s="54"/>
      <c r="M234" s="54"/>
      <c r="N234" s="54"/>
      <c r="O234" s="54"/>
      <c r="P234" s="54"/>
      <c r="Q234" s="54"/>
    </row>
    <row r="235" spans="7:17">
      <c r="G235" s="54"/>
      <c r="H235" s="54"/>
      <c r="I235" s="54"/>
      <c r="J235" s="54"/>
      <c r="K235" s="54"/>
      <c r="L235" s="54"/>
      <c r="M235" s="54"/>
      <c r="N235" s="54"/>
      <c r="O235" s="54"/>
      <c r="P235" s="54"/>
      <c r="Q235" s="54"/>
    </row>
    <row r="236" spans="7:17">
      <c r="G236" s="54"/>
      <c r="H236" s="54"/>
      <c r="I236" s="54"/>
      <c r="J236" s="54"/>
      <c r="K236" s="54"/>
      <c r="L236" s="54"/>
      <c r="M236" s="54"/>
      <c r="N236" s="54"/>
      <c r="O236" s="54"/>
      <c r="P236" s="54"/>
      <c r="Q236" s="54"/>
    </row>
    <row r="237" spans="7:17">
      <c r="G237" s="54"/>
      <c r="H237" s="54"/>
      <c r="I237" s="54"/>
      <c r="J237" s="54"/>
      <c r="K237" s="54"/>
      <c r="L237" s="54"/>
      <c r="M237" s="54"/>
      <c r="N237" s="54"/>
      <c r="O237" s="54"/>
      <c r="P237" s="54"/>
      <c r="Q237" s="54"/>
    </row>
    <row r="238" spans="7:17">
      <c r="G238" s="54"/>
      <c r="H238" s="54"/>
      <c r="I238" s="54"/>
      <c r="J238" s="54"/>
      <c r="K238" s="54"/>
      <c r="L238" s="54"/>
      <c r="M238" s="54"/>
      <c r="N238" s="54"/>
      <c r="O238" s="54"/>
      <c r="P238" s="54"/>
      <c r="Q238" s="54"/>
    </row>
    <row r="239" spans="7:17">
      <c r="G239" s="54"/>
      <c r="H239" s="54"/>
      <c r="I239" s="54"/>
      <c r="J239" s="54"/>
      <c r="K239" s="54"/>
      <c r="L239" s="54"/>
      <c r="M239" s="54"/>
      <c r="N239" s="54"/>
      <c r="O239" s="54"/>
      <c r="P239" s="54"/>
      <c r="Q239" s="54"/>
    </row>
    <row r="240" spans="7:17">
      <c r="G240" s="54"/>
      <c r="H240" s="54"/>
      <c r="I240" s="54"/>
      <c r="J240" s="54"/>
      <c r="K240" s="54"/>
      <c r="L240" s="54"/>
      <c r="M240" s="54"/>
      <c r="N240" s="54"/>
      <c r="O240" s="54"/>
      <c r="P240" s="54"/>
      <c r="Q240" s="54"/>
    </row>
    <row r="241" spans="7:17">
      <c r="G241" s="54"/>
      <c r="H241" s="54"/>
      <c r="I241" s="54"/>
      <c r="J241" s="54"/>
      <c r="K241" s="54"/>
      <c r="L241" s="54"/>
      <c r="M241" s="54"/>
      <c r="N241" s="54"/>
      <c r="O241" s="54"/>
      <c r="P241" s="54"/>
      <c r="Q241" s="54"/>
    </row>
    <row r="242" spans="7:17">
      <c r="G242" s="54"/>
      <c r="H242" s="54"/>
      <c r="I242" s="54"/>
      <c r="J242" s="54"/>
      <c r="K242" s="54"/>
      <c r="L242" s="54"/>
      <c r="M242" s="54"/>
      <c r="N242" s="54"/>
      <c r="O242" s="54"/>
      <c r="P242" s="54"/>
      <c r="Q242" s="54"/>
    </row>
    <row r="243" spans="7:17">
      <c r="G243" s="54"/>
      <c r="H243" s="54"/>
      <c r="I243" s="54"/>
      <c r="J243" s="54"/>
      <c r="K243" s="54"/>
      <c r="L243" s="54"/>
      <c r="M243" s="54"/>
      <c r="N243" s="54"/>
      <c r="O243" s="54"/>
      <c r="P243" s="54"/>
      <c r="Q243" s="54"/>
    </row>
    <row r="244" spans="7:17">
      <c r="G244" s="54"/>
      <c r="H244" s="54"/>
      <c r="I244" s="54"/>
      <c r="J244" s="54"/>
      <c r="K244" s="54"/>
      <c r="L244" s="54"/>
      <c r="M244" s="54"/>
      <c r="N244" s="54"/>
      <c r="O244" s="54"/>
      <c r="P244" s="54"/>
      <c r="Q244" s="54"/>
    </row>
    <row r="245" spans="7:17">
      <c r="G245" s="54"/>
      <c r="H245" s="54"/>
      <c r="I245" s="54"/>
      <c r="J245" s="54"/>
      <c r="K245" s="54"/>
      <c r="L245" s="54"/>
      <c r="M245" s="54"/>
      <c r="N245" s="54"/>
      <c r="O245" s="54"/>
      <c r="P245" s="54"/>
      <c r="Q245" s="54"/>
    </row>
    <row r="246" spans="7:17">
      <c r="G246" s="54"/>
      <c r="H246" s="54"/>
      <c r="I246" s="54"/>
      <c r="J246" s="54"/>
      <c r="K246" s="54"/>
      <c r="L246" s="54"/>
      <c r="M246" s="54"/>
      <c r="N246" s="54"/>
      <c r="O246" s="54"/>
      <c r="P246" s="54"/>
      <c r="Q246" s="54"/>
    </row>
    <row r="247" spans="7:17">
      <c r="G247" s="54"/>
      <c r="H247" s="54"/>
      <c r="I247" s="54"/>
      <c r="J247" s="54"/>
      <c r="K247" s="54"/>
      <c r="L247" s="54"/>
      <c r="M247" s="54"/>
      <c r="N247" s="54"/>
      <c r="O247" s="54"/>
      <c r="P247" s="54"/>
      <c r="Q247" s="54"/>
    </row>
    <row r="248" spans="7:17">
      <c r="G248" s="54"/>
      <c r="H248" s="54"/>
      <c r="I248" s="54"/>
      <c r="J248" s="54"/>
      <c r="K248" s="54"/>
      <c r="L248" s="54"/>
      <c r="M248" s="54"/>
      <c r="N248" s="54"/>
      <c r="O248" s="54"/>
      <c r="P248" s="54"/>
      <c r="Q248" s="54"/>
    </row>
    <row r="249" spans="7:17">
      <c r="G249" s="54"/>
      <c r="H249" s="54"/>
      <c r="I249" s="54"/>
      <c r="J249" s="54"/>
      <c r="K249" s="54"/>
      <c r="L249" s="54"/>
      <c r="M249" s="54"/>
      <c r="N249" s="54"/>
      <c r="O249" s="54"/>
      <c r="P249" s="54"/>
      <c r="Q249" s="54"/>
    </row>
    <row r="250" spans="7:17">
      <c r="G250" s="54"/>
      <c r="H250" s="54"/>
      <c r="I250" s="54"/>
      <c r="J250" s="54"/>
      <c r="K250" s="54"/>
      <c r="L250" s="54"/>
      <c r="M250" s="54"/>
      <c r="N250" s="54"/>
      <c r="O250" s="54"/>
      <c r="P250" s="54"/>
      <c r="Q250" s="54"/>
    </row>
    <row r="251" spans="7:17">
      <c r="G251" s="54"/>
      <c r="H251" s="54"/>
      <c r="I251" s="54"/>
      <c r="J251" s="54"/>
      <c r="K251" s="54"/>
      <c r="L251" s="54"/>
      <c r="M251" s="54"/>
      <c r="N251" s="54"/>
      <c r="O251" s="54"/>
      <c r="P251" s="54"/>
      <c r="Q251" s="54"/>
    </row>
    <row r="252" spans="7:17">
      <c r="G252" s="54"/>
      <c r="H252" s="54"/>
      <c r="I252" s="54"/>
      <c r="J252" s="54"/>
      <c r="K252" s="54"/>
      <c r="L252" s="54"/>
      <c r="M252" s="54"/>
      <c r="N252" s="54"/>
      <c r="O252" s="54"/>
      <c r="P252" s="54"/>
      <c r="Q252" s="54"/>
    </row>
    <row r="253" spans="7:17">
      <c r="G253" s="54"/>
      <c r="H253" s="54"/>
      <c r="I253" s="54"/>
      <c r="J253" s="54"/>
      <c r="K253" s="54"/>
      <c r="L253" s="54"/>
      <c r="M253" s="54"/>
      <c r="N253" s="54"/>
      <c r="O253" s="54"/>
      <c r="P253" s="54"/>
      <c r="Q253" s="54"/>
    </row>
    <row r="254" spans="7:17">
      <c r="G254" s="54"/>
      <c r="H254" s="54"/>
      <c r="I254" s="54"/>
      <c r="J254" s="54"/>
      <c r="K254" s="54"/>
      <c r="L254" s="54"/>
      <c r="M254" s="54"/>
      <c r="N254" s="54"/>
      <c r="O254" s="54"/>
      <c r="P254" s="54"/>
      <c r="Q254" s="54"/>
    </row>
    <row r="255" spans="7:17">
      <c r="G255" s="54"/>
      <c r="H255" s="54"/>
      <c r="I255" s="54"/>
      <c r="J255" s="54"/>
      <c r="K255" s="54"/>
      <c r="L255" s="54"/>
      <c r="M255" s="54"/>
      <c r="N255" s="54"/>
      <c r="O255" s="54"/>
      <c r="P255" s="54"/>
      <c r="Q255" s="54"/>
    </row>
    <row r="256" spans="7:17">
      <c r="G256" s="54"/>
      <c r="H256" s="54"/>
      <c r="I256" s="54"/>
      <c r="J256" s="54"/>
      <c r="K256" s="54"/>
      <c r="L256" s="54"/>
      <c r="M256" s="54"/>
      <c r="N256" s="54"/>
      <c r="O256" s="54"/>
      <c r="P256" s="54"/>
      <c r="Q256" s="54"/>
    </row>
    <row r="257" spans="7:17">
      <c r="G257" s="54"/>
      <c r="H257" s="54"/>
      <c r="I257" s="54"/>
      <c r="J257" s="54"/>
      <c r="K257" s="54"/>
      <c r="L257" s="54"/>
      <c r="M257" s="54"/>
      <c r="N257" s="54"/>
      <c r="O257" s="54"/>
      <c r="P257" s="54"/>
      <c r="Q257" s="54"/>
    </row>
    <row r="258" spans="7:17">
      <c r="G258" s="54"/>
      <c r="H258" s="54"/>
      <c r="I258" s="54"/>
      <c r="J258" s="54"/>
      <c r="K258" s="54"/>
      <c r="L258" s="54"/>
      <c r="M258" s="54"/>
      <c r="N258" s="54"/>
      <c r="O258" s="54"/>
      <c r="P258" s="54"/>
      <c r="Q258" s="54"/>
    </row>
    <row r="259" spans="7:17">
      <c r="G259" s="54"/>
      <c r="H259" s="54"/>
      <c r="I259" s="54"/>
      <c r="J259" s="54"/>
      <c r="K259" s="54"/>
      <c r="L259" s="54"/>
      <c r="M259" s="54"/>
      <c r="N259" s="54"/>
      <c r="O259" s="54"/>
      <c r="P259" s="54"/>
      <c r="Q259" s="54"/>
    </row>
    <row r="260" spans="7:17">
      <c r="G260" s="54"/>
      <c r="H260" s="54"/>
      <c r="I260" s="54"/>
      <c r="J260" s="54"/>
      <c r="K260" s="54"/>
      <c r="L260" s="54"/>
      <c r="M260" s="54"/>
      <c r="N260" s="54"/>
      <c r="O260" s="54"/>
      <c r="P260" s="54"/>
      <c r="Q260" s="54"/>
    </row>
    <row r="261" spans="7:17">
      <c r="G261" s="54"/>
      <c r="H261" s="54"/>
      <c r="I261" s="54"/>
      <c r="J261" s="54"/>
      <c r="K261" s="54"/>
      <c r="L261" s="54"/>
      <c r="M261" s="54"/>
      <c r="N261" s="54"/>
      <c r="O261" s="54"/>
      <c r="P261" s="54"/>
      <c r="Q261" s="54"/>
    </row>
    <row r="262" spans="7:17">
      <c r="G262" s="54"/>
      <c r="H262" s="54"/>
      <c r="I262" s="54"/>
      <c r="J262" s="54"/>
      <c r="K262" s="54"/>
      <c r="L262" s="54"/>
      <c r="M262" s="54"/>
      <c r="N262" s="54"/>
      <c r="O262" s="54"/>
      <c r="P262" s="54"/>
      <c r="Q262" s="54"/>
    </row>
    <row r="263" spans="7:17">
      <c r="G263" s="54"/>
      <c r="H263" s="54"/>
      <c r="I263" s="54"/>
      <c r="J263" s="54"/>
      <c r="K263" s="54"/>
      <c r="L263" s="54"/>
      <c r="M263" s="54"/>
      <c r="N263" s="54"/>
      <c r="O263" s="54"/>
      <c r="P263" s="54"/>
      <c r="Q263" s="54"/>
    </row>
    <row r="264" spans="7:17">
      <c r="G264" s="54"/>
      <c r="H264" s="54"/>
      <c r="I264" s="54"/>
      <c r="J264" s="54"/>
      <c r="K264" s="54"/>
      <c r="L264" s="54"/>
      <c r="M264" s="54"/>
      <c r="N264" s="54"/>
      <c r="O264" s="54"/>
      <c r="P264" s="54"/>
      <c r="Q264" s="54"/>
    </row>
    <row r="265" spans="7:17">
      <c r="G265" s="54"/>
      <c r="H265" s="54"/>
      <c r="I265" s="54"/>
      <c r="J265" s="54"/>
      <c r="K265" s="54"/>
      <c r="L265" s="54"/>
      <c r="M265" s="54"/>
      <c r="N265" s="54"/>
      <c r="O265" s="54"/>
      <c r="P265" s="54"/>
      <c r="Q265" s="54"/>
    </row>
    <row r="266" spans="7:17">
      <c r="G266" s="54"/>
      <c r="H266" s="54"/>
      <c r="I266" s="54"/>
      <c r="J266" s="54"/>
      <c r="K266" s="54"/>
      <c r="L266" s="54"/>
      <c r="M266" s="54"/>
      <c r="N266" s="54"/>
      <c r="O266" s="54"/>
      <c r="P266" s="54"/>
      <c r="Q266" s="54"/>
    </row>
    <row r="267" spans="7:17">
      <c r="G267" s="54"/>
      <c r="H267" s="54"/>
      <c r="I267" s="54"/>
      <c r="J267" s="54"/>
      <c r="K267" s="54"/>
      <c r="L267" s="54"/>
      <c r="M267" s="54"/>
      <c r="N267" s="54"/>
      <c r="O267" s="54"/>
      <c r="P267" s="54"/>
      <c r="Q267" s="54"/>
    </row>
    <row r="268" spans="7:17">
      <c r="G268" s="54"/>
      <c r="H268" s="54"/>
      <c r="I268" s="54"/>
      <c r="J268" s="54"/>
      <c r="K268" s="54"/>
      <c r="L268" s="54"/>
      <c r="M268" s="54"/>
      <c r="N268" s="54"/>
      <c r="O268" s="54"/>
      <c r="P268" s="54"/>
      <c r="Q268" s="54"/>
    </row>
    <row r="269" spans="7:17">
      <c r="G269" s="54"/>
      <c r="H269" s="54"/>
      <c r="I269" s="54"/>
      <c r="J269" s="54"/>
      <c r="K269" s="54"/>
      <c r="L269" s="54"/>
      <c r="M269" s="54"/>
      <c r="N269" s="54"/>
      <c r="O269" s="54"/>
      <c r="P269" s="54"/>
      <c r="Q269" s="54"/>
    </row>
    <row r="270" spans="7:17">
      <c r="G270" s="54"/>
      <c r="H270" s="54"/>
      <c r="I270" s="54"/>
      <c r="J270" s="54"/>
      <c r="K270" s="54"/>
      <c r="L270" s="54"/>
      <c r="M270" s="54"/>
      <c r="N270" s="54"/>
      <c r="O270" s="54"/>
      <c r="P270" s="54"/>
      <c r="Q270" s="54"/>
    </row>
    <row r="271" spans="7:17">
      <c r="G271" s="54"/>
      <c r="H271" s="54"/>
      <c r="I271" s="54"/>
      <c r="J271" s="54"/>
      <c r="K271" s="54"/>
      <c r="L271" s="54"/>
      <c r="M271" s="54"/>
      <c r="N271" s="54"/>
      <c r="O271" s="54"/>
      <c r="P271" s="54"/>
      <c r="Q271" s="54"/>
    </row>
    <row r="272" spans="7:17">
      <c r="G272" s="54"/>
      <c r="H272" s="54"/>
      <c r="I272" s="54"/>
      <c r="J272" s="54"/>
      <c r="K272" s="54"/>
      <c r="L272" s="54"/>
      <c r="M272" s="54"/>
      <c r="N272" s="54"/>
      <c r="O272" s="54"/>
      <c r="P272" s="54"/>
      <c r="Q272" s="54"/>
    </row>
    <row r="273" spans="7:17">
      <c r="G273" s="54"/>
      <c r="H273" s="54"/>
      <c r="I273" s="54"/>
      <c r="J273" s="54"/>
      <c r="K273" s="54"/>
      <c r="L273" s="54"/>
      <c r="M273" s="54"/>
      <c r="N273" s="54"/>
      <c r="O273" s="54"/>
      <c r="P273" s="54"/>
      <c r="Q273" s="54"/>
    </row>
    <row r="274" spans="7:17">
      <c r="G274" s="54"/>
      <c r="H274" s="54"/>
      <c r="I274" s="54"/>
      <c r="J274" s="54"/>
      <c r="K274" s="54"/>
      <c r="L274" s="54"/>
      <c r="M274" s="54"/>
      <c r="N274" s="54"/>
      <c r="O274" s="54"/>
      <c r="P274" s="54"/>
      <c r="Q274" s="54"/>
    </row>
    <row r="275" spans="7:17">
      <c r="G275" s="54"/>
      <c r="H275" s="54"/>
      <c r="I275" s="54"/>
      <c r="J275" s="54"/>
      <c r="K275" s="54"/>
      <c r="L275" s="54"/>
      <c r="M275" s="54"/>
      <c r="N275" s="54"/>
      <c r="O275" s="54"/>
      <c r="P275" s="54"/>
      <c r="Q275" s="54"/>
    </row>
    <row r="276" spans="7:17">
      <c r="G276" s="54"/>
      <c r="H276" s="54"/>
      <c r="I276" s="54"/>
      <c r="J276" s="54"/>
      <c r="K276" s="54"/>
      <c r="L276" s="54"/>
      <c r="M276" s="54"/>
      <c r="N276" s="54"/>
      <c r="O276" s="54"/>
      <c r="P276" s="54"/>
      <c r="Q276" s="54"/>
    </row>
    <row r="277" spans="7:17">
      <c r="G277" s="54"/>
      <c r="H277" s="54"/>
      <c r="I277" s="54"/>
      <c r="J277" s="54"/>
      <c r="K277" s="54"/>
      <c r="L277" s="54"/>
      <c r="M277" s="54"/>
      <c r="N277" s="54"/>
      <c r="O277" s="54"/>
      <c r="P277" s="54"/>
      <c r="Q277" s="54"/>
    </row>
    <row r="278" spans="7:17">
      <c r="G278" s="54"/>
      <c r="H278" s="54"/>
      <c r="I278" s="54"/>
      <c r="J278" s="54"/>
      <c r="K278" s="54"/>
      <c r="L278" s="54"/>
      <c r="M278" s="54"/>
      <c r="N278" s="54"/>
      <c r="O278" s="54"/>
      <c r="P278" s="54"/>
      <c r="Q278" s="54"/>
    </row>
    <row r="279" spans="7:17">
      <c r="G279" s="54"/>
      <c r="H279" s="54"/>
      <c r="I279" s="54"/>
      <c r="J279" s="54"/>
      <c r="K279" s="54"/>
      <c r="L279" s="54"/>
      <c r="M279" s="54"/>
      <c r="N279" s="54"/>
      <c r="O279" s="54"/>
      <c r="P279" s="54"/>
      <c r="Q279" s="54"/>
    </row>
    <row r="280" spans="7:17">
      <c r="G280" s="54"/>
      <c r="H280" s="54"/>
      <c r="I280" s="54"/>
      <c r="J280" s="54"/>
      <c r="K280" s="54"/>
      <c r="L280" s="54"/>
      <c r="M280" s="54"/>
      <c r="N280" s="54"/>
      <c r="O280" s="54"/>
      <c r="P280" s="54"/>
      <c r="Q280" s="54"/>
    </row>
    <row r="281" spans="7:17">
      <c r="G281" s="54"/>
      <c r="H281" s="54"/>
      <c r="I281" s="54"/>
      <c r="J281" s="54"/>
      <c r="K281" s="54"/>
      <c r="L281" s="54"/>
      <c r="M281" s="54"/>
      <c r="N281" s="54"/>
      <c r="O281" s="54"/>
      <c r="P281" s="54"/>
      <c r="Q281" s="54"/>
    </row>
    <row r="282" spans="7:17">
      <c r="G282" s="54"/>
      <c r="H282" s="54"/>
      <c r="I282" s="54"/>
      <c r="J282" s="54"/>
      <c r="K282" s="54"/>
      <c r="L282" s="54"/>
      <c r="M282" s="54"/>
      <c r="N282" s="54"/>
      <c r="O282" s="54"/>
      <c r="P282" s="54"/>
      <c r="Q282" s="54"/>
    </row>
    <row r="283" spans="7:17">
      <c r="G283" s="54"/>
      <c r="H283" s="54"/>
      <c r="I283" s="54"/>
      <c r="J283" s="54"/>
      <c r="K283" s="54"/>
      <c r="L283" s="54"/>
      <c r="M283" s="54"/>
      <c r="N283" s="54"/>
      <c r="O283" s="54"/>
      <c r="P283" s="54"/>
      <c r="Q283" s="54"/>
    </row>
    <row r="284" spans="7:17">
      <c r="G284" s="54"/>
      <c r="H284" s="54"/>
      <c r="I284" s="54"/>
      <c r="J284" s="54"/>
      <c r="K284" s="54"/>
      <c r="L284" s="54"/>
      <c r="M284" s="54"/>
      <c r="N284" s="54"/>
      <c r="O284" s="54"/>
      <c r="P284" s="54"/>
      <c r="Q284" s="54"/>
    </row>
    <row r="285" spans="7:17">
      <c r="G285" s="54"/>
      <c r="H285" s="54"/>
      <c r="I285" s="54"/>
      <c r="J285" s="54"/>
      <c r="K285" s="54"/>
      <c r="L285" s="54"/>
      <c r="M285" s="54"/>
      <c r="N285" s="54"/>
      <c r="O285" s="54"/>
      <c r="P285" s="54"/>
      <c r="Q285" s="54"/>
    </row>
    <row r="286" spans="7:17">
      <c r="G286" s="54"/>
      <c r="H286" s="54"/>
      <c r="I286" s="54"/>
      <c r="J286" s="54"/>
      <c r="K286" s="54"/>
      <c r="L286" s="54"/>
      <c r="M286" s="54"/>
      <c r="N286" s="54"/>
      <c r="O286" s="54"/>
      <c r="P286" s="54"/>
      <c r="Q286" s="54"/>
    </row>
    <row r="287" spans="7:17">
      <c r="G287" s="54"/>
      <c r="H287" s="54"/>
      <c r="I287" s="54"/>
      <c r="J287" s="54"/>
      <c r="K287" s="54"/>
      <c r="L287" s="54"/>
      <c r="M287" s="54"/>
      <c r="N287" s="54"/>
      <c r="O287" s="54"/>
      <c r="P287" s="54"/>
      <c r="Q287" s="54"/>
    </row>
    <row r="288" spans="7:17">
      <c r="G288" s="54"/>
      <c r="H288" s="54"/>
      <c r="I288" s="54"/>
      <c r="J288" s="54"/>
      <c r="K288" s="54"/>
      <c r="L288" s="54"/>
      <c r="M288" s="54"/>
      <c r="N288" s="54"/>
      <c r="O288" s="54"/>
      <c r="P288" s="54"/>
      <c r="Q288" s="54"/>
    </row>
    <row r="289" spans="7:17">
      <c r="G289" s="54"/>
      <c r="H289" s="54"/>
      <c r="I289" s="54"/>
      <c r="J289" s="54"/>
      <c r="K289" s="54"/>
      <c r="L289" s="54"/>
      <c r="M289" s="54"/>
      <c r="N289" s="54"/>
      <c r="O289" s="54"/>
      <c r="P289" s="54"/>
      <c r="Q289" s="54"/>
    </row>
    <row r="290" spans="7:17">
      <c r="G290" s="54"/>
      <c r="H290" s="54"/>
      <c r="I290" s="54"/>
      <c r="J290" s="54"/>
      <c r="K290" s="54"/>
      <c r="L290" s="54"/>
      <c r="M290" s="54"/>
      <c r="N290" s="54"/>
      <c r="O290" s="54"/>
      <c r="P290" s="54"/>
      <c r="Q290" s="54"/>
    </row>
    <row r="291" spans="7:17">
      <c r="G291" s="54"/>
      <c r="H291" s="54"/>
      <c r="I291" s="54"/>
      <c r="J291" s="54"/>
      <c r="K291" s="54"/>
      <c r="L291" s="54"/>
      <c r="M291" s="54"/>
      <c r="N291" s="54"/>
      <c r="O291" s="54"/>
      <c r="P291" s="54"/>
      <c r="Q291" s="54"/>
    </row>
    <row r="292" spans="7:17">
      <c r="G292" s="54"/>
      <c r="H292" s="54"/>
      <c r="I292" s="54"/>
      <c r="J292" s="54"/>
      <c r="K292" s="54"/>
      <c r="L292" s="54"/>
      <c r="M292" s="54"/>
      <c r="N292" s="54"/>
      <c r="O292" s="54"/>
      <c r="P292" s="54"/>
      <c r="Q292" s="54"/>
    </row>
    <row r="293" spans="7:17">
      <c r="G293" s="54"/>
      <c r="H293" s="54"/>
      <c r="I293" s="54"/>
      <c r="J293" s="54"/>
      <c r="K293" s="54"/>
      <c r="L293" s="54"/>
      <c r="M293" s="54"/>
      <c r="N293" s="54"/>
      <c r="O293" s="54"/>
      <c r="P293" s="54"/>
      <c r="Q293" s="54"/>
    </row>
    <row r="294" spans="7:17">
      <c r="G294" s="54"/>
      <c r="H294" s="54"/>
      <c r="I294" s="54"/>
      <c r="J294" s="54"/>
      <c r="K294" s="54"/>
      <c r="L294" s="54"/>
      <c r="M294" s="54"/>
      <c r="N294" s="54"/>
      <c r="O294" s="54"/>
      <c r="P294" s="54"/>
      <c r="Q294" s="54"/>
    </row>
    <row r="295" spans="7:17">
      <c r="G295" s="54"/>
      <c r="H295" s="54"/>
      <c r="I295" s="54"/>
      <c r="J295" s="54"/>
      <c r="K295" s="54"/>
      <c r="L295" s="54"/>
      <c r="M295" s="54"/>
      <c r="N295" s="54"/>
      <c r="O295" s="54"/>
      <c r="P295" s="54"/>
      <c r="Q295" s="54"/>
    </row>
    <row r="296" spans="7:17">
      <c r="G296" s="54"/>
      <c r="H296" s="54"/>
      <c r="I296" s="54"/>
      <c r="J296" s="54"/>
      <c r="K296" s="54"/>
      <c r="L296" s="54"/>
      <c r="M296" s="54"/>
      <c r="N296" s="54"/>
      <c r="O296" s="54"/>
      <c r="P296" s="54"/>
      <c r="Q296" s="54"/>
    </row>
    <row r="297" spans="7:17">
      <c r="G297" s="54"/>
      <c r="H297" s="54"/>
      <c r="I297" s="54"/>
      <c r="J297" s="54"/>
      <c r="K297" s="54"/>
      <c r="L297" s="54"/>
      <c r="M297" s="54"/>
      <c r="N297" s="54"/>
      <c r="O297" s="54"/>
      <c r="P297" s="54"/>
      <c r="Q297" s="54"/>
    </row>
    <row r="298" spans="7:17">
      <c r="G298" s="54"/>
      <c r="H298" s="54"/>
      <c r="I298" s="54"/>
      <c r="J298" s="54"/>
      <c r="K298" s="54"/>
      <c r="L298" s="54"/>
      <c r="M298" s="54"/>
      <c r="N298" s="54"/>
      <c r="O298" s="54"/>
      <c r="P298" s="54"/>
      <c r="Q298" s="54"/>
    </row>
    <row r="299" spans="7:17">
      <c r="G299" s="54"/>
      <c r="H299" s="54"/>
      <c r="I299" s="54"/>
      <c r="J299" s="54"/>
      <c r="K299" s="54"/>
      <c r="L299" s="54"/>
      <c r="M299" s="54"/>
      <c r="N299" s="54"/>
      <c r="O299" s="54"/>
      <c r="P299" s="54"/>
      <c r="Q299" s="54"/>
    </row>
    <row r="300" spans="7:17">
      <c r="G300" s="54"/>
      <c r="H300" s="54"/>
      <c r="I300" s="54"/>
      <c r="J300" s="54"/>
      <c r="K300" s="54"/>
      <c r="L300" s="54"/>
      <c r="M300" s="54"/>
      <c r="N300" s="54"/>
      <c r="O300" s="54"/>
      <c r="P300" s="54"/>
      <c r="Q300" s="54"/>
    </row>
    <row r="301" spans="7:17">
      <c r="G301" s="54"/>
      <c r="H301" s="54"/>
      <c r="I301" s="54"/>
      <c r="J301" s="54"/>
      <c r="K301" s="54"/>
      <c r="L301" s="54"/>
      <c r="M301" s="54"/>
      <c r="N301" s="54"/>
      <c r="O301" s="54"/>
      <c r="P301" s="54"/>
      <c r="Q301" s="54"/>
    </row>
    <row r="302" spans="7:17">
      <c r="G302" s="54"/>
      <c r="H302" s="54"/>
      <c r="I302" s="54"/>
      <c r="J302" s="54"/>
      <c r="K302" s="54"/>
      <c r="L302" s="54"/>
      <c r="M302" s="54"/>
      <c r="N302" s="54"/>
      <c r="O302" s="54"/>
      <c r="P302" s="54"/>
      <c r="Q302" s="54"/>
    </row>
    <row r="303" spans="7:17">
      <c r="G303" s="54"/>
      <c r="H303" s="54"/>
      <c r="I303" s="54"/>
      <c r="J303" s="54"/>
      <c r="K303" s="54"/>
      <c r="L303" s="54"/>
      <c r="M303" s="54"/>
      <c r="N303" s="54"/>
      <c r="O303" s="54"/>
      <c r="P303" s="54"/>
      <c r="Q303" s="54"/>
    </row>
    <row r="304" spans="7:17">
      <c r="G304" s="54"/>
      <c r="H304" s="54"/>
      <c r="I304" s="54"/>
      <c r="J304" s="54"/>
      <c r="K304" s="54"/>
      <c r="L304" s="54"/>
      <c r="M304" s="54"/>
      <c r="N304" s="54"/>
      <c r="O304" s="54"/>
      <c r="P304" s="54"/>
      <c r="Q304" s="54"/>
    </row>
    <row r="305" spans="7:17">
      <c r="G305" s="54"/>
      <c r="H305" s="54"/>
      <c r="I305" s="54"/>
      <c r="J305" s="54"/>
      <c r="K305" s="54"/>
      <c r="L305" s="54"/>
      <c r="M305" s="54"/>
      <c r="N305" s="54"/>
      <c r="O305" s="54"/>
      <c r="P305" s="54"/>
      <c r="Q305" s="54"/>
    </row>
    <row r="306" spans="7:17">
      <c r="G306" s="54"/>
      <c r="H306" s="54"/>
      <c r="I306" s="54"/>
      <c r="J306" s="54"/>
      <c r="K306" s="54"/>
      <c r="L306" s="54"/>
      <c r="M306" s="54"/>
      <c r="N306" s="54"/>
      <c r="O306" s="54"/>
      <c r="P306" s="54"/>
      <c r="Q306" s="54"/>
    </row>
    <row r="307" spans="7:17">
      <c r="G307" s="54"/>
      <c r="H307" s="54"/>
      <c r="I307" s="54"/>
      <c r="J307" s="54"/>
      <c r="K307" s="54"/>
      <c r="L307" s="54"/>
      <c r="M307" s="54"/>
      <c r="N307" s="54"/>
      <c r="O307" s="54"/>
      <c r="P307" s="54"/>
      <c r="Q307" s="54"/>
    </row>
    <row r="308" spans="7:17">
      <c r="G308" s="54"/>
      <c r="H308" s="54"/>
      <c r="I308" s="54"/>
      <c r="J308" s="54"/>
      <c r="K308" s="54"/>
      <c r="L308" s="54"/>
      <c r="M308" s="54"/>
      <c r="N308" s="54"/>
      <c r="O308" s="54"/>
      <c r="P308" s="54"/>
      <c r="Q308" s="54"/>
    </row>
    <row r="309" spans="7:17">
      <c r="G309" s="54"/>
      <c r="H309" s="54"/>
      <c r="I309" s="54"/>
      <c r="J309" s="54"/>
      <c r="K309" s="54"/>
      <c r="L309" s="54"/>
      <c r="M309" s="54"/>
      <c r="N309" s="54"/>
      <c r="O309" s="54"/>
      <c r="P309" s="54"/>
      <c r="Q309" s="54"/>
    </row>
    <row r="310" spans="7:17">
      <c r="G310" s="54"/>
      <c r="H310" s="54"/>
      <c r="I310" s="54"/>
      <c r="J310" s="54"/>
      <c r="K310" s="54"/>
      <c r="L310" s="54"/>
      <c r="M310" s="54"/>
      <c r="N310" s="54"/>
      <c r="O310" s="54"/>
      <c r="P310" s="54"/>
      <c r="Q310" s="54"/>
    </row>
    <row r="311" spans="7:17">
      <c r="G311" s="54"/>
      <c r="H311" s="54"/>
      <c r="I311" s="54"/>
      <c r="J311" s="54"/>
      <c r="K311" s="54"/>
      <c r="L311" s="54"/>
      <c r="M311" s="54"/>
      <c r="N311" s="54"/>
      <c r="O311" s="54"/>
      <c r="P311" s="54"/>
      <c r="Q311" s="54"/>
    </row>
    <row r="312" spans="7:17">
      <c r="G312" s="54"/>
      <c r="H312" s="54"/>
      <c r="I312" s="54"/>
      <c r="J312" s="54"/>
      <c r="K312" s="54"/>
      <c r="L312" s="54"/>
      <c r="M312" s="54"/>
      <c r="N312" s="54"/>
      <c r="O312" s="54"/>
      <c r="P312" s="54"/>
      <c r="Q312" s="54"/>
    </row>
    <row r="313" spans="7:17">
      <c r="G313" s="54"/>
      <c r="H313" s="54"/>
      <c r="I313" s="54"/>
      <c r="J313" s="54"/>
      <c r="K313" s="54"/>
      <c r="L313" s="54"/>
      <c r="M313" s="54"/>
      <c r="N313" s="54"/>
      <c r="O313" s="54"/>
      <c r="P313" s="54"/>
      <c r="Q313" s="54"/>
    </row>
    <row r="314" spans="7:17">
      <c r="G314" s="54"/>
      <c r="H314" s="54"/>
      <c r="I314" s="54"/>
      <c r="J314" s="54"/>
      <c r="K314" s="54"/>
      <c r="L314" s="54"/>
      <c r="M314" s="54"/>
      <c r="N314" s="54"/>
      <c r="O314" s="54"/>
      <c r="P314" s="54"/>
      <c r="Q314" s="54"/>
    </row>
    <row r="315" spans="7:17">
      <c r="G315" s="54"/>
      <c r="H315" s="54"/>
      <c r="I315" s="54"/>
      <c r="J315" s="54"/>
      <c r="K315" s="54"/>
      <c r="L315" s="54"/>
      <c r="M315" s="54"/>
      <c r="N315" s="54"/>
      <c r="O315" s="54"/>
      <c r="P315" s="54"/>
      <c r="Q315" s="54"/>
    </row>
    <row r="316" spans="7:17">
      <c r="G316" s="54"/>
      <c r="H316" s="54"/>
      <c r="I316" s="54"/>
      <c r="J316" s="54"/>
      <c r="K316" s="54"/>
      <c r="L316" s="54"/>
      <c r="M316" s="54"/>
      <c r="N316" s="54"/>
      <c r="O316" s="54"/>
      <c r="P316" s="54"/>
      <c r="Q316" s="54"/>
    </row>
    <row r="317" spans="7:17">
      <c r="G317" s="54"/>
      <c r="H317" s="54"/>
      <c r="I317" s="54"/>
      <c r="J317" s="54"/>
      <c r="K317" s="54"/>
      <c r="L317" s="54"/>
      <c r="M317" s="54"/>
      <c r="N317" s="54"/>
      <c r="O317" s="54"/>
      <c r="P317" s="54"/>
      <c r="Q317" s="54"/>
    </row>
    <row r="318" spans="7:17">
      <c r="G318" s="54"/>
      <c r="H318" s="54"/>
      <c r="I318" s="54"/>
      <c r="J318" s="54"/>
      <c r="K318" s="54"/>
      <c r="L318" s="54"/>
      <c r="M318" s="54"/>
      <c r="N318" s="54"/>
      <c r="O318" s="54"/>
      <c r="P318" s="54"/>
      <c r="Q318" s="54"/>
    </row>
    <row r="319" spans="7:17">
      <c r="G319" s="54"/>
      <c r="H319" s="54"/>
      <c r="I319" s="54"/>
      <c r="J319" s="54"/>
      <c r="K319" s="54"/>
      <c r="L319" s="54"/>
      <c r="M319" s="54"/>
      <c r="N319" s="54"/>
      <c r="O319" s="54"/>
      <c r="P319" s="54"/>
      <c r="Q319" s="54"/>
    </row>
    <row r="320" spans="7:17">
      <c r="G320" s="54"/>
      <c r="H320" s="54"/>
      <c r="I320" s="54"/>
      <c r="J320" s="54"/>
      <c r="K320" s="54"/>
      <c r="L320" s="54"/>
      <c r="M320" s="54"/>
      <c r="N320" s="54"/>
      <c r="O320" s="54"/>
      <c r="P320" s="54"/>
      <c r="Q320" s="54"/>
    </row>
    <row r="321" spans="7:17">
      <c r="G321" s="54"/>
      <c r="H321" s="54"/>
      <c r="I321" s="54"/>
      <c r="J321" s="54"/>
      <c r="K321" s="54"/>
      <c r="L321" s="54"/>
      <c r="M321" s="54"/>
      <c r="N321" s="54"/>
      <c r="O321" s="54"/>
      <c r="P321" s="54"/>
      <c r="Q321" s="54"/>
    </row>
    <row r="322" spans="7:17">
      <c r="G322" s="54"/>
      <c r="H322" s="54"/>
      <c r="I322" s="54"/>
      <c r="J322" s="54"/>
      <c r="K322" s="54"/>
      <c r="L322" s="54"/>
      <c r="M322" s="54"/>
      <c r="N322" s="54"/>
      <c r="O322" s="54"/>
      <c r="P322" s="54"/>
      <c r="Q322" s="54"/>
    </row>
    <row r="323" spans="7:17">
      <c r="G323" s="54"/>
      <c r="H323" s="54"/>
      <c r="I323" s="54"/>
      <c r="J323" s="54"/>
      <c r="K323" s="54"/>
      <c r="L323" s="54"/>
      <c r="M323" s="54"/>
      <c r="N323" s="54"/>
      <c r="O323" s="54"/>
      <c r="P323" s="54"/>
      <c r="Q323" s="54"/>
    </row>
    <row r="324" spans="7:17">
      <c r="G324" s="54"/>
      <c r="H324" s="54"/>
      <c r="I324" s="54"/>
      <c r="J324" s="54"/>
      <c r="K324" s="54"/>
      <c r="L324" s="54"/>
      <c r="M324" s="54"/>
      <c r="N324" s="54"/>
      <c r="O324" s="54"/>
      <c r="P324" s="54"/>
      <c r="Q324" s="54"/>
    </row>
    <row r="325" spans="7:17">
      <c r="G325" s="54"/>
      <c r="H325" s="54"/>
      <c r="I325" s="54"/>
      <c r="J325" s="54"/>
      <c r="K325" s="54"/>
      <c r="L325" s="54"/>
      <c r="M325" s="54"/>
      <c r="N325" s="54"/>
      <c r="O325" s="54"/>
      <c r="P325" s="54"/>
      <c r="Q325" s="54"/>
    </row>
    <row r="326" spans="7:17">
      <c r="G326" s="54"/>
      <c r="H326" s="54"/>
      <c r="I326" s="54"/>
      <c r="J326" s="54"/>
      <c r="K326" s="54"/>
      <c r="L326" s="54"/>
      <c r="M326" s="54"/>
      <c r="N326" s="54"/>
      <c r="O326" s="54"/>
      <c r="P326" s="54"/>
      <c r="Q326" s="54"/>
    </row>
    <row r="327" spans="7:17">
      <c r="G327" s="54"/>
      <c r="H327" s="54"/>
      <c r="I327" s="54"/>
      <c r="J327" s="54"/>
      <c r="K327" s="54"/>
      <c r="L327" s="54"/>
      <c r="M327" s="54"/>
      <c r="N327" s="54"/>
      <c r="O327" s="54"/>
      <c r="P327" s="54"/>
      <c r="Q327" s="54"/>
    </row>
    <row r="328" spans="7:17">
      <c r="G328" s="54"/>
      <c r="H328" s="54"/>
      <c r="I328" s="54"/>
      <c r="J328" s="54"/>
      <c r="K328" s="54"/>
      <c r="L328" s="54"/>
      <c r="M328" s="54"/>
      <c r="N328" s="54"/>
      <c r="O328" s="54"/>
      <c r="P328" s="54"/>
      <c r="Q328" s="54"/>
    </row>
    <row r="329" spans="7:17">
      <c r="G329" s="54"/>
      <c r="H329" s="54"/>
      <c r="I329" s="54"/>
      <c r="J329" s="54"/>
      <c r="K329" s="54"/>
      <c r="L329" s="54"/>
      <c r="M329" s="54"/>
      <c r="N329" s="54"/>
      <c r="O329" s="54"/>
      <c r="P329" s="54"/>
      <c r="Q329" s="54"/>
    </row>
    <row r="330" spans="7:17">
      <c r="G330" s="54"/>
      <c r="H330" s="54"/>
      <c r="I330" s="54"/>
      <c r="J330" s="54"/>
      <c r="K330" s="54"/>
      <c r="L330" s="54"/>
      <c r="M330" s="54"/>
      <c r="N330" s="54"/>
      <c r="O330" s="54"/>
      <c r="P330" s="54"/>
      <c r="Q330" s="54"/>
    </row>
    <row r="331" spans="7:17">
      <c r="G331" s="54"/>
      <c r="H331" s="54"/>
      <c r="I331" s="54"/>
      <c r="J331" s="54"/>
      <c r="K331" s="54"/>
      <c r="L331" s="54"/>
      <c r="M331" s="54"/>
      <c r="N331" s="54"/>
      <c r="O331" s="54"/>
      <c r="P331" s="54"/>
      <c r="Q331" s="54"/>
    </row>
    <row r="332" spans="7:17">
      <c r="G332" s="54"/>
      <c r="H332" s="54"/>
      <c r="I332" s="54"/>
      <c r="J332" s="54"/>
      <c r="K332" s="54"/>
      <c r="L332" s="54"/>
      <c r="M332" s="54"/>
      <c r="N332" s="54"/>
      <c r="O332" s="54"/>
      <c r="P332" s="54"/>
      <c r="Q332" s="54"/>
    </row>
    <row r="333" spans="7:17">
      <c r="G333" s="54"/>
      <c r="H333" s="54"/>
      <c r="I333" s="54"/>
      <c r="J333" s="54"/>
      <c r="K333" s="54"/>
      <c r="L333" s="54"/>
      <c r="M333" s="54"/>
      <c r="N333" s="54"/>
      <c r="O333" s="54"/>
      <c r="P333" s="54"/>
      <c r="Q333" s="54"/>
    </row>
    <row r="334" spans="7:17">
      <c r="G334" s="54"/>
      <c r="H334" s="54"/>
      <c r="I334" s="54"/>
      <c r="J334" s="54"/>
      <c r="K334" s="54"/>
      <c r="L334" s="54"/>
      <c r="M334" s="54"/>
      <c r="N334" s="54"/>
      <c r="O334" s="54"/>
      <c r="P334" s="54"/>
      <c r="Q334" s="54"/>
    </row>
    <row r="335" spans="7:17">
      <c r="G335" s="54"/>
      <c r="H335" s="54"/>
      <c r="I335" s="54"/>
      <c r="J335" s="54"/>
      <c r="K335" s="54"/>
      <c r="L335" s="54"/>
      <c r="M335" s="54"/>
      <c r="N335" s="54"/>
      <c r="O335" s="54"/>
      <c r="P335" s="54"/>
      <c r="Q335" s="54"/>
    </row>
    <row r="336" spans="7:17">
      <c r="G336" s="54"/>
      <c r="H336" s="54"/>
      <c r="I336" s="54"/>
      <c r="J336" s="54"/>
      <c r="K336" s="54"/>
      <c r="L336" s="54"/>
      <c r="M336" s="54"/>
      <c r="N336" s="54"/>
      <c r="O336" s="54"/>
      <c r="P336" s="54"/>
      <c r="Q336" s="54"/>
    </row>
    <row r="337" spans="7:17">
      <c r="G337" s="54"/>
      <c r="H337" s="54"/>
      <c r="I337" s="54"/>
      <c r="J337" s="54"/>
      <c r="K337" s="54"/>
      <c r="L337" s="54"/>
      <c r="M337" s="54"/>
      <c r="N337" s="54"/>
      <c r="O337" s="54"/>
      <c r="P337" s="54"/>
      <c r="Q337" s="54"/>
    </row>
    <row r="338" spans="7:17">
      <c r="G338" s="54"/>
      <c r="H338" s="54"/>
      <c r="I338" s="54"/>
      <c r="J338" s="54"/>
      <c r="K338" s="54"/>
      <c r="L338" s="54"/>
      <c r="M338" s="54"/>
      <c r="N338" s="54"/>
      <c r="O338" s="54"/>
      <c r="P338" s="54"/>
      <c r="Q338" s="54"/>
    </row>
    <row r="339" spans="7:17">
      <c r="G339" s="54"/>
      <c r="H339" s="54"/>
      <c r="I339" s="54"/>
      <c r="J339" s="54"/>
      <c r="K339" s="54"/>
      <c r="L339" s="54"/>
      <c r="M339" s="54"/>
      <c r="N339" s="54"/>
      <c r="O339" s="54"/>
      <c r="P339" s="54"/>
      <c r="Q339" s="54"/>
    </row>
    <row r="340" spans="7:17">
      <c r="G340" s="54"/>
      <c r="H340" s="54"/>
      <c r="I340" s="54"/>
      <c r="J340" s="54"/>
      <c r="K340" s="54"/>
      <c r="L340" s="54"/>
      <c r="M340" s="54"/>
      <c r="N340" s="54"/>
      <c r="O340" s="54"/>
      <c r="P340" s="54"/>
      <c r="Q340" s="54"/>
    </row>
    <row r="341" spans="7:17">
      <c r="G341" s="54"/>
      <c r="H341" s="54"/>
      <c r="I341" s="54"/>
      <c r="J341" s="54"/>
      <c r="K341" s="54"/>
      <c r="L341" s="54"/>
      <c r="M341" s="54"/>
      <c r="N341" s="54"/>
      <c r="O341" s="54"/>
      <c r="P341" s="54"/>
      <c r="Q341" s="54"/>
    </row>
    <row r="342" spans="7:17">
      <c r="G342" s="54"/>
      <c r="H342" s="54"/>
      <c r="I342" s="54"/>
      <c r="J342" s="54"/>
      <c r="K342" s="54"/>
      <c r="L342" s="54"/>
      <c r="M342" s="54"/>
      <c r="N342" s="54"/>
      <c r="O342" s="54"/>
      <c r="P342" s="54"/>
      <c r="Q342" s="54"/>
    </row>
    <row r="343" spans="7:17">
      <c r="G343" s="54"/>
      <c r="H343" s="54"/>
      <c r="I343" s="54"/>
      <c r="J343" s="54"/>
      <c r="K343" s="54"/>
      <c r="L343" s="54"/>
      <c r="M343" s="54"/>
      <c r="N343" s="54"/>
      <c r="O343" s="54"/>
      <c r="P343" s="54"/>
      <c r="Q343" s="54"/>
    </row>
    <row r="344" spans="7:17">
      <c r="G344" s="54"/>
      <c r="H344" s="54"/>
      <c r="I344" s="54"/>
      <c r="J344" s="54"/>
      <c r="K344" s="54"/>
      <c r="L344" s="54"/>
      <c r="M344" s="54"/>
      <c r="N344" s="54"/>
      <c r="O344" s="54"/>
      <c r="P344" s="54"/>
      <c r="Q344" s="54"/>
    </row>
    <row r="345" spans="7:17">
      <c r="G345" s="54"/>
      <c r="H345" s="54"/>
      <c r="I345" s="54"/>
      <c r="J345" s="54"/>
      <c r="K345" s="54"/>
      <c r="L345" s="54"/>
      <c r="M345" s="54"/>
      <c r="N345" s="54"/>
      <c r="O345" s="54"/>
      <c r="P345" s="54"/>
      <c r="Q345" s="54"/>
    </row>
    <row r="346" spans="7:17">
      <c r="G346" s="54"/>
      <c r="H346" s="54"/>
      <c r="I346" s="54"/>
      <c r="J346" s="54"/>
      <c r="K346" s="54"/>
      <c r="L346" s="54"/>
      <c r="M346" s="54"/>
      <c r="N346" s="54"/>
      <c r="O346" s="54"/>
      <c r="P346" s="54"/>
      <c r="Q346" s="54"/>
    </row>
    <row r="347" spans="7:17">
      <c r="G347" s="54"/>
      <c r="H347" s="54"/>
      <c r="I347" s="54"/>
      <c r="J347" s="54"/>
      <c r="K347" s="54"/>
      <c r="L347" s="54"/>
      <c r="M347" s="54"/>
      <c r="N347" s="54"/>
      <c r="O347" s="54"/>
      <c r="P347" s="54"/>
      <c r="Q347" s="54"/>
    </row>
    <row r="348" spans="7:17">
      <c r="G348" s="54"/>
      <c r="H348" s="54"/>
      <c r="I348" s="54"/>
      <c r="J348" s="54"/>
      <c r="K348" s="54"/>
      <c r="L348" s="54"/>
      <c r="M348" s="54"/>
      <c r="N348" s="54"/>
      <c r="O348" s="54"/>
      <c r="P348" s="54"/>
      <c r="Q348" s="54"/>
    </row>
    <row r="349" spans="7:17">
      <c r="G349" s="54"/>
      <c r="H349" s="54"/>
      <c r="I349" s="54"/>
      <c r="J349" s="54"/>
      <c r="K349" s="54"/>
      <c r="L349" s="54"/>
      <c r="M349" s="54"/>
      <c r="N349" s="54"/>
      <c r="O349" s="54"/>
      <c r="P349" s="54"/>
      <c r="Q349" s="54"/>
    </row>
    <row r="350" spans="7:17">
      <c r="G350" s="54"/>
      <c r="H350" s="54"/>
      <c r="I350" s="54"/>
      <c r="J350" s="54"/>
      <c r="K350" s="54"/>
      <c r="L350" s="54"/>
      <c r="M350" s="54"/>
      <c r="N350" s="54"/>
      <c r="O350" s="54"/>
      <c r="P350" s="54"/>
      <c r="Q350" s="54"/>
    </row>
    <row r="351" spans="7:17">
      <c r="G351" s="54"/>
      <c r="H351" s="54"/>
      <c r="I351" s="54"/>
      <c r="J351" s="54"/>
      <c r="K351" s="54"/>
      <c r="L351" s="54"/>
      <c r="M351" s="54"/>
      <c r="N351" s="54"/>
      <c r="O351" s="54"/>
      <c r="P351" s="54"/>
      <c r="Q351" s="54"/>
    </row>
    <row r="352" spans="7:17">
      <c r="G352" s="54"/>
      <c r="H352" s="54"/>
      <c r="I352" s="54"/>
      <c r="J352" s="54"/>
      <c r="K352" s="54"/>
      <c r="L352" s="54"/>
      <c r="M352" s="54"/>
      <c r="N352" s="54"/>
      <c r="O352" s="54"/>
      <c r="P352" s="54"/>
      <c r="Q352" s="54"/>
    </row>
    <row r="353" spans="7:17">
      <c r="G353" s="54"/>
      <c r="H353" s="54"/>
      <c r="I353" s="54"/>
      <c r="J353" s="54"/>
      <c r="K353" s="54"/>
      <c r="L353" s="54"/>
      <c r="M353" s="54"/>
      <c r="N353" s="54"/>
      <c r="O353" s="54"/>
      <c r="P353" s="54"/>
      <c r="Q353" s="54"/>
    </row>
    <row r="354" spans="7:17">
      <c r="G354" s="54"/>
      <c r="H354" s="54"/>
      <c r="I354" s="54"/>
      <c r="J354" s="54"/>
      <c r="K354" s="54"/>
      <c r="L354" s="54"/>
      <c r="M354" s="54"/>
      <c r="N354" s="54"/>
      <c r="O354" s="54"/>
      <c r="P354" s="54"/>
      <c r="Q354" s="54"/>
    </row>
    <row r="355" spans="7:17">
      <c r="G355" s="54"/>
      <c r="H355" s="54"/>
      <c r="I355" s="54"/>
      <c r="J355" s="54"/>
      <c r="K355" s="54"/>
      <c r="L355" s="54"/>
      <c r="M355" s="54"/>
      <c r="N355" s="54"/>
      <c r="O355" s="54"/>
      <c r="P355" s="54"/>
      <c r="Q355" s="54"/>
    </row>
    <row r="356" spans="7:17">
      <c r="G356" s="54"/>
      <c r="H356" s="54"/>
      <c r="I356" s="54"/>
      <c r="J356" s="54"/>
      <c r="K356" s="54"/>
      <c r="L356" s="54"/>
      <c r="M356" s="54"/>
      <c r="N356" s="54"/>
      <c r="O356" s="54"/>
      <c r="P356" s="54"/>
      <c r="Q356" s="54"/>
    </row>
    <row r="357" spans="7:17">
      <c r="G357" s="54"/>
      <c r="H357" s="54"/>
      <c r="I357" s="54"/>
      <c r="J357" s="54"/>
      <c r="K357" s="54"/>
      <c r="L357" s="54"/>
      <c r="M357" s="54"/>
      <c r="N357" s="54"/>
      <c r="O357" s="54"/>
      <c r="P357" s="54"/>
      <c r="Q357" s="54"/>
    </row>
    <row r="358" spans="7:17">
      <c r="G358" s="54"/>
      <c r="H358" s="54"/>
      <c r="I358" s="54"/>
      <c r="J358" s="54"/>
      <c r="K358" s="54"/>
      <c r="L358" s="54"/>
      <c r="M358" s="54"/>
      <c r="N358" s="54"/>
      <c r="O358" s="54"/>
      <c r="P358" s="54"/>
      <c r="Q358" s="54"/>
    </row>
    <row r="359" spans="7:17">
      <c r="G359" s="54"/>
      <c r="H359" s="54"/>
      <c r="I359" s="54"/>
      <c r="J359" s="54"/>
      <c r="K359" s="54"/>
      <c r="L359" s="54"/>
      <c r="M359" s="54"/>
      <c r="N359" s="54"/>
      <c r="O359" s="54"/>
      <c r="P359" s="54"/>
      <c r="Q359" s="54"/>
    </row>
    <row r="360" spans="7:17">
      <c r="G360" s="54"/>
      <c r="H360" s="54"/>
      <c r="I360" s="54"/>
      <c r="J360" s="54"/>
      <c r="K360" s="54"/>
      <c r="L360" s="54"/>
      <c r="M360" s="54"/>
      <c r="N360" s="54"/>
      <c r="O360" s="54"/>
      <c r="P360" s="54"/>
      <c r="Q360" s="54"/>
    </row>
    <row r="361" spans="7:17">
      <c r="G361" s="54"/>
      <c r="H361" s="54"/>
      <c r="I361" s="54"/>
      <c r="J361" s="54"/>
      <c r="K361" s="54"/>
      <c r="L361" s="54"/>
      <c r="M361" s="54"/>
      <c r="N361" s="54"/>
      <c r="O361" s="54"/>
      <c r="P361" s="54"/>
      <c r="Q361" s="54"/>
    </row>
    <row r="362" spans="7:17">
      <c r="G362" s="54"/>
      <c r="H362" s="54"/>
      <c r="I362" s="54"/>
      <c r="J362" s="54"/>
      <c r="K362" s="54"/>
      <c r="L362" s="54"/>
      <c r="M362" s="54"/>
      <c r="N362" s="54"/>
      <c r="O362" s="54"/>
      <c r="P362" s="54"/>
      <c r="Q362" s="54"/>
    </row>
    <row r="363" spans="7:17">
      <c r="G363" s="54"/>
      <c r="H363" s="54"/>
      <c r="I363" s="54"/>
      <c r="J363" s="54"/>
      <c r="K363" s="54"/>
      <c r="L363" s="54"/>
      <c r="M363" s="54"/>
      <c r="N363" s="54"/>
      <c r="O363" s="54"/>
      <c r="P363" s="54"/>
      <c r="Q363" s="54"/>
    </row>
    <row r="364" spans="7:17">
      <c r="G364" s="54"/>
      <c r="H364" s="54"/>
      <c r="I364" s="54"/>
      <c r="J364" s="54"/>
      <c r="K364" s="54"/>
      <c r="L364" s="54"/>
      <c r="M364" s="54"/>
      <c r="N364" s="54"/>
      <c r="O364" s="54"/>
      <c r="P364" s="54"/>
      <c r="Q364" s="54"/>
    </row>
    <row r="365" spans="7:17">
      <c r="G365" s="54"/>
      <c r="H365" s="54"/>
      <c r="I365" s="54"/>
      <c r="J365" s="54"/>
      <c r="K365" s="54"/>
      <c r="L365" s="54"/>
      <c r="M365" s="54"/>
      <c r="N365" s="54"/>
      <c r="O365" s="54"/>
      <c r="P365" s="54"/>
      <c r="Q365" s="54"/>
    </row>
    <row r="366" spans="7:17">
      <c r="G366" s="54"/>
      <c r="H366" s="54"/>
      <c r="I366" s="54"/>
      <c r="J366" s="54"/>
      <c r="K366" s="54"/>
      <c r="L366" s="54"/>
      <c r="M366" s="54"/>
      <c r="N366" s="54"/>
      <c r="O366" s="54"/>
      <c r="P366" s="54"/>
      <c r="Q366" s="54"/>
    </row>
    <row r="367" spans="7:17">
      <c r="G367" s="54"/>
      <c r="H367" s="54"/>
      <c r="I367" s="54"/>
      <c r="J367" s="54"/>
      <c r="K367" s="54"/>
      <c r="L367" s="54"/>
      <c r="M367" s="54"/>
      <c r="N367" s="54"/>
      <c r="O367" s="54"/>
      <c r="P367" s="54"/>
      <c r="Q367" s="54"/>
    </row>
    <row r="368" spans="7:17">
      <c r="G368" s="54"/>
      <c r="H368" s="54"/>
      <c r="I368" s="54"/>
      <c r="J368" s="54"/>
      <c r="K368" s="54"/>
      <c r="L368" s="54"/>
      <c r="M368" s="54"/>
      <c r="N368" s="54"/>
      <c r="O368" s="54"/>
      <c r="P368" s="54"/>
      <c r="Q368" s="54"/>
    </row>
    <row r="369" spans="7:17">
      <c r="G369" s="54"/>
      <c r="H369" s="54"/>
      <c r="I369" s="54"/>
      <c r="J369" s="54"/>
      <c r="K369" s="54"/>
      <c r="L369" s="54"/>
      <c r="M369" s="54"/>
      <c r="N369" s="54"/>
      <c r="O369" s="54"/>
      <c r="P369" s="54"/>
      <c r="Q369" s="54"/>
    </row>
    <row r="370" spans="7:17">
      <c r="G370" s="54"/>
      <c r="H370" s="54"/>
      <c r="I370" s="54"/>
      <c r="J370" s="54"/>
      <c r="K370" s="54"/>
      <c r="L370" s="54"/>
      <c r="M370" s="54"/>
      <c r="N370" s="54"/>
      <c r="O370" s="54"/>
      <c r="P370" s="54"/>
      <c r="Q370" s="54"/>
    </row>
    <row r="371" spans="7:17">
      <c r="G371" s="54"/>
      <c r="H371" s="54"/>
      <c r="I371" s="54"/>
      <c r="J371" s="54"/>
      <c r="K371" s="54"/>
      <c r="L371" s="54"/>
      <c r="M371" s="54"/>
      <c r="N371" s="54"/>
      <c r="O371" s="54"/>
      <c r="P371" s="54"/>
      <c r="Q371" s="54"/>
    </row>
    <row r="372" spans="7:17">
      <c r="G372" s="54"/>
      <c r="H372" s="54"/>
      <c r="I372" s="54"/>
      <c r="J372" s="54"/>
      <c r="K372" s="54"/>
      <c r="L372" s="54"/>
      <c r="M372" s="54"/>
      <c r="N372" s="54"/>
      <c r="O372" s="54"/>
      <c r="P372" s="54"/>
      <c r="Q372" s="54"/>
    </row>
    <row r="373" spans="7:17">
      <c r="G373" s="54"/>
      <c r="H373" s="54"/>
      <c r="I373" s="54"/>
      <c r="J373" s="54"/>
      <c r="K373" s="54"/>
      <c r="L373" s="54"/>
      <c r="M373" s="54"/>
      <c r="N373" s="54"/>
      <c r="O373" s="54"/>
      <c r="P373" s="54"/>
      <c r="Q373" s="54"/>
    </row>
    <row r="374" spans="7:17">
      <c r="G374" s="54"/>
      <c r="H374" s="54"/>
      <c r="I374" s="54"/>
      <c r="J374" s="54"/>
      <c r="K374" s="54"/>
      <c r="L374" s="54"/>
      <c r="M374" s="54"/>
      <c r="N374" s="54"/>
      <c r="O374" s="54"/>
      <c r="P374" s="54"/>
      <c r="Q374" s="54"/>
    </row>
    <row r="375" spans="7:17">
      <c r="G375" s="54"/>
      <c r="H375" s="54"/>
      <c r="I375" s="54"/>
      <c r="J375" s="54"/>
      <c r="K375" s="54"/>
      <c r="L375" s="54"/>
      <c r="M375" s="54"/>
      <c r="N375" s="54"/>
      <c r="O375" s="54"/>
      <c r="P375" s="54"/>
      <c r="Q375" s="54"/>
    </row>
    <row r="376" spans="7:17">
      <c r="G376" s="54"/>
      <c r="H376" s="54"/>
      <c r="I376" s="54"/>
      <c r="J376" s="54"/>
      <c r="K376" s="54"/>
      <c r="L376" s="54"/>
      <c r="M376" s="54"/>
      <c r="N376" s="54"/>
      <c r="O376" s="54"/>
      <c r="P376" s="54"/>
      <c r="Q376" s="54"/>
    </row>
    <row r="377" spans="7:17">
      <c r="G377" s="54"/>
      <c r="H377" s="54"/>
      <c r="I377" s="54"/>
      <c r="J377" s="54"/>
      <c r="K377" s="54"/>
      <c r="L377" s="54"/>
      <c r="M377" s="54"/>
      <c r="N377" s="54"/>
      <c r="O377" s="54"/>
      <c r="P377" s="54"/>
      <c r="Q377" s="54"/>
    </row>
    <row r="378" spans="7:17">
      <c r="G378" s="54"/>
      <c r="H378" s="54"/>
      <c r="I378" s="54"/>
      <c r="J378" s="54"/>
      <c r="K378" s="54"/>
      <c r="L378" s="54"/>
      <c r="M378" s="54"/>
      <c r="N378" s="54"/>
      <c r="O378" s="54"/>
      <c r="P378" s="54"/>
      <c r="Q378" s="54"/>
    </row>
    <row r="379" spans="7:17">
      <c r="G379" s="54"/>
      <c r="H379" s="54"/>
      <c r="I379" s="54"/>
      <c r="J379" s="54"/>
      <c r="K379" s="54"/>
      <c r="L379" s="54"/>
      <c r="M379" s="54"/>
      <c r="N379" s="54"/>
      <c r="O379" s="54"/>
      <c r="P379" s="54"/>
      <c r="Q379" s="54"/>
    </row>
    <row r="380" spans="7:17">
      <c r="G380" s="54"/>
      <c r="H380" s="54"/>
      <c r="I380" s="54"/>
      <c r="J380" s="54"/>
      <c r="K380" s="54"/>
      <c r="L380" s="54"/>
      <c r="M380" s="54"/>
      <c r="N380" s="54"/>
      <c r="O380" s="54"/>
      <c r="P380" s="54"/>
      <c r="Q380" s="54"/>
    </row>
    <row r="381" spans="7:17">
      <c r="G381" s="54"/>
      <c r="H381" s="54"/>
      <c r="I381" s="54"/>
      <c r="J381" s="54"/>
      <c r="K381" s="54"/>
      <c r="L381" s="54"/>
      <c r="M381" s="54"/>
      <c r="N381" s="54"/>
      <c r="O381" s="54"/>
      <c r="P381" s="54"/>
      <c r="Q381" s="54"/>
    </row>
    <row r="382" spans="7:17">
      <c r="G382" s="54"/>
      <c r="H382" s="54"/>
      <c r="I382" s="54"/>
      <c r="J382" s="54"/>
      <c r="K382" s="54"/>
      <c r="L382" s="54"/>
      <c r="M382" s="54"/>
      <c r="N382" s="54"/>
      <c r="O382" s="54"/>
      <c r="P382" s="54"/>
      <c r="Q382" s="54"/>
    </row>
    <row r="383" spans="7:17">
      <c r="G383" s="54"/>
      <c r="H383" s="54"/>
      <c r="I383" s="54"/>
      <c r="J383" s="54"/>
      <c r="K383" s="54"/>
      <c r="L383" s="54"/>
      <c r="M383" s="54"/>
      <c r="N383" s="54"/>
      <c r="O383" s="54"/>
      <c r="P383" s="54"/>
      <c r="Q383" s="54"/>
    </row>
    <row r="384" spans="7:17">
      <c r="G384" s="54"/>
      <c r="H384" s="54"/>
      <c r="I384" s="54"/>
      <c r="J384" s="54"/>
      <c r="K384" s="54"/>
      <c r="L384" s="54"/>
      <c r="M384" s="54"/>
      <c r="N384" s="54"/>
      <c r="O384" s="54"/>
      <c r="P384" s="54"/>
      <c r="Q384" s="54"/>
    </row>
    <row r="385" spans="7:17">
      <c r="G385" s="54"/>
      <c r="H385" s="54"/>
      <c r="I385" s="54"/>
      <c r="J385" s="54"/>
      <c r="K385" s="54"/>
      <c r="L385" s="54"/>
      <c r="M385" s="54"/>
      <c r="N385" s="54"/>
      <c r="O385" s="54"/>
      <c r="P385" s="54"/>
      <c r="Q385" s="54"/>
    </row>
    <row r="386" spans="7:17">
      <c r="G386" s="54"/>
      <c r="H386" s="54"/>
      <c r="I386" s="54"/>
      <c r="J386" s="54"/>
      <c r="K386" s="54"/>
      <c r="L386" s="54"/>
      <c r="M386" s="54"/>
      <c r="N386" s="54"/>
      <c r="O386" s="54"/>
      <c r="P386" s="54"/>
      <c r="Q386" s="54"/>
    </row>
    <row r="387" spans="7:17">
      <c r="G387" s="54"/>
      <c r="H387" s="54"/>
      <c r="I387" s="54"/>
      <c r="J387" s="54"/>
      <c r="K387" s="54"/>
      <c r="L387" s="54"/>
      <c r="M387" s="54"/>
      <c r="N387" s="54"/>
      <c r="O387" s="54"/>
      <c r="P387" s="54"/>
      <c r="Q387" s="54"/>
    </row>
    <row r="388" spans="7:17">
      <c r="G388" s="54"/>
      <c r="H388" s="54"/>
      <c r="I388" s="54"/>
      <c r="J388" s="54"/>
      <c r="K388" s="54"/>
      <c r="L388" s="54"/>
      <c r="M388" s="54"/>
      <c r="N388" s="54"/>
      <c r="O388" s="54"/>
      <c r="P388" s="54"/>
      <c r="Q388" s="54"/>
    </row>
    <row r="389" spans="7:17">
      <c r="G389" s="54"/>
      <c r="H389" s="54"/>
      <c r="I389" s="54"/>
      <c r="J389" s="54"/>
      <c r="K389" s="54"/>
      <c r="L389" s="54"/>
      <c r="M389" s="54"/>
      <c r="N389" s="54"/>
      <c r="O389" s="54"/>
      <c r="P389" s="54"/>
      <c r="Q389" s="54"/>
    </row>
    <row r="390" spans="7:17">
      <c r="G390" s="54"/>
      <c r="H390" s="54"/>
      <c r="I390" s="54"/>
      <c r="J390" s="54"/>
      <c r="K390" s="54"/>
      <c r="L390" s="54"/>
      <c r="M390" s="54"/>
      <c r="N390" s="54"/>
      <c r="O390" s="54"/>
      <c r="P390" s="54"/>
      <c r="Q390" s="54"/>
    </row>
    <row r="391" spans="7:17">
      <c r="G391" s="54"/>
      <c r="H391" s="54"/>
      <c r="I391" s="54"/>
      <c r="J391" s="54"/>
      <c r="K391" s="54"/>
      <c r="L391" s="54"/>
      <c r="M391" s="54"/>
      <c r="N391" s="54"/>
      <c r="O391" s="54"/>
      <c r="P391" s="54"/>
      <c r="Q391" s="54"/>
    </row>
    <row r="392" spans="7:17">
      <c r="G392" s="54"/>
      <c r="H392" s="54"/>
      <c r="I392" s="54"/>
      <c r="J392" s="54"/>
      <c r="K392" s="54"/>
      <c r="L392" s="54"/>
      <c r="M392" s="54"/>
      <c r="N392" s="54"/>
      <c r="O392" s="54"/>
      <c r="P392" s="54"/>
      <c r="Q392" s="54"/>
    </row>
    <row r="393" spans="7:17">
      <c r="G393" s="54"/>
      <c r="H393" s="54"/>
      <c r="I393" s="54"/>
      <c r="J393" s="54"/>
      <c r="K393" s="54"/>
      <c r="L393" s="54"/>
      <c r="M393" s="54"/>
      <c r="N393" s="54"/>
      <c r="O393" s="54"/>
      <c r="P393" s="54"/>
      <c r="Q393" s="54"/>
    </row>
    <row r="394" spans="7:17">
      <c r="G394" s="54"/>
      <c r="H394" s="54"/>
      <c r="I394" s="54"/>
      <c r="J394" s="54"/>
      <c r="K394" s="54"/>
      <c r="L394" s="54"/>
      <c r="M394" s="54"/>
      <c r="N394" s="54"/>
      <c r="O394" s="54"/>
      <c r="P394" s="54"/>
      <c r="Q394" s="54"/>
    </row>
    <row r="395" spans="7:17">
      <c r="G395" s="54"/>
      <c r="H395" s="54"/>
      <c r="I395" s="54"/>
      <c r="J395" s="54"/>
      <c r="K395" s="54"/>
      <c r="L395" s="54"/>
      <c r="M395" s="54"/>
      <c r="N395" s="54"/>
      <c r="O395" s="54"/>
      <c r="P395" s="54"/>
      <c r="Q395" s="54"/>
    </row>
    <row r="396" spans="7:17">
      <c r="G396" s="54"/>
      <c r="H396" s="54"/>
      <c r="I396" s="54"/>
      <c r="J396" s="54"/>
      <c r="K396" s="54"/>
      <c r="L396" s="54"/>
      <c r="M396" s="54"/>
      <c r="N396" s="54"/>
      <c r="O396" s="54"/>
      <c r="P396" s="54"/>
      <c r="Q396" s="54"/>
    </row>
    <row r="397" spans="7:17">
      <c r="G397" s="54"/>
      <c r="H397" s="54"/>
      <c r="I397" s="54"/>
      <c r="J397" s="54"/>
      <c r="K397" s="54"/>
      <c r="L397" s="54"/>
      <c r="M397" s="54"/>
      <c r="N397" s="54"/>
      <c r="O397" s="54"/>
      <c r="P397" s="54"/>
      <c r="Q397" s="54"/>
    </row>
    <row r="398" spans="7:17">
      <c r="G398" s="54"/>
      <c r="H398" s="54"/>
      <c r="I398" s="54"/>
      <c r="J398" s="54"/>
      <c r="K398" s="54"/>
      <c r="L398" s="54"/>
      <c r="M398" s="54"/>
      <c r="N398" s="54"/>
      <c r="O398" s="54"/>
      <c r="P398" s="54"/>
      <c r="Q398" s="54"/>
    </row>
    <row r="399" spans="7:17">
      <c r="G399" s="54"/>
      <c r="H399" s="54"/>
      <c r="I399" s="54"/>
      <c r="J399" s="54"/>
      <c r="K399" s="54"/>
      <c r="L399" s="54"/>
      <c r="M399" s="54"/>
      <c r="N399" s="54"/>
      <c r="O399" s="54"/>
      <c r="P399" s="54"/>
      <c r="Q399" s="54"/>
    </row>
    <row r="400" spans="7:17">
      <c r="G400" s="54"/>
      <c r="H400" s="54"/>
      <c r="I400" s="54"/>
      <c r="J400" s="54"/>
      <c r="K400" s="54"/>
      <c r="L400" s="54"/>
      <c r="M400" s="54"/>
      <c r="N400" s="54"/>
      <c r="O400" s="54"/>
      <c r="P400" s="54"/>
      <c r="Q400" s="54"/>
    </row>
    <row r="401" spans="7:17">
      <c r="G401" s="54"/>
      <c r="H401" s="54"/>
      <c r="I401" s="54"/>
      <c r="J401" s="54"/>
      <c r="K401" s="54"/>
      <c r="L401" s="54"/>
      <c r="M401" s="54"/>
      <c r="N401" s="54"/>
      <c r="O401" s="54"/>
      <c r="P401" s="54"/>
      <c r="Q401" s="54"/>
    </row>
    <row r="402" spans="7:17">
      <c r="G402" s="54"/>
      <c r="H402" s="54"/>
      <c r="I402" s="54"/>
      <c r="J402" s="54"/>
      <c r="K402" s="54"/>
      <c r="L402" s="54"/>
      <c r="M402" s="54"/>
      <c r="N402" s="54"/>
      <c r="O402" s="54"/>
      <c r="P402" s="54"/>
      <c r="Q402" s="54"/>
    </row>
    <row r="403" spans="7:17">
      <c r="G403" s="54"/>
      <c r="H403" s="54"/>
      <c r="I403" s="54"/>
      <c r="J403" s="54"/>
      <c r="K403" s="54"/>
      <c r="L403" s="54"/>
      <c r="M403" s="54"/>
      <c r="N403" s="54"/>
      <c r="O403" s="54"/>
      <c r="P403" s="54"/>
      <c r="Q403" s="54"/>
    </row>
    <row r="404" spans="7:17">
      <c r="G404" s="54"/>
      <c r="H404" s="54"/>
      <c r="I404" s="54"/>
      <c r="J404" s="54"/>
      <c r="K404" s="54"/>
      <c r="L404" s="54"/>
      <c r="M404" s="54"/>
      <c r="N404" s="54"/>
      <c r="O404" s="54"/>
      <c r="P404" s="54"/>
      <c r="Q404" s="54"/>
    </row>
    <row r="405" spans="7:17">
      <c r="G405" s="54"/>
      <c r="H405" s="54"/>
      <c r="I405" s="54"/>
      <c r="J405" s="54"/>
      <c r="K405" s="54"/>
      <c r="L405" s="54"/>
      <c r="M405" s="54"/>
      <c r="N405" s="54"/>
      <c r="O405" s="54"/>
      <c r="P405" s="54"/>
      <c r="Q405" s="54"/>
    </row>
    <row r="406" spans="7:17">
      <c r="G406" s="54"/>
      <c r="H406" s="54"/>
      <c r="I406" s="54"/>
      <c r="J406" s="54"/>
      <c r="K406" s="54"/>
      <c r="L406" s="54"/>
      <c r="M406" s="54"/>
      <c r="N406" s="54"/>
      <c r="O406" s="54"/>
      <c r="P406" s="54"/>
      <c r="Q406" s="54"/>
    </row>
    <row r="407" spans="7:17">
      <c r="G407" s="54"/>
      <c r="H407" s="54"/>
      <c r="I407" s="54"/>
      <c r="J407" s="54"/>
      <c r="K407" s="54"/>
      <c r="L407" s="54"/>
      <c r="M407" s="54"/>
      <c r="N407" s="54"/>
      <c r="O407" s="54"/>
      <c r="P407" s="54"/>
      <c r="Q407" s="54"/>
    </row>
    <row r="408" spans="7:17">
      <c r="G408" s="54"/>
      <c r="H408" s="54"/>
      <c r="I408" s="54"/>
      <c r="J408" s="54"/>
      <c r="K408" s="54"/>
      <c r="L408" s="54"/>
      <c r="M408" s="54"/>
      <c r="N408" s="54"/>
      <c r="O408" s="54"/>
      <c r="P408" s="54"/>
      <c r="Q408" s="54"/>
    </row>
    <row r="409" spans="7:17">
      <c r="G409" s="54"/>
      <c r="H409" s="54"/>
      <c r="I409" s="54"/>
      <c r="J409" s="54"/>
      <c r="K409" s="54"/>
      <c r="L409" s="54"/>
      <c r="M409" s="54"/>
      <c r="N409" s="54"/>
      <c r="O409" s="54"/>
      <c r="P409" s="54"/>
      <c r="Q409" s="54"/>
    </row>
    <row r="410" spans="7:17">
      <c r="G410" s="54"/>
      <c r="H410" s="54"/>
      <c r="I410" s="54"/>
      <c r="J410" s="54"/>
      <c r="K410" s="54"/>
      <c r="L410" s="54"/>
      <c r="M410" s="54"/>
      <c r="N410" s="54"/>
      <c r="O410" s="54"/>
      <c r="P410" s="54"/>
      <c r="Q410" s="54"/>
    </row>
    <row r="411" spans="7:17">
      <c r="G411" s="54"/>
      <c r="H411" s="54"/>
      <c r="I411" s="54"/>
      <c r="J411" s="54"/>
      <c r="K411" s="54"/>
      <c r="L411" s="54"/>
      <c r="M411" s="54"/>
      <c r="N411" s="54"/>
      <c r="O411" s="54"/>
      <c r="P411" s="54"/>
      <c r="Q411" s="54"/>
    </row>
    <row r="412" spans="7:17">
      <c r="G412" s="54"/>
      <c r="H412" s="54"/>
      <c r="I412" s="54"/>
      <c r="J412" s="54"/>
      <c r="K412" s="54"/>
      <c r="L412" s="54"/>
      <c r="M412" s="54"/>
      <c r="N412" s="54"/>
      <c r="O412" s="54"/>
      <c r="P412" s="54"/>
      <c r="Q412" s="54"/>
    </row>
    <row r="413" spans="7:17">
      <c r="G413" s="54"/>
      <c r="H413" s="54"/>
      <c r="I413" s="54"/>
      <c r="J413" s="54"/>
      <c r="K413" s="54"/>
      <c r="L413" s="54"/>
      <c r="M413" s="54"/>
      <c r="N413" s="54"/>
      <c r="O413" s="54"/>
      <c r="P413" s="54"/>
      <c r="Q413" s="54"/>
    </row>
    <row r="414" spans="7:17">
      <c r="G414" s="54"/>
      <c r="H414" s="54"/>
      <c r="I414" s="54"/>
      <c r="J414" s="54"/>
      <c r="K414" s="54"/>
      <c r="L414" s="54"/>
      <c r="M414" s="54"/>
      <c r="N414" s="54"/>
      <c r="O414" s="54"/>
      <c r="P414" s="54"/>
      <c r="Q414" s="54"/>
    </row>
    <row r="415" spans="7:17">
      <c r="G415" s="54"/>
      <c r="H415" s="54"/>
      <c r="I415" s="54"/>
      <c r="J415" s="54"/>
      <c r="K415" s="54"/>
      <c r="L415" s="54"/>
      <c r="M415" s="54"/>
      <c r="N415" s="54"/>
      <c r="O415" s="54"/>
      <c r="P415" s="54"/>
      <c r="Q415" s="54"/>
    </row>
    <row r="416" spans="7:17">
      <c r="G416" s="54"/>
      <c r="H416" s="54"/>
      <c r="I416" s="54"/>
      <c r="J416" s="54"/>
      <c r="K416" s="54"/>
      <c r="L416" s="54"/>
      <c r="M416" s="54"/>
      <c r="N416" s="54"/>
      <c r="O416" s="54"/>
      <c r="P416" s="54"/>
      <c r="Q416" s="54"/>
    </row>
    <row r="417" spans="7:17">
      <c r="G417" s="54"/>
      <c r="H417" s="54"/>
      <c r="I417" s="54"/>
      <c r="J417" s="54"/>
      <c r="K417" s="54"/>
      <c r="L417" s="54"/>
      <c r="M417" s="54"/>
      <c r="N417" s="54"/>
      <c r="O417" s="54"/>
      <c r="P417" s="54"/>
      <c r="Q417" s="54"/>
    </row>
    <row r="418" spans="7:17">
      <c r="G418" s="54"/>
      <c r="H418" s="54"/>
      <c r="I418" s="54"/>
      <c r="J418" s="54"/>
      <c r="K418" s="54"/>
      <c r="L418" s="54"/>
      <c r="M418" s="54"/>
      <c r="N418" s="54"/>
      <c r="O418" s="54"/>
      <c r="P418" s="54"/>
      <c r="Q418" s="54"/>
    </row>
    <row r="419" spans="7:17">
      <c r="G419" s="54"/>
      <c r="H419" s="54"/>
      <c r="I419" s="54"/>
      <c r="J419" s="54"/>
      <c r="K419" s="54"/>
      <c r="L419" s="54"/>
      <c r="M419" s="54"/>
      <c r="N419" s="54"/>
      <c r="O419" s="54"/>
      <c r="P419" s="54"/>
      <c r="Q419" s="54"/>
    </row>
    <row r="420" spans="7:17">
      <c r="G420" s="54"/>
      <c r="H420" s="54"/>
      <c r="I420" s="54"/>
      <c r="J420" s="54"/>
      <c r="K420" s="54"/>
      <c r="L420" s="54"/>
      <c r="M420" s="54"/>
      <c r="N420" s="54"/>
      <c r="O420" s="54"/>
      <c r="P420" s="54"/>
      <c r="Q420" s="54"/>
    </row>
    <row r="421" spans="7:17">
      <c r="G421" s="54"/>
      <c r="H421" s="54"/>
      <c r="I421" s="54"/>
      <c r="J421" s="54"/>
      <c r="K421" s="54"/>
      <c r="L421" s="54"/>
      <c r="M421" s="54"/>
      <c r="N421" s="54"/>
      <c r="O421" s="54"/>
      <c r="P421" s="54"/>
      <c r="Q421" s="54"/>
    </row>
    <row r="422" spans="7:17">
      <c r="G422" s="54"/>
      <c r="H422" s="54"/>
      <c r="I422" s="54"/>
      <c r="J422" s="54"/>
      <c r="K422" s="54"/>
      <c r="L422" s="54"/>
      <c r="M422" s="54"/>
      <c r="N422" s="54"/>
      <c r="O422" s="54"/>
      <c r="P422" s="54"/>
      <c r="Q422" s="54"/>
    </row>
    <row r="423" spans="7:17">
      <c r="G423" s="54"/>
      <c r="H423" s="54"/>
      <c r="I423" s="54"/>
      <c r="J423" s="54"/>
      <c r="K423" s="54"/>
      <c r="L423" s="54"/>
      <c r="M423" s="54"/>
      <c r="N423" s="54"/>
      <c r="O423" s="54"/>
      <c r="P423" s="54"/>
      <c r="Q423" s="54"/>
    </row>
    <row r="424" spans="7:17">
      <c r="G424" s="54"/>
      <c r="H424" s="54"/>
      <c r="I424" s="54"/>
      <c r="J424" s="54"/>
      <c r="K424" s="54"/>
      <c r="L424" s="54"/>
      <c r="M424" s="54"/>
      <c r="N424" s="54"/>
      <c r="O424" s="54"/>
      <c r="P424" s="54"/>
      <c r="Q424" s="54"/>
    </row>
    <row r="425" spans="7:17">
      <c r="G425" s="54"/>
      <c r="H425" s="54"/>
      <c r="I425" s="54"/>
      <c r="J425" s="54"/>
      <c r="K425" s="54"/>
      <c r="L425" s="54"/>
      <c r="M425" s="54"/>
      <c r="N425" s="54"/>
      <c r="O425" s="54"/>
      <c r="P425" s="54"/>
      <c r="Q425" s="54"/>
    </row>
    <row r="426" spans="7:17">
      <c r="G426" s="54"/>
      <c r="H426" s="54"/>
      <c r="I426" s="54"/>
      <c r="J426" s="54"/>
      <c r="K426" s="54"/>
      <c r="L426" s="54"/>
      <c r="M426" s="54"/>
      <c r="N426" s="54"/>
      <c r="O426" s="54"/>
      <c r="P426" s="54"/>
      <c r="Q426" s="54"/>
    </row>
    <row r="427" spans="7:17">
      <c r="G427" s="54"/>
      <c r="H427" s="54"/>
      <c r="I427" s="54"/>
      <c r="J427" s="54"/>
      <c r="K427" s="54"/>
      <c r="L427" s="54"/>
      <c r="M427" s="54"/>
      <c r="N427" s="54"/>
      <c r="O427" s="54"/>
      <c r="P427" s="54"/>
      <c r="Q427" s="54"/>
    </row>
    <row r="428" spans="7:17">
      <c r="G428" s="54"/>
      <c r="H428" s="54"/>
      <c r="I428" s="54"/>
      <c r="J428" s="54"/>
      <c r="K428" s="54"/>
      <c r="L428" s="54"/>
      <c r="M428" s="54"/>
      <c r="N428" s="54"/>
      <c r="O428" s="54"/>
      <c r="P428" s="54"/>
      <c r="Q428" s="54"/>
    </row>
    <row r="429" spans="7:17">
      <c r="G429" s="54"/>
      <c r="H429" s="54"/>
      <c r="I429" s="54"/>
      <c r="J429" s="54"/>
      <c r="K429" s="54"/>
      <c r="L429" s="54"/>
      <c r="M429" s="54"/>
      <c r="N429" s="54"/>
      <c r="O429" s="54"/>
      <c r="P429" s="54"/>
      <c r="Q429" s="54"/>
    </row>
    <row r="430" spans="7:17">
      <c r="G430" s="54"/>
      <c r="H430" s="54"/>
      <c r="I430" s="54"/>
      <c r="J430" s="54"/>
      <c r="K430" s="54"/>
      <c r="L430" s="54"/>
      <c r="M430" s="54"/>
      <c r="N430" s="54"/>
      <c r="O430" s="54"/>
      <c r="P430" s="54"/>
      <c r="Q430" s="54"/>
    </row>
    <row r="431" spans="7:17">
      <c r="G431" s="54"/>
      <c r="H431" s="54"/>
      <c r="I431" s="54"/>
      <c r="J431" s="54"/>
      <c r="K431" s="54"/>
      <c r="L431" s="54"/>
      <c r="M431" s="54"/>
      <c r="N431" s="54"/>
      <c r="O431" s="54"/>
      <c r="P431" s="54"/>
      <c r="Q431" s="54"/>
    </row>
    <row r="432" spans="7:17">
      <c r="G432" s="54"/>
      <c r="H432" s="54"/>
      <c r="I432" s="54"/>
      <c r="J432" s="54"/>
      <c r="K432" s="54"/>
      <c r="L432" s="54"/>
      <c r="M432" s="54"/>
      <c r="N432" s="54"/>
      <c r="O432" s="54"/>
      <c r="P432" s="54"/>
      <c r="Q432" s="54"/>
    </row>
    <row r="433" spans="7:17">
      <c r="G433" s="54"/>
      <c r="H433" s="54"/>
      <c r="I433" s="54"/>
      <c r="J433" s="54"/>
      <c r="K433" s="54"/>
      <c r="L433" s="54"/>
      <c r="M433" s="54"/>
      <c r="N433" s="54"/>
      <c r="O433" s="54"/>
      <c r="P433" s="54"/>
      <c r="Q433" s="54"/>
    </row>
    <row r="434" spans="7:17">
      <c r="G434" s="54"/>
      <c r="H434" s="54"/>
      <c r="I434" s="54"/>
      <c r="J434" s="54"/>
      <c r="K434" s="54"/>
      <c r="L434" s="54"/>
      <c r="M434" s="54"/>
      <c r="N434" s="54"/>
      <c r="O434" s="54"/>
      <c r="P434" s="54"/>
      <c r="Q434" s="54"/>
    </row>
    <row r="435" spans="7:17">
      <c r="G435" s="54"/>
      <c r="H435" s="54"/>
      <c r="I435" s="54"/>
      <c r="J435" s="54"/>
      <c r="K435" s="54"/>
      <c r="L435" s="54"/>
      <c r="M435" s="54"/>
      <c r="N435" s="54"/>
      <c r="O435" s="54"/>
      <c r="P435" s="54"/>
      <c r="Q435" s="54"/>
    </row>
    <row r="436" spans="7:17">
      <c r="G436" s="54"/>
      <c r="H436" s="54"/>
      <c r="I436" s="54"/>
      <c r="J436" s="54"/>
      <c r="K436" s="54"/>
      <c r="L436" s="54"/>
      <c r="M436" s="54"/>
      <c r="N436" s="54"/>
      <c r="O436" s="54"/>
      <c r="P436" s="54"/>
      <c r="Q436" s="54"/>
    </row>
    <row r="437" spans="7:17">
      <c r="G437" s="54"/>
      <c r="H437" s="54"/>
      <c r="I437" s="54"/>
      <c r="J437" s="54"/>
      <c r="K437" s="54"/>
      <c r="L437" s="54"/>
      <c r="M437" s="54"/>
      <c r="N437" s="54"/>
      <c r="O437" s="54"/>
      <c r="P437" s="54"/>
      <c r="Q437" s="54"/>
    </row>
    <row r="438" spans="7:17">
      <c r="G438" s="54"/>
      <c r="H438" s="54"/>
      <c r="I438" s="54"/>
      <c r="J438" s="54"/>
      <c r="K438" s="54"/>
      <c r="L438" s="54"/>
      <c r="M438" s="54"/>
      <c r="N438" s="54"/>
      <c r="O438" s="54"/>
      <c r="P438" s="54"/>
      <c r="Q438" s="54"/>
    </row>
    <row r="439" spans="7:17">
      <c r="G439" s="54"/>
      <c r="H439" s="54"/>
      <c r="I439" s="54"/>
      <c r="J439" s="54"/>
      <c r="K439" s="54"/>
      <c r="L439" s="54"/>
      <c r="M439" s="54"/>
      <c r="N439" s="54"/>
      <c r="O439" s="54"/>
      <c r="P439" s="54"/>
      <c r="Q439" s="54"/>
    </row>
    <row r="440" spans="7:17">
      <c r="G440" s="54"/>
      <c r="H440" s="54"/>
      <c r="I440" s="54"/>
      <c r="J440" s="54"/>
      <c r="K440" s="54"/>
      <c r="L440" s="54"/>
      <c r="M440" s="54"/>
      <c r="N440" s="54"/>
      <c r="O440" s="54"/>
      <c r="P440" s="54"/>
      <c r="Q440" s="54"/>
    </row>
    <row r="441" spans="7:17">
      <c r="G441" s="54"/>
      <c r="H441" s="54"/>
      <c r="I441" s="54"/>
      <c r="J441" s="54"/>
      <c r="K441" s="54"/>
      <c r="L441" s="54"/>
      <c r="M441" s="54"/>
      <c r="N441" s="54"/>
      <c r="O441" s="54"/>
      <c r="P441" s="54"/>
      <c r="Q441" s="54"/>
    </row>
    <row r="442" spans="7:17">
      <c r="G442" s="54"/>
      <c r="H442" s="54"/>
      <c r="I442" s="54"/>
      <c r="J442" s="54"/>
      <c r="K442" s="54"/>
      <c r="L442" s="54"/>
      <c r="M442" s="54"/>
      <c r="N442" s="54"/>
      <c r="O442" s="54"/>
      <c r="P442" s="54"/>
      <c r="Q442" s="54"/>
    </row>
    <row r="443" spans="7:17">
      <c r="G443" s="54"/>
      <c r="H443" s="54"/>
      <c r="I443" s="54"/>
      <c r="J443" s="54"/>
      <c r="K443" s="54"/>
      <c r="L443" s="54"/>
      <c r="M443" s="54"/>
      <c r="N443" s="54"/>
      <c r="O443" s="54"/>
      <c r="P443" s="54"/>
      <c r="Q443" s="54"/>
    </row>
    <row r="444" spans="7:17">
      <c r="G444" s="54"/>
      <c r="H444" s="54"/>
      <c r="I444" s="54"/>
      <c r="J444" s="54"/>
      <c r="K444" s="54"/>
      <c r="L444" s="54"/>
      <c r="M444" s="54"/>
      <c r="N444" s="54"/>
      <c r="O444" s="54"/>
      <c r="P444" s="54"/>
      <c r="Q444" s="54"/>
    </row>
    <row r="445" spans="7:17">
      <c r="G445" s="54"/>
      <c r="H445" s="54"/>
      <c r="I445" s="54"/>
      <c r="J445" s="54"/>
      <c r="K445" s="54"/>
      <c r="L445" s="54"/>
      <c r="M445" s="54"/>
      <c r="N445" s="54"/>
      <c r="O445" s="54"/>
      <c r="P445" s="54"/>
      <c r="Q445" s="54"/>
    </row>
    <row r="446" spans="7:17">
      <c r="G446" s="54"/>
      <c r="H446" s="54"/>
      <c r="I446" s="54"/>
      <c r="J446" s="54"/>
      <c r="K446" s="54"/>
      <c r="L446" s="54"/>
      <c r="M446" s="54"/>
      <c r="N446" s="54"/>
      <c r="O446" s="54"/>
      <c r="P446" s="54"/>
      <c r="Q446" s="54"/>
    </row>
    <row r="447" spans="7:17">
      <c r="G447" s="54"/>
      <c r="H447" s="54"/>
      <c r="I447" s="54"/>
      <c r="J447" s="54"/>
      <c r="K447" s="54"/>
      <c r="L447" s="54"/>
      <c r="M447" s="54"/>
      <c r="N447" s="54"/>
      <c r="O447" s="54"/>
      <c r="P447" s="54"/>
      <c r="Q447" s="54"/>
    </row>
    <row r="448" spans="7:17">
      <c r="G448" s="54"/>
      <c r="H448" s="54"/>
      <c r="I448" s="54"/>
      <c r="J448" s="54"/>
      <c r="K448" s="54"/>
      <c r="L448" s="54"/>
      <c r="M448" s="54"/>
      <c r="N448" s="54"/>
      <c r="O448" s="54"/>
      <c r="P448" s="54"/>
      <c r="Q448" s="54"/>
    </row>
    <row r="449" spans="7:17">
      <c r="G449" s="54"/>
      <c r="H449" s="54"/>
      <c r="I449" s="54"/>
      <c r="J449" s="54"/>
      <c r="K449" s="54"/>
      <c r="L449" s="54"/>
      <c r="M449" s="54"/>
      <c r="N449" s="54"/>
      <c r="O449" s="54"/>
      <c r="P449" s="54"/>
      <c r="Q449" s="54"/>
    </row>
    <row r="450" spans="7:17">
      <c r="G450" s="54"/>
      <c r="H450" s="54"/>
      <c r="I450" s="54"/>
      <c r="J450" s="54"/>
      <c r="K450" s="54"/>
      <c r="L450" s="54"/>
      <c r="M450" s="54"/>
      <c r="N450" s="54"/>
      <c r="O450" s="54"/>
      <c r="P450" s="54"/>
      <c r="Q450" s="54"/>
    </row>
    <row r="451" spans="7:17">
      <c r="G451" s="54"/>
      <c r="H451" s="54"/>
      <c r="I451" s="54"/>
      <c r="J451" s="54"/>
      <c r="K451" s="54"/>
      <c r="L451" s="54"/>
      <c r="M451" s="54"/>
      <c r="N451" s="54"/>
      <c r="O451" s="54"/>
      <c r="P451" s="54"/>
      <c r="Q451" s="54"/>
    </row>
    <row r="452" spans="7:17">
      <c r="G452" s="54"/>
      <c r="H452" s="54"/>
      <c r="I452" s="54"/>
      <c r="J452" s="54"/>
      <c r="K452" s="54"/>
      <c r="L452" s="54"/>
      <c r="M452" s="54"/>
      <c r="N452" s="54"/>
      <c r="O452" s="54"/>
      <c r="P452" s="54"/>
      <c r="Q452" s="54"/>
    </row>
    <row r="453" spans="7:17">
      <c r="G453" s="54"/>
      <c r="H453" s="54"/>
      <c r="I453" s="54"/>
      <c r="J453" s="54"/>
      <c r="K453" s="54"/>
      <c r="L453" s="54"/>
      <c r="M453" s="54"/>
      <c r="N453" s="54"/>
      <c r="O453" s="54"/>
      <c r="P453" s="54"/>
      <c r="Q453" s="54"/>
    </row>
    <row r="454" spans="7:17">
      <c r="G454" s="54"/>
      <c r="H454" s="54"/>
      <c r="I454" s="54"/>
      <c r="J454" s="54"/>
      <c r="K454" s="54"/>
      <c r="L454" s="54"/>
      <c r="M454" s="54"/>
      <c r="N454" s="54"/>
      <c r="O454" s="54"/>
      <c r="P454" s="54"/>
      <c r="Q454" s="54"/>
    </row>
    <row r="455" spans="7:17">
      <c r="G455" s="54"/>
      <c r="H455" s="54"/>
      <c r="I455" s="54"/>
      <c r="J455" s="54"/>
      <c r="K455" s="54"/>
      <c r="L455" s="54"/>
      <c r="M455" s="54"/>
      <c r="N455" s="54"/>
      <c r="O455" s="54"/>
      <c r="P455" s="54"/>
      <c r="Q455" s="54"/>
    </row>
    <row r="456" spans="7:17">
      <c r="G456" s="54"/>
      <c r="H456" s="54"/>
      <c r="I456" s="54"/>
      <c r="J456" s="54"/>
      <c r="K456" s="54"/>
      <c r="L456" s="54"/>
      <c r="M456" s="54"/>
      <c r="N456" s="54"/>
      <c r="O456" s="54"/>
      <c r="P456" s="54"/>
      <c r="Q456" s="54"/>
    </row>
    <row r="457" spans="7:17">
      <c r="G457" s="54"/>
      <c r="H457" s="54"/>
      <c r="I457" s="54"/>
      <c r="J457" s="54"/>
      <c r="K457" s="54"/>
      <c r="L457" s="54"/>
      <c r="M457" s="54"/>
      <c r="N457" s="54"/>
      <c r="O457" s="54"/>
      <c r="P457" s="54"/>
      <c r="Q457" s="54"/>
    </row>
    <row r="458" spans="7:17">
      <c r="G458" s="54"/>
      <c r="H458" s="54"/>
      <c r="I458" s="54"/>
      <c r="J458" s="54"/>
      <c r="K458" s="54"/>
      <c r="L458" s="54"/>
      <c r="M458" s="54"/>
      <c r="N458" s="54"/>
      <c r="O458" s="54"/>
      <c r="P458" s="54"/>
      <c r="Q458" s="54"/>
    </row>
    <row r="459" spans="7:17">
      <c r="G459" s="54"/>
      <c r="H459" s="54"/>
      <c r="I459" s="54"/>
      <c r="J459" s="54"/>
      <c r="K459" s="54"/>
      <c r="L459" s="54"/>
      <c r="M459" s="54"/>
      <c r="N459" s="54"/>
      <c r="O459" s="54"/>
      <c r="P459" s="54"/>
      <c r="Q459" s="54"/>
    </row>
    <row r="460" spans="7:17">
      <c r="G460" s="54"/>
      <c r="H460" s="54"/>
      <c r="I460" s="54"/>
      <c r="J460" s="54"/>
      <c r="K460" s="54"/>
      <c r="L460" s="54"/>
      <c r="M460" s="54"/>
      <c r="N460" s="54"/>
      <c r="O460" s="54"/>
      <c r="P460" s="54"/>
      <c r="Q460" s="54"/>
    </row>
    <row r="461" spans="7:17">
      <c r="G461" s="54"/>
      <c r="H461" s="54"/>
      <c r="I461" s="54"/>
      <c r="J461" s="54"/>
      <c r="K461" s="54"/>
      <c r="L461" s="54"/>
      <c r="M461" s="54"/>
      <c r="N461" s="54"/>
      <c r="O461" s="54"/>
      <c r="P461" s="54"/>
      <c r="Q461" s="54"/>
    </row>
    <row r="462" spans="7:17">
      <c r="G462" s="54"/>
      <c r="H462" s="54"/>
      <c r="I462" s="54"/>
      <c r="J462" s="54"/>
      <c r="K462" s="54"/>
      <c r="L462" s="54"/>
      <c r="M462" s="54"/>
      <c r="N462" s="54"/>
      <c r="O462" s="54"/>
      <c r="P462" s="54"/>
      <c r="Q462" s="54"/>
    </row>
    <row r="463" spans="7:17">
      <c r="G463" s="54"/>
      <c r="H463" s="54"/>
      <c r="I463" s="54"/>
      <c r="J463" s="54"/>
      <c r="K463" s="54"/>
      <c r="L463" s="54"/>
      <c r="M463" s="54"/>
      <c r="N463" s="54"/>
      <c r="O463" s="54"/>
      <c r="P463" s="54"/>
      <c r="Q463" s="54"/>
    </row>
    <row r="464" spans="7:17">
      <c r="G464" s="54"/>
      <c r="H464" s="54"/>
      <c r="I464" s="54"/>
      <c r="J464" s="54"/>
      <c r="K464" s="54"/>
      <c r="L464" s="54"/>
      <c r="M464" s="54"/>
      <c r="N464" s="54"/>
      <c r="O464" s="54"/>
      <c r="P464" s="54"/>
      <c r="Q464" s="54"/>
    </row>
    <row r="465" spans="7:17">
      <c r="G465" s="54"/>
      <c r="H465" s="54"/>
      <c r="I465" s="54"/>
      <c r="J465" s="54"/>
      <c r="K465" s="54"/>
      <c r="L465" s="54"/>
      <c r="M465" s="54"/>
      <c r="N465" s="54"/>
      <c r="O465" s="54"/>
      <c r="P465" s="54"/>
      <c r="Q465" s="54"/>
    </row>
    <row r="466" spans="7:17">
      <c r="G466" s="54"/>
      <c r="H466" s="54"/>
      <c r="I466" s="54"/>
      <c r="J466" s="54"/>
      <c r="K466" s="54"/>
      <c r="L466" s="54"/>
      <c r="M466" s="54"/>
      <c r="N466" s="54"/>
      <c r="O466" s="54"/>
      <c r="P466" s="54"/>
      <c r="Q466" s="54"/>
    </row>
    <row r="467" spans="7:17">
      <c r="G467" s="54"/>
      <c r="H467" s="54"/>
      <c r="I467" s="54"/>
      <c r="J467" s="54"/>
      <c r="K467" s="54"/>
      <c r="L467" s="54"/>
      <c r="M467" s="54"/>
      <c r="N467" s="54"/>
      <c r="O467" s="54"/>
      <c r="P467" s="54"/>
      <c r="Q467" s="54"/>
    </row>
    <row r="468" spans="7:17">
      <c r="G468" s="54"/>
      <c r="H468" s="54"/>
      <c r="I468" s="54"/>
      <c r="J468" s="54"/>
      <c r="K468" s="54"/>
      <c r="L468" s="54"/>
      <c r="M468" s="54"/>
      <c r="N468" s="54"/>
      <c r="O468" s="54"/>
      <c r="P468" s="54"/>
      <c r="Q468" s="54"/>
    </row>
    <row r="469" spans="7:17">
      <c r="G469" s="54"/>
      <c r="H469" s="54"/>
      <c r="I469" s="54"/>
      <c r="J469" s="54"/>
      <c r="K469" s="54"/>
      <c r="L469" s="54"/>
      <c r="M469" s="54"/>
      <c r="N469" s="54"/>
      <c r="O469" s="54"/>
      <c r="P469" s="54"/>
      <c r="Q469" s="54"/>
    </row>
    <row r="470" spans="7:17">
      <c r="G470" s="54"/>
      <c r="H470" s="54"/>
      <c r="I470" s="54"/>
      <c r="J470" s="54"/>
      <c r="K470" s="54"/>
      <c r="L470" s="54"/>
      <c r="M470" s="54"/>
      <c r="N470" s="54"/>
      <c r="O470" s="54"/>
      <c r="P470" s="54"/>
      <c r="Q470" s="54"/>
    </row>
    <row r="471" spans="7:17">
      <c r="G471" s="54"/>
      <c r="H471" s="54"/>
      <c r="I471" s="54"/>
      <c r="J471" s="54"/>
      <c r="K471" s="54"/>
      <c r="L471" s="54"/>
      <c r="M471" s="54"/>
      <c r="N471" s="54"/>
      <c r="O471" s="54"/>
      <c r="P471" s="54"/>
      <c r="Q471" s="54"/>
    </row>
    <row r="472" spans="7:17">
      <c r="G472" s="54"/>
      <c r="H472" s="54"/>
      <c r="I472" s="54"/>
      <c r="J472" s="54"/>
      <c r="K472" s="54"/>
      <c r="L472" s="54"/>
      <c r="M472" s="54"/>
      <c r="N472" s="54"/>
      <c r="O472" s="54"/>
      <c r="P472" s="54"/>
      <c r="Q472" s="54"/>
    </row>
    <row r="473" spans="7:17">
      <c r="G473" s="54"/>
      <c r="H473" s="54"/>
      <c r="I473" s="54"/>
      <c r="J473" s="54"/>
      <c r="K473" s="54"/>
      <c r="L473" s="54"/>
      <c r="M473" s="54"/>
      <c r="N473" s="54"/>
      <c r="O473" s="54"/>
      <c r="P473" s="54"/>
      <c r="Q473" s="54"/>
    </row>
    <row r="474" spans="7:17">
      <c r="G474" s="54"/>
      <c r="H474" s="54"/>
      <c r="I474" s="54"/>
      <c r="J474" s="54"/>
      <c r="K474" s="54"/>
      <c r="L474" s="54"/>
      <c r="M474" s="54"/>
      <c r="N474" s="54"/>
      <c r="O474" s="54"/>
      <c r="P474" s="54"/>
      <c r="Q474" s="54"/>
    </row>
    <row r="475" spans="7:17">
      <c r="G475" s="54"/>
      <c r="H475" s="54"/>
      <c r="I475" s="54"/>
      <c r="J475" s="54"/>
      <c r="K475" s="54"/>
      <c r="L475" s="54"/>
      <c r="M475" s="54"/>
      <c r="N475" s="54"/>
      <c r="O475" s="54"/>
      <c r="P475" s="54"/>
      <c r="Q475" s="54"/>
    </row>
    <row r="476" spans="7:17">
      <c r="G476" s="54"/>
      <c r="H476" s="54"/>
      <c r="I476" s="54"/>
      <c r="J476" s="54"/>
      <c r="K476" s="54"/>
      <c r="L476" s="54"/>
      <c r="M476" s="54"/>
      <c r="N476" s="54"/>
      <c r="O476" s="54"/>
      <c r="P476" s="54"/>
      <c r="Q476" s="54"/>
    </row>
    <row r="477" spans="7:17">
      <c r="G477" s="54"/>
      <c r="H477" s="54"/>
      <c r="I477" s="54"/>
      <c r="J477" s="54"/>
      <c r="K477" s="54"/>
      <c r="L477" s="54"/>
      <c r="M477" s="54"/>
      <c r="N477" s="54"/>
      <c r="O477" s="54"/>
      <c r="P477" s="54"/>
      <c r="Q477" s="54"/>
    </row>
    <row r="478" spans="7:17">
      <c r="G478" s="54"/>
      <c r="H478" s="54"/>
      <c r="I478" s="54"/>
      <c r="J478" s="54"/>
      <c r="K478" s="54"/>
      <c r="L478" s="54"/>
      <c r="M478" s="54"/>
      <c r="N478" s="54"/>
      <c r="O478" s="54"/>
      <c r="P478" s="54"/>
      <c r="Q478" s="54"/>
    </row>
    <row r="479" spans="7:17">
      <c r="G479" s="54"/>
      <c r="H479" s="54"/>
      <c r="I479" s="54"/>
      <c r="J479" s="54"/>
      <c r="K479" s="54"/>
      <c r="L479" s="54"/>
      <c r="M479" s="54"/>
      <c r="N479" s="54"/>
      <c r="O479" s="54"/>
      <c r="P479" s="54"/>
      <c r="Q479" s="54"/>
    </row>
    <row r="480" spans="7:17">
      <c r="G480" s="54"/>
      <c r="H480" s="54"/>
      <c r="I480" s="54"/>
      <c r="J480" s="54"/>
      <c r="K480" s="54"/>
      <c r="L480" s="54"/>
      <c r="M480" s="54"/>
      <c r="N480" s="54"/>
      <c r="O480" s="54"/>
      <c r="P480" s="54"/>
      <c r="Q480" s="54"/>
    </row>
    <row r="481" spans="7:17">
      <c r="G481" s="54"/>
      <c r="H481" s="54"/>
      <c r="I481" s="54"/>
      <c r="J481" s="54"/>
      <c r="K481" s="54"/>
      <c r="L481" s="54"/>
      <c r="M481" s="54"/>
      <c r="N481" s="54"/>
      <c r="O481" s="54"/>
      <c r="P481" s="54"/>
      <c r="Q481" s="54"/>
    </row>
    <row r="482" spans="7:17">
      <c r="G482" s="54"/>
      <c r="H482" s="54"/>
      <c r="I482" s="54"/>
      <c r="J482" s="54"/>
      <c r="K482" s="54"/>
      <c r="L482" s="54"/>
      <c r="M482" s="54"/>
      <c r="N482" s="54"/>
      <c r="O482" s="54"/>
      <c r="P482" s="54"/>
      <c r="Q482" s="54"/>
    </row>
    <row r="483" spans="7:17">
      <c r="G483" s="54"/>
      <c r="H483" s="54"/>
      <c r="I483" s="54"/>
      <c r="J483" s="54"/>
      <c r="K483" s="54"/>
      <c r="L483" s="54"/>
      <c r="M483" s="54"/>
      <c r="N483" s="54"/>
      <c r="O483" s="54"/>
      <c r="P483" s="54"/>
      <c r="Q483" s="54"/>
    </row>
    <row r="484" spans="7:17">
      <c r="G484" s="54"/>
      <c r="H484" s="54"/>
      <c r="I484" s="54"/>
      <c r="J484" s="54"/>
      <c r="K484" s="54"/>
      <c r="L484" s="54"/>
      <c r="M484" s="54"/>
      <c r="N484" s="54"/>
      <c r="O484" s="54"/>
      <c r="P484" s="54"/>
      <c r="Q484" s="54"/>
    </row>
    <row r="485" spans="7:17">
      <c r="G485" s="54"/>
      <c r="H485" s="54"/>
      <c r="I485" s="54"/>
      <c r="J485" s="54"/>
      <c r="K485" s="54"/>
      <c r="L485" s="54"/>
      <c r="M485" s="54"/>
      <c r="N485" s="54"/>
      <c r="O485" s="54"/>
      <c r="P485" s="54"/>
      <c r="Q485" s="54"/>
    </row>
    <row r="486" spans="7:17">
      <c r="G486" s="54"/>
      <c r="H486" s="54"/>
      <c r="I486" s="54"/>
      <c r="J486" s="54"/>
      <c r="K486" s="54"/>
      <c r="L486" s="54"/>
      <c r="M486" s="54"/>
      <c r="N486" s="54"/>
      <c r="O486" s="54"/>
      <c r="P486" s="54"/>
      <c r="Q486" s="54"/>
    </row>
    <row r="487" spans="7:17">
      <c r="G487" s="54"/>
      <c r="H487" s="54"/>
      <c r="I487" s="54"/>
      <c r="J487" s="54"/>
      <c r="K487" s="54"/>
      <c r="L487" s="54"/>
      <c r="M487" s="54"/>
      <c r="N487" s="54"/>
      <c r="O487" s="54"/>
      <c r="P487" s="54"/>
      <c r="Q487" s="54"/>
    </row>
    <row r="488" spans="7:17">
      <c r="G488" s="54"/>
      <c r="H488" s="54"/>
      <c r="I488" s="54"/>
      <c r="J488" s="54"/>
      <c r="K488" s="54"/>
      <c r="L488" s="54"/>
      <c r="M488" s="54"/>
      <c r="N488" s="54"/>
      <c r="O488" s="54"/>
      <c r="P488" s="54"/>
      <c r="Q488" s="54"/>
    </row>
    <row r="489" spans="7:17">
      <c r="G489" s="54"/>
      <c r="H489" s="54"/>
      <c r="I489" s="54"/>
      <c r="J489" s="54"/>
      <c r="K489" s="54"/>
      <c r="L489" s="54"/>
      <c r="M489" s="54"/>
      <c r="N489" s="54"/>
      <c r="O489" s="54"/>
      <c r="P489" s="54"/>
      <c r="Q489" s="54"/>
    </row>
    <row r="490" spans="7:17">
      <c r="G490" s="54"/>
      <c r="H490" s="54"/>
      <c r="I490" s="54"/>
      <c r="J490" s="54"/>
      <c r="K490" s="54"/>
      <c r="L490" s="54"/>
      <c r="M490" s="54"/>
      <c r="N490" s="54"/>
      <c r="O490" s="54"/>
      <c r="P490" s="54"/>
      <c r="Q490" s="54"/>
    </row>
    <row r="491" spans="7:17">
      <c r="G491" s="54"/>
      <c r="H491" s="54"/>
      <c r="I491" s="54"/>
      <c r="J491" s="54"/>
      <c r="K491" s="54"/>
      <c r="L491" s="54"/>
      <c r="M491" s="54"/>
      <c r="N491" s="54"/>
      <c r="O491" s="54"/>
      <c r="P491" s="54"/>
      <c r="Q491" s="54"/>
    </row>
    <row r="492" spans="7:17">
      <c r="G492" s="54"/>
      <c r="H492" s="54"/>
      <c r="I492" s="54"/>
      <c r="J492" s="54"/>
      <c r="K492" s="54"/>
      <c r="L492" s="54"/>
      <c r="M492" s="54"/>
      <c r="N492" s="54"/>
      <c r="O492" s="54"/>
      <c r="P492" s="54"/>
      <c r="Q492" s="54"/>
    </row>
    <row r="493" spans="7:17">
      <c r="G493" s="54"/>
      <c r="H493" s="54"/>
      <c r="I493" s="54"/>
      <c r="J493" s="54"/>
      <c r="K493" s="54"/>
      <c r="L493" s="54"/>
      <c r="M493" s="54"/>
      <c r="N493" s="54"/>
      <c r="O493" s="54"/>
      <c r="P493" s="54"/>
      <c r="Q493" s="54"/>
    </row>
    <row r="494" spans="7:17">
      <c r="G494" s="54"/>
      <c r="H494" s="54"/>
      <c r="I494" s="54"/>
      <c r="J494" s="54"/>
      <c r="K494" s="54"/>
      <c r="L494" s="54"/>
      <c r="M494" s="54"/>
      <c r="N494" s="54"/>
      <c r="O494" s="54"/>
      <c r="P494" s="54"/>
      <c r="Q494" s="54"/>
    </row>
    <row r="495" spans="7:17">
      <c r="G495" s="54"/>
      <c r="H495" s="54"/>
      <c r="I495" s="54"/>
      <c r="J495" s="54"/>
      <c r="K495" s="54"/>
      <c r="L495" s="54"/>
      <c r="M495" s="54"/>
      <c r="N495" s="54"/>
      <c r="O495" s="54"/>
      <c r="P495" s="54"/>
      <c r="Q495" s="54"/>
    </row>
    <row r="496" spans="7:17">
      <c r="G496" s="54"/>
      <c r="H496" s="54"/>
      <c r="I496" s="54"/>
      <c r="J496" s="54"/>
      <c r="K496" s="54"/>
      <c r="L496" s="54"/>
      <c r="M496" s="54"/>
      <c r="N496" s="54"/>
      <c r="O496" s="54"/>
      <c r="P496" s="54"/>
      <c r="Q496" s="54"/>
    </row>
    <row r="497" spans="7:17">
      <c r="G497" s="54"/>
      <c r="H497" s="54"/>
      <c r="I497" s="54"/>
      <c r="J497" s="54"/>
      <c r="K497" s="54"/>
      <c r="L497" s="54"/>
      <c r="M497" s="54"/>
      <c r="N497" s="54"/>
      <c r="O497" s="54"/>
      <c r="P497" s="54"/>
      <c r="Q497" s="54"/>
    </row>
    <row r="498" spans="7:17">
      <c r="G498" s="54"/>
      <c r="H498" s="54"/>
      <c r="I498" s="54"/>
      <c r="J498" s="54"/>
      <c r="K498" s="54"/>
      <c r="L498" s="54"/>
      <c r="M498" s="54"/>
      <c r="N498" s="54"/>
      <c r="O498" s="54"/>
      <c r="P498" s="54"/>
      <c r="Q498" s="54"/>
    </row>
    <row r="499" spans="7:17">
      <c r="G499" s="54"/>
      <c r="H499" s="54"/>
      <c r="I499" s="54"/>
      <c r="J499" s="54"/>
      <c r="K499" s="54"/>
      <c r="L499" s="54"/>
      <c r="M499" s="54"/>
      <c r="N499" s="54"/>
      <c r="O499" s="54"/>
      <c r="P499" s="54"/>
      <c r="Q499" s="54"/>
    </row>
    <row r="500" spans="7:17">
      <c r="G500" s="54"/>
      <c r="H500" s="54"/>
      <c r="I500" s="54"/>
      <c r="J500" s="54"/>
      <c r="K500" s="54"/>
      <c r="L500" s="54"/>
      <c r="M500" s="54"/>
      <c r="N500" s="54"/>
      <c r="O500" s="54"/>
      <c r="P500" s="54"/>
      <c r="Q500" s="54"/>
    </row>
    <row r="501" spans="7:17">
      <c r="G501" s="54"/>
      <c r="H501" s="54"/>
      <c r="I501" s="54"/>
      <c r="J501" s="54"/>
      <c r="K501" s="54"/>
      <c r="L501" s="54"/>
      <c r="M501" s="54"/>
      <c r="N501" s="54"/>
      <c r="O501" s="54"/>
      <c r="P501" s="54"/>
      <c r="Q501" s="54"/>
    </row>
    <row r="502" spans="7:17">
      <c r="G502" s="54"/>
      <c r="H502" s="54"/>
      <c r="I502" s="54"/>
      <c r="J502" s="54"/>
      <c r="K502" s="54"/>
      <c r="L502" s="54"/>
      <c r="M502" s="54"/>
      <c r="N502" s="54"/>
      <c r="O502" s="54"/>
      <c r="P502" s="54"/>
      <c r="Q502" s="54"/>
    </row>
    <row r="503" spans="7:17">
      <c r="G503" s="54"/>
      <c r="H503" s="54"/>
      <c r="I503" s="54"/>
      <c r="J503" s="54"/>
      <c r="K503" s="54"/>
      <c r="L503" s="54"/>
      <c r="M503" s="54"/>
      <c r="N503" s="54"/>
      <c r="O503" s="54"/>
      <c r="P503" s="54"/>
      <c r="Q503" s="54"/>
    </row>
    <row r="504" spans="7:17">
      <c r="G504" s="54"/>
      <c r="H504" s="54"/>
      <c r="I504" s="54"/>
      <c r="J504" s="54"/>
      <c r="K504" s="54"/>
      <c r="L504" s="54"/>
      <c r="M504" s="54"/>
      <c r="N504" s="54"/>
      <c r="O504" s="54"/>
      <c r="P504" s="54"/>
      <c r="Q504" s="54"/>
    </row>
    <row r="505" spans="7:17">
      <c r="G505" s="54"/>
      <c r="H505" s="54"/>
      <c r="I505" s="54"/>
      <c r="J505" s="54"/>
      <c r="K505" s="54"/>
      <c r="L505" s="54"/>
      <c r="M505" s="54"/>
      <c r="N505" s="54"/>
      <c r="O505" s="54"/>
      <c r="P505" s="54"/>
      <c r="Q505" s="54"/>
    </row>
    <row r="506" spans="7:17">
      <c r="G506" s="54"/>
      <c r="H506" s="54"/>
      <c r="I506" s="54"/>
      <c r="J506" s="54"/>
      <c r="K506" s="54"/>
      <c r="L506" s="54"/>
      <c r="M506" s="54"/>
      <c r="N506" s="54"/>
      <c r="O506" s="54"/>
      <c r="P506" s="54"/>
      <c r="Q506" s="54"/>
    </row>
    <row r="507" spans="7:17">
      <c r="G507" s="54"/>
      <c r="H507" s="54"/>
      <c r="I507" s="54"/>
      <c r="J507" s="54"/>
      <c r="K507" s="54"/>
      <c r="L507" s="54"/>
      <c r="M507" s="54"/>
      <c r="N507" s="54"/>
      <c r="O507" s="54"/>
      <c r="P507" s="54"/>
      <c r="Q507" s="54"/>
    </row>
    <row r="508" spans="7:17">
      <c r="G508" s="54"/>
      <c r="H508" s="54"/>
      <c r="I508" s="54"/>
      <c r="J508" s="54"/>
      <c r="K508" s="54"/>
      <c r="L508" s="54"/>
      <c r="M508" s="54"/>
      <c r="N508" s="54"/>
      <c r="O508" s="54"/>
      <c r="P508" s="54"/>
      <c r="Q508" s="54"/>
    </row>
    <row r="509" spans="7:17">
      <c r="G509" s="54"/>
      <c r="H509" s="54"/>
      <c r="I509" s="54"/>
      <c r="J509" s="54"/>
      <c r="K509" s="54"/>
      <c r="L509" s="54"/>
      <c r="M509" s="54"/>
      <c r="N509" s="54"/>
      <c r="O509" s="54"/>
      <c r="P509" s="54"/>
      <c r="Q509" s="54"/>
    </row>
    <row r="510" spans="7:17">
      <c r="G510" s="54"/>
      <c r="H510" s="54"/>
      <c r="I510" s="54"/>
      <c r="J510" s="54"/>
      <c r="K510" s="54"/>
      <c r="L510" s="54"/>
      <c r="M510" s="54"/>
      <c r="N510" s="54"/>
      <c r="O510" s="54"/>
      <c r="P510" s="54"/>
      <c r="Q510" s="54"/>
    </row>
    <row r="511" spans="7:17">
      <c r="G511" s="54"/>
      <c r="H511" s="54"/>
      <c r="I511" s="54"/>
      <c r="J511" s="54"/>
      <c r="K511" s="54"/>
      <c r="L511" s="54"/>
      <c r="M511" s="54"/>
      <c r="N511" s="54"/>
      <c r="O511" s="54"/>
      <c r="P511" s="54"/>
      <c r="Q511" s="54"/>
    </row>
    <row r="512" spans="7:17">
      <c r="G512" s="54"/>
      <c r="H512" s="54"/>
      <c r="I512" s="54"/>
      <c r="J512" s="54"/>
      <c r="K512" s="54"/>
      <c r="L512" s="54"/>
      <c r="M512" s="54"/>
      <c r="N512" s="54"/>
      <c r="O512" s="54"/>
      <c r="P512" s="54"/>
      <c r="Q512" s="54"/>
    </row>
    <row r="513" spans="7:17">
      <c r="G513" s="54"/>
      <c r="H513" s="54"/>
      <c r="I513" s="54"/>
      <c r="J513" s="54"/>
      <c r="K513" s="54"/>
      <c r="L513" s="54"/>
      <c r="M513" s="54"/>
      <c r="N513" s="54"/>
      <c r="O513" s="54"/>
      <c r="P513" s="54"/>
      <c r="Q513" s="54"/>
    </row>
    <row r="514" spans="7:17">
      <c r="G514" s="54"/>
      <c r="H514" s="54"/>
      <c r="I514" s="54"/>
      <c r="J514" s="54"/>
      <c r="K514" s="54"/>
      <c r="L514" s="54"/>
      <c r="M514" s="54"/>
      <c r="N514" s="54"/>
      <c r="O514" s="54"/>
      <c r="P514" s="54"/>
      <c r="Q514" s="54"/>
    </row>
    <row r="515" spans="7:17">
      <c r="G515" s="54"/>
      <c r="H515" s="54"/>
      <c r="I515" s="54"/>
      <c r="J515" s="54"/>
      <c r="K515" s="54"/>
      <c r="L515" s="54"/>
      <c r="M515" s="54"/>
      <c r="N515" s="54"/>
      <c r="O515" s="54"/>
      <c r="P515" s="54"/>
      <c r="Q515" s="54"/>
    </row>
    <row r="516" spans="7:17">
      <c r="G516" s="54"/>
      <c r="H516" s="54"/>
      <c r="I516" s="54"/>
      <c r="J516" s="54"/>
      <c r="K516" s="54"/>
      <c r="L516" s="54"/>
      <c r="M516" s="54"/>
      <c r="N516" s="54"/>
      <c r="O516" s="54"/>
      <c r="P516" s="54"/>
      <c r="Q516" s="54"/>
    </row>
    <row r="517" spans="7:17">
      <c r="G517" s="54"/>
      <c r="H517" s="54"/>
      <c r="I517" s="54"/>
      <c r="J517" s="54"/>
      <c r="K517" s="54"/>
      <c r="L517" s="54"/>
      <c r="M517" s="54"/>
      <c r="N517" s="54"/>
      <c r="O517" s="54"/>
      <c r="P517" s="54"/>
      <c r="Q517" s="54"/>
    </row>
    <row r="518" spans="7:17">
      <c r="G518" s="54"/>
      <c r="H518" s="54"/>
      <c r="I518" s="54"/>
      <c r="J518" s="54"/>
      <c r="K518" s="54"/>
      <c r="L518" s="54"/>
      <c r="M518" s="54"/>
      <c r="N518" s="54"/>
      <c r="O518" s="54"/>
      <c r="P518" s="54"/>
      <c r="Q518" s="54"/>
    </row>
    <row r="519" spans="7:17">
      <c r="G519" s="54"/>
      <c r="H519" s="54"/>
      <c r="I519" s="54"/>
      <c r="J519" s="54"/>
      <c r="K519" s="54"/>
      <c r="L519" s="54"/>
      <c r="M519" s="54"/>
      <c r="N519" s="54"/>
      <c r="O519" s="54"/>
      <c r="P519" s="54"/>
      <c r="Q519" s="54"/>
    </row>
    <row r="520" spans="7:17">
      <c r="G520" s="54"/>
      <c r="H520" s="54"/>
      <c r="I520" s="54"/>
      <c r="J520" s="54"/>
      <c r="K520" s="54"/>
      <c r="L520" s="54"/>
      <c r="M520" s="54"/>
      <c r="N520" s="54"/>
      <c r="O520" s="54"/>
      <c r="P520" s="54"/>
      <c r="Q520" s="54"/>
    </row>
    <row r="521" spans="7:17">
      <c r="G521" s="54"/>
      <c r="H521" s="54"/>
      <c r="I521" s="54"/>
      <c r="J521" s="54"/>
      <c r="K521" s="54"/>
      <c r="L521" s="54"/>
      <c r="M521" s="54"/>
      <c r="N521" s="54"/>
      <c r="O521" s="54"/>
      <c r="P521" s="54"/>
      <c r="Q521" s="54"/>
    </row>
    <row r="522" spans="7:17">
      <c r="G522" s="54"/>
      <c r="H522" s="54"/>
      <c r="I522" s="54"/>
      <c r="J522" s="54"/>
      <c r="K522" s="54"/>
      <c r="L522" s="54"/>
      <c r="M522" s="54"/>
      <c r="N522" s="54"/>
      <c r="O522" s="54"/>
      <c r="P522" s="54"/>
      <c r="Q522" s="54"/>
    </row>
    <row r="523" spans="7:17">
      <c r="G523" s="54"/>
      <c r="H523" s="54"/>
      <c r="I523" s="54"/>
      <c r="J523" s="54"/>
      <c r="K523" s="54"/>
      <c r="L523" s="54"/>
      <c r="M523" s="54"/>
      <c r="N523" s="54"/>
      <c r="O523" s="54"/>
      <c r="P523" s="54"/>
      <c r="Q523" s="54"/>
    </row>
    <row r="524" spans="7:17">
      <c r="G524" s="54"/>
      <c r="H524" s="54"/>
      <c r="I524" s="54"/>
      <c r="J524" s="54"/>
      <c r="K524" s="54"/>
      <c r="L524" s="54"/>
      <c r="M524" s="54"/>
      <c r="N524" s="54"/>
      <c r="O524" s="54"/>
      <c r="P524" s="54"/>
      <c r="Q524" s="54"/>
    </row>
    <row r="525" spans="7:17">
      <c r="G525" s="54"/>
      <c r="H525" s="54"/>
      <c r="I525" s="54"/>
      <c r="J525" s="54"/>
      <c r="K525" s="54"/>
      <c r="L525" s="54"/>
      <c r="M525" s="54"/>
      <c r="N525" s="54"/>
      <c r="O525" s="54"/>
      <c r="P525" s="54"/>
      <c r="Q525" s="54"/>
    </row>
    <row r="526" spans="7:17">
      <c r="G526" s="54"/>
      <c r="H526" s="54"/>
      <c r="I526" s="54"/>
      <c r="J526" s="54"/>
      <c r="K526" s="54"/>
      <c r="L526" s="54"/>
      <c r="M526" s="54"/>
      <c r="N526" s="54"/>
      <c r="O526" s="54"/>
      <c r="P526" s="54"/>
      <c r="Q526" s="54"/>
    </row>
    <row r="527" spans="7:17">
      <c r="G527" s="54"/>
      <c r="H527" s="54"/>
      <c r="I527" s="54"/>
      <c r="J527" s="54"/>
      <c r="K527" s="54"/>
      <c r="L527" s="54"/>
      <c r="M527" s="54"/>
      <c r="N527" s="54"/>
      <c r="O527" s="54"/>
      <c r="P527" s="54"/>
      <c r="Q527" s="54"/>
    </row>
    <row r="528" spans="7:17">
      <c r="G528" s="54"/>
      <c r="H528" s="54"/>
      <c r="I528" s="54"/>
      <c r="J528" s="54"/>
      <c r="K528" s="54"/>
      <c r="L528" s="54"/>
      <c r="M528" s="54"/>
      <c r="N528" s="54"/>
      <c r="O528" s="54"/>
      <c r="P528" s="54"/>
      <c r="Q528" s="54"/>
    </row>
    <row r="529" spans="7:17">
      <c r="G529" s="54"/>
      <c r="H529" s="54"/>
      <c r="I529" s="54"/>
      <c r="J529" s="54"/>
      <c r="K529" s="54"/>
      <c r="L529" s="54"/>
      <c r="M529" s="54"/>
      <c r="N529" s="54"/>
      <c r="O529" s="54"/>
      <c r="P529" s="54"/>
      <c r="Q529" s="54"/>
    </row>
    <row r="530" spans="7:17">
      <c r="G530" s="54"/>
      <c r="H530" s="54"/>
      <c r="I530" s="54"/>
      <c r="J530" s="54"/>
      <c r="K530" s="54"/>
      <c r="L530" s="54"/>
      <c r="M530" s="54"/>
      <c r="N530" s="54"/>
      <c r="O530" s="54"/>
      <c r="P530" s="54"/>
      <c r="Q530" s="54"/>
    </row>
    <row r="531" spans="7:17">
      <c r="G531" s="54"/>
      <c r="H531" s="54"/>
      <c r="I531" s="54"/>
      <c r="J531" s="54"/>
      <c r="K531" s="54"/>
      <c r="L531" s="54"/>
      <c r="M531" s="54"/>
      <c r="N531" s="54"/>
      <c r="O531" s="54"/>
      <c r="P531" s="54"/>
      <c r="Q531" s="54"/>
    </row>
    <row r="532" spans="7:17">
      <c r="G532" s="54"/>
      <c r="H532" s="54"/>
      <c r="I532" s="54"/>
      <c r="J532" s="54"/>
      <c r="K532" s="54"/>
      <c r="L532" s="54"/>
      <c r="M532" s="54"/>
      <c r="N532" s="54"/>
      <c r="O532" s="54"/>
      <c r="P532" s="54"/>
      <c r="Q532" s="54"/>
    </row>
    <row r="533" spans="7:17">
      <c r="G533" s="54"/>
      <c r="H533" s="54"/>
      <c r="I533" s="54"/>
      <c r="J533" s="54"/>
      <c r="K533" s="54"/>
      <c r="L533" s="54"/>
      <c r="M533" s="54"/>
      <c r="N533" s="54"/>
      <c r="O533" s="54"/>
      <c r="P533" s="54"/>
      <c r="Q533" s="54"/>
    </row>
    <row r="534" spans="7:17">
      <c r="G534" s="54"/>
      <c r="H534" s="54"/>
      <c r="I534" s="54"/>
      <c r="J534" s="54"/>
      <c r="K534" s="54"/>
      <c r="L534" s="54"/>
      <c r="M534" s="54"/>
      <c r="N534" s="54"/>
      <c r="O534" s="54"/>
      <c r="P534" s="54"/>
      <c r="Q534" s="54"/>
    </row>
    <row r="535" spans="7:17">
      <c r="G535" s="54"/>
      <c r="H535" s="54"/>
      <c r="I535" s="54"/>
      <c r="J535" s="54"/>
      <c r="K535" s="54"/>
      <c r="L535" s="54"/>
      <c r="M535" s="54"/>
      <c r="N535" s="54"/>
      <c r="O535" s="54"/>
      <c r="P535" s="54"/>
      <c r="Q535" s="54"/>
    </row>
    <row r="536" spans="7:17">
      <c r="G536" s="54"/>
      <c r="H536" s="54"/>
      <c r="I536" s="54"/>
      <c r="J536" s="54"/>
      <c r="K536" s="54"/>
      <c r="L536" s="54"/>
      <c r="M536" s="54"/>
      <c r="N536" s="54"/>
      <c r="O536" s="54"/>
      <c r="P536" s="54"/>
      <c r="Q536" s="54"/>
    </row>
    <row r="537" spans="7:17">
      <c r="G537" s="54"/>
      <c r="H537" s="54"/>
      <c r="I537" s="54"/>
      <c r="J537" s="54"/>
      <c r="K537" s="54"/>
      <c r="L537" s="54"/>
      <c r="M537" s="54"/>
      <c r="N537" s="54"/>
      <c r="O537" s="54"/>
      <c r="P537" s="54"/>
      <c r="Q537" s="54"/>
    </row>
    <row r="538" spans="7:17">
      <c r="G538" s="54"/>
      <c r="H538" s="54"/>
      <c r="I538" s="54"/>
      <c r="J538" s="54"/>
      <c r="K538" s="54"/>
      <c r="L538" s="54"/>
      <c r="M538" s="54"/>
      <c r="N538" s="54"/>
      <c r="O538" s="54"/>
      <c r="P538" s="54"/>
      <c r="Q538" s="54"/>
    </row>
    <row r="539" spans="7:17">
      <c r="G539" s="54"/>
      <c r="H539" s="54"/>
      <c r="I539" s="54"/>
      <c r="J539" s="54"/>
      <c r="K539" s="54"/>
      <c r="L539" s="54"/>
      <c r="M539" s="54"/>
      <c r="N539" s="54"/>
      <c r="O539" s="54"/>
      <c r="P539" s="54"/>
      <c r="Q539" s="54"/>
    </row>
    <row r="540" spans="7:17">
      <c r="G540" s="54"/>
      <c r="H540" s="54"/>
      <c r="I540" s="54"/>
      <c r="J540" s="54"/>
      <c r="K540" s="54"/>
      <c r="L540" s="54"/>
      <c r="M540" s="54"/>
      <c r="N540" s="54"/>
      <c r="O540" s="54"/>
      <c r="P540" s="54"/>
      <c r="Q540" s="54"/>
    </row>
    <row r="541" spans="7:17">
      <c r="G541" s="54"/>
      <c r="H541" s="54"/>
      <c r="I541" s="54"/>
      <c r="J541" s="54"/>
      <c r="K541" s="54"/>
      <c r="L541" s="54"/>
      <c r="M541" s="54"/>
      <c r="N541" s="54"/>
      <c r="O541" s="54"/>
      <c r="P541" s="54"/>
      <c r="Q541" s="54"/>
    </row>
    <row r="542" spans="7:17">
      <c r="G542" s="54"/>
      <c r="H542" s="54"/>
      <c r="I542" s="54"/>
      <c r="J542" s="54"/>
      <c r="K542" s="54"/>
      <c r="L542" s="54"/>
      <c r="M542" s="54"/>
      <c r="N542" s="54"/>
      <c r="O542" s="54"/>
      <c r="P542" s="54"/>
      <c r="Q542" s="54"/>
    </row>
    <row r="543" spans="7:17">
      <c r="G543" s="54"/>
      <c r="H543" s="54"/>
      <c r="I543" s="54"/>
      <c r="J543" s="54"/>
      <c r="K543" s="54"/>
      <c r="L543" s="54"/>
      <c r="M543" s="54"/>
      <c r="N543" s="54"/>
      <c r="O543" s="54"/>
      <c r="P543" s="54"/>
      <c r="Q543" s="54"/>
    </row>
    <row r="544" spans="7:17">
      <c r="G544" s="54"/>
      <c r="H544" s="54"/>
      <c r="I544" s="54"/>
      <c r="J544" s="54"/>
      <c r="K544" s="54"/>
      <c r="L544" s="54"/>
      <c r="M544" s="54"/>
      <c r="N544" s="54"/>
      <c r="O544" s="54"/>
      <c r="P544" s="54"/>
      <c r="Q544" s="54"/>
    </row>
    <row r="545" spans="7:17">
      <c r="G545" s="54"/>
      <c r="H545" s="54"/>
      <c r="I545" s="54"/>
      <c r="J545" s="54"/>
      <c r="K545" s="54"/>
      <c r="L545" s="54"/>
      <c r="M545" s="54"/>
      <c r="N545" s="54"/>
      <c r="O545" s="54"/>
      <c r="P545" s="54"/>
      <c r="Q545" s="54"/>
    </row>
    <row r="546" spans="7:17">
      <c r="G546" s="54"/>
      <c r="H546" s="54"/>
      <c r="I546" s="54"/>
      <c r="J546" s="54"/>
      <c r="K546" s="54"/>
      <c r="L546" s="54"/>
      <c r="M546" s="54"/>
      <c r="N546" s="54"/>
      <c r="O546" s="54"/>
      <c r="P546" s="54"/>
      <c r="Q546" s="54"/>
    </row>
    <row r="547" spans="7:17">
      <c r="G547" s="54"/>
      <c r="H547" s="54"/>
      <c r="I547" s="54"/>
      <c r="J547" s="54"/>
      <c r="K547" s="54"/>
      <c r="L547" s="54"/>
      <c r="M547" s="54"/>
      <c r="N547" s="54"/>
      <c r="O547" s="54"/>
      <c r="P547" s="54"/>
      <c r="Q547" s="54"/>
    </row>
    <row r="548" spans="7:17">
      <c r="G548" s="54"/>
      <c r="H548" s="54"/>
      <c r="I548" s="54"/>
      <c r="J548" s="54"/>
      <c r="K548" s="54"/>
      <c r="L548" s="54"/>
      <c r="M548" s="54"/>
      <c r="N548" s="54"/>
      <c r="O548" s="54"/>
      <c r="P548" s="54"/>
      <c r="Q548" s="54"/>
    </row>
    <row r="549" spans="7:17">
      <c r="G549" s="54"/>
      <c r="H549" s="54"/>
      <c r="I549" s="54"/>
      <c r="J549" s="54"/>
      <c r="K549" s="54"/>
      <c r="L549" s="54"/>
      <c r="M549" s="54"/>
      <c r="N549" s="54"/>
      <c r="O549" s="54"/>
      <c r="P549" s="54"/>
      <c r="Q549" s="54"/>
    </row>
    <row r="550" spans="7:17">
      <c r="G550" s="54"/>
      <c r="H550" s="54"/>
      <c r="I550" s="54"/>
      <c r="J550" s="54"/>
      <c r="K550" s="54"/>
      <c r="L550" s="54"/>
      <c r="M550" s="54"/>
      <c r="N550" s="54"/>
      <c r="O550" s="54"/>
      <c r="P550" s="54"/>
      <c r="Q550" s="54"/>
    </row>
    <row r="551" spans="7:17">
      <c r="G551" s="54"/>
      <c r="H551" s="54"/>
      <c r="I551" s="54"/>
      <c r="J551" s="54"/>
      <c r="K551" s="54"/>
      <c r="L551" s="54"/>
      <c r="M551" s="54"/>
      <c r="N551" s="54"/>
      <c r="O551" s="54"/>
      <c r="P551" s="54"/>
      <c r="Q551" s="54"/>
    </row>
    <row r="552" spans="7:17">
      <c r="G552" s="54"/>
      <c r="H552" s="54"/>
      <c r="I552" s="54"/>
      <c r="J552" s="54"/>
      <c r="K552" s="54"/>
      <c r="L552" s="54"/>
      <c r="M552" s="54"/>
      <c r="N552" s="54"/>
      <c r="O552" s="54"/>
      <c r="P552" s="54"/>
      <c r="Q552" s="54"/>
    </row>
    <row r="553" spans="7:17">
      <c r="G553" s="54"/>
      <c r="H553" s="54"/>
      <c r="I553" s="54"/>
      <c r="J553" s="54"/>
      <c r="K553" s="54"/>
      <c r="L553" s="54"/>
      <c r="M553" s="54"/>
      <c r="N553" s="54"/>
      <c r="O553" s="54"/>
      <c r="P553" s="54"/>
      <c r="Q553" s="54"/>
    </row>
    <row r="554" spans="7:17">
      <c r="G554" s="54"/>
      <c r="H554" s="54"/>
      <c r="I554" s="54"/>
      <c r="J554" s="54"/>
      <c r="K554" s="54"/>
      <c r="L554" s="54"/>
      <c r="M554" s="54"/>
      <c r="N554" s="54"/>
      <c r="O554" s="54"/>
      <c r="P554" s="54"/>
      <c r="Q554" s="54"/>
    </row>
    <row r="555" spans="7:17">
      <c r="G555" s="54"/>
      <c r="H555" s="54"/>
      <c r="I555" s="54"/>
      <c r="J555" s="54"/>
      <c r="K555" s="54"/>
      <c r="L555" s="54"/>
      <c r="M555" s="54"/>
      <c r="N555" s="54"/>
      <c r="O555" s="54"/>
      <c r="P555" s="54"/>
      <c r="Q555" s="54"/>
    </row>
    <row r="556" spans="7:17">
      <c r="G556" s="54"/>
      <c r="H556" s="54"/>
      <c r="I556" s="54"/>
      <c r="J556" s="54"/>
      <c r="K556" s="54"/>
      <c r="L556" s="54"/>
      <c r="M556" s="54"/>
      <c r="N556" s="54"/>
      <c r="O556" s="54"/>
      <c r="P556" s="54"/>
      <c r="Q556" s="54"/>
    </row>
    <row r="557" spans="7:17">
      <c r="G557" s="54"/>
      <c r="H557" s="54"/>
      <c r="I557" s="54"/>
      <c r="J557" s="54"/>
      <c r="K557" s="54"/>
      <c r="L557" s="54"/>
      <c r="M557" s="54"/>
      <c r="N557" s="54"/>
      <c r="O557" s="54"/>
      <c r="P557" s="54"/>
      <c r="Q557" s="54"/>
    </row>
    <row r="558" spans="7:17">
      <c r="G558" s="54"/>
      <c r="H558" s="54"/>
      <c r="I558" s="54"/>
      <c r="J558" s="54"/>
      <c r="K558" s="54"/>
      <c r="L558" s="54"/>
      <c r="M558" s="54"/>
      <c r="N558" s="54"/>
      <c r="O558" s="54"/>
      <c r="P558" s="54"/>
      <c r="Q558" s="54"/>
    </row>
    <row r="559" spans="7:17">
      <c r="G559" s="54"/>
      <c r="H559" s="54"/>
      <c r="I559" s="54"/>
      <c r="J559" s="54"/>
      <c r="K559" s="54"/>
      <c r="L559" s="54"/>
      <c r="M559" s="54"/>
      <c r="N559" s="54"/>
      <c r="O559" s="54"/>
      <c r="P559" s="54"/>
      <c r="Q559" s="54"/>
    </row>
    <row r="560" spans="7:17">
      <c r="G560" s="54"/>
      <c r="H560" s="54"/>
      <c r="I560" s="54"/>
      <c r="J560" s="54"/>
      <c r="K560" s="54"/>
      <c r="L560" s="54"/>
      <c r="M560" s="54"/>
      <c r="N560" s="54"/>
      <c r="O560" s="54"/>
      <c r="P560" s="54"/>
      <c r="Q560" s="54"/>
    </row>
    <row r="561" spans="7:17">
      <c r="G561" s="54"/>
      <c r="H561" s="54"/>
      <c r="I561" s="54"/>
      <c r="J561" s="54"/>
      <c r="K561" s="54"/>
      <c r="L561" s="54"/>
      <c r="M561" s="54"/>
      <c r="N561" s="54"/>
      <c r="O561" s="54"/>
      <c r="P561" s="54"/>
      <c r="Q561" s="54"/>
    </row>
    <row r="562" spans="7:17">
      <c r="G562" s="54"/>
      <c r="H562" s="54"/>
      <c r="I562" s="54"/>
      <c r="J562" s="54"/>
      <c r="K562" s="54"/>
      <c r="L562" s="54"/>
      <c r="M562" s="54"/>
      <c r="N562" s="54"/>
      <c r="O562" s="54"/>
      <c r="P562" s="54"/>
      <c r="Q562" s="54"/>
    </row>
    <row r="563" spans="7:17">
      <c r="G563" s="54"/>
      <c r="H563" s="54"/>
      <c r="I563" s="54"/>
      <c r="J563" s="54"/>
      <c r="K563" s="54"/>
      <c r="L563" s="54"/>
      <c r="M563" s="54"/>
      <c r="N563" s="54"/>
      <c r="O563" s="54"/>
      <c r="P563" s="54"/>
      <c r="Q563" s="54"/>
    </row>
    <row r="564" spans="7:17">
      <c r="G564" s="54"/>
      <c r="H564" s="54"/>
      <c r="I564" s="54"/>
      <c r="J564" s="54"/>
      <c r="K564" s="54"/>
      <c r="L564" s="54"/>
      <c r="M564" s="54"/>
      <c r="N564" s="54"/>
      <c r="O564" s="54"/>
      <c r="P564" s="54"/>
      <c r="Q564" s="54"/>
    </row>
    <row r="565" spans="7:17">
      <c r="G565" s="54"/>
      <c r="H565" s="54"/>
      <c r="I565" s="54"/>
      <c r="J565" s="54"/>
      <c r="K565" s="54"/>
      <c r="L565" s="54"/>
      <c r="M565" s="54"/>
      <c r="N565" s="54"/>
      <c r="O565" s="54"/>
      <c r="P565" s="54"/>
      <c r="Q565" s="54"/>
    </row>
    <row r="566" spans="7:17">
      <c r="G566" s="54"/>
      <c r="H566" s="54"/>
      <c r="I566" s="54"/>
      <c r="J566" s="54"/>
      <c r="K566" s="54"/>
      <c r="L566" s="54"/>
      <c r="M566" s="54"/>
      <c r="N566" s="54"/>
      <c r="O566" s="54"/>
      <c r="P566" s="54"/>
      <c r="Q566" s="54"/>
    </row>
    <row r="567" spans="7:17">
      <c r="G567" s="54"/>
      <c r="H567" s="54"/>
      <c r="I567" s="54"/>
      <c r="J567" s="54"/>
      <c r="K567" s="54"/>
      <c r="L567" s="54"/>
      <c r="M567" s="54"/>
      <c r="N567" s="54"/>
      <c r="O567" s="54"/>
      <c r="P567" s="54"/>
      <c r="Q567" s="54"/>
    </row>
    <row r="568" spans="7:17">
      <c r="G568" s="54"/>
      <c r="H568" s="54"/>
      <c r="I568" s="54"/>
      <c r="J568" s="54"/>
      <c r="K568" s="54"/>
      <c r="L568" s="54"/>
      <c r="M568" s="54"/>
      <c r="N568" s="54"/>
      <c r="O568" s="54"/>
      <c r="P568" s="54"/>
      <c r="Q568" s="54"/>
    </row>
    <row r="569" spans="7:17">
      <c r="G569" s="54"/>
      <c r="H569" s="54"/>
      <c r="I569" s="54"/>
      <c r="J569" s="54"/>
      <c r="K569" s="54"/>
      <c r="L569" s="54"/>
      <c r="M569" s="54"/>
      <c r="N569" s="54"/>
      <c r="O569" s="54"/>
      <c r="P569" s="54"/>
      <c r="Q569" s="54"/>
    </row>
    <row r="570" spans="7:17">
      <c r="G570" s="54"/>
      <c r="H570" s="54"/>
      <c r="I570" s="54"/>
      <c r="J570" s="54"/>
      <c r="K570" s="54"/>
      <c r="L570" s="54"/>
      <c r="M570" s="54"/>
      <c r="N570" s="54"/>
      <c r="O570" s="54"/>
      <c r="P570" s="54"/>
      <c r="Q570" s="54"/>
    </row>
    <row r="571" spans="7:17">
      <c r="G571" s="54"/>
      <c r="H571" s="54"/>
      <c r="I571" s="54"/>
      <c r="J571" s="54"/>
      <c r="K571" s="54"/>
      <c r="L571" s="54"/>
      <c r="M571" s="54"/>
      <c r="N571" s="54"/>
      <c r="O571" s="54"/>
      <c r="P571" s="54"/>
      <c r="Q571" s="54"/>
    </row>
    <row r="572" spans="7:17">
      <c r="G572" s="54"/>
      <c r="H572" s="54"/>
      <c r="I572" s="54"/>
      <c r="J572" s="54"/>
      <c r="K572" s="54"/>
      <c r="L572" s="54"/>
      <c r="M572" s="54"/>
      <c r="N572" s="54"/>
      <c r="O572" s="54"/>
      <c r="P572" s="54"/>
      <c r="Q572" s="54"/>
    </row>
    <row r="573" spans="7:17">
      <c r="G573" s="54"/>
      <c r="H573" s="54"/>
      <c r="I573" s="54"/>
      <c r="J573" s="54"/>
      <c r="K573" s="54"/>
      <c r="L573" s="54"/>
      <c r="M573" s="54"/>
      <c r="N573" s="54"/>
      <c r="O573" s="54"/>
      <c r="P573" s="54"/>
      <c r="Q573" s="54"/>
    </row>
    <row r="574" spans="7:17">
      <c r="G574" s="54"/>
      <c r="H574" s="54"/>
      <c r="I574" s="54"/>
      <c r="J574" s="54"/>
      <c r="K574" s="54"/>
      <c r="L574" s="54"/>
      <c r="M574" s="54"/>
      <c r="N574" s="54"/>
      <c r="O574" s="54"/>
      <c r="P574" s="54"/>
      <c r="Q574" s="54"/>
    </row>
    <row r="575" spans="7:17">
      <c r="G575" s="54"/>
      <c r="H575" s="54"/>
      <c r="I575" s="54"/>
      <c r="J575" s="54"/>
      <c r="K575" s="54"/>
      <c r="L575" s="54"/>
      <c r="M575" s="54"/>
      <c r="N575" s="54"/>
      <c r="O575" s="54"/>
      <c r="P575" s="54"/>
      <c r="Q575" s="54"/>
    </row>
    <row r="576" spans="7:17">
      <c r="G576" s="54"/>
      <c r="H576" s="54"/>
      <c r="I576" s="54"/>
      <c r="J576" s="54"/>
      <c r="K576" s="54"/>
      <c r="L576" s="54"/>
      <c r="M576" s="54"/>
      <c r="N576" s="54"/>
      <c r="O576" s="54"/>
      <c r="P576" s="54"/>
      <c r="Q576" s="54"/>
    </row>
    <row r="577" spans="7:17">
      <c r="G577" s="54"/>
      <c r="H577" s="54"/>
      <c r="I577" s="54"/>
      <c r="J577" s="54"/>
      <c r="K577" s="54"/>
      <c r="L577" s="54"/>
      <c r="M577" s="54"/>
      <c r="N577" s="54"/>
      <c r="O577" s="54"/>
      <c r="P577" s="54"/>
      <c r="Q577" s="54"/>
    </row>
    <row r="578" spans="7:17">
      <c r="G578" s="54"/>
      <c r="H578" s="54"/>
      <c r="I578" s="54"/>
      <c r="J578" s="54"/>
      <c r="K578" s="54"/>
      <c r="L578" s="54"/>
      <c r="M578" s="54"/>
      <c r="N578" s="54"/>
      <c r="O578" s="54"/>
      <c r="P578" s="54"/>
      <c r="Q578" s="54"/>
    </row>
    <row r="579" spans="7:17">
      <c r="G579" s="54"/>
      <c r="H579" s="54"/>
      <c r="I579" s="54"/>
      <c r="J579" s="54"/>
      <c r="K579" s="54"/>
      <c r="L579" s="54"/>
      <c r="M579" s="54"/>
      <c r="N579" s="54"/>
      <c r="O579" s="54"/>
      <c r="P579" s="54"/>
      <c r="Q579" s="54"/>
    </row>
    <row r="580" spans="7:17">
      <c r="G580" s="54"/>
      <c r="H580" s="54"/>
      <c r="I580" s="54"/>
      <c r="J580" s="54"/>
      <c r="K580" s="54"/>
      <c r="L580" s="54"/>
      <c r="M580" s="54"/>
      <c r="N580" s="54"/>
      <c r="O580" s="54"/>
      <c r="P580" s="54"/>
      <c r="Q580" s="54"/>
    </row>
    <row r="581" spans="7:17">
      <c r="G581" s="54"/>
      <c r="H581" s="54"/>
      <c r="I581" s="54"/>
      <c r="J581" s="54"/>
      <c r="K581" s="54"/>
      <c r="L581" s="54"/>
      <c r="M581" s="54"/>
      <c r="N581" s="54"/>
      <c r="O581" s="54"/>
      <c r="P581" s="54"/>
      <c r="Q581" s="54"/>
    </row>
    <row r="582" spans="7:17">
      <c r="G582" s="54"/>
      <c r="H582" s="54"/>
      <c r="I582" s="54"/>
      <c r="J582" s="54"/>
      <c r="K582" s="54"/>
      <c r="L582" s="54"/>
      <c r="M582" s="54"/>
      <c r="N582" s="54"/>
      <c r="O582" s="54"/>
      <c r="P582" s="54"/>
      <c r="Q582" s="54"/>
    </row>
    <row r="583" spans="7:17">
      <c r="G583" s="54"/>
      <c r="H583" s="54"/>
      <c r="I583" s="54"/>
      <c r="J583" s="54"/>
      <c r="K583" s="54"/>
      <c r="L583" s="54"/>
      <c r="M583" s="54"/>
      <c r="N583" s="54"/>
      <c r="O583" s="54"/>
      <c r="P583" s="54"/>
      <c r="Q583" s="54"/>
    </row>
    <row r="584" spans="7:17">
      <c r="G584" s="54"/>
      <c r="H584" s="54"/>
      <c r="I584" s="54"/>
      <c r="J584" s="54"/>
      <c r="K584" s="54"/>
      <c r="L584" s="54"/>
      <c r="M584" s="54"/>
      <c r="N584" s="54"/>
      <c r="O584" s="54"/>
      <c r="P584" s="54"/>
      <c r="Q584" s="54"/>
    </row>
    <row r="585" spans="7:17">
      <c r="G585" s="54"/>
      <c r="H585" s="54"/>
      <c r="I585" s="54"/>
      <c r="J585" s="54"/>
      <c r="K585" s="54"/>
      <c r="L585" s="54"/>
      <c r="M585" s="54"/>
      <c r="N585" s="54"/>
      <c r="O585" s="54"/>
      <c r="P585" s="54"/>
      <c r="Q585" s="54"/>
    </row>
    <row r="586" spans="7:17">
      <c r="G586" s="54"/>
      <c r="H586" s="54"/>
      <c r="I586" s="54"/>
      <c r="J586" s="54"/>
      <c r="K586" s="54"/>
      <c r="L586" s="54"/>
      <c r="M586" s="54"/>
      <c r="N586" s="54"/>
      <c r="O586" s="54"/>
      <c r="P586" s="54"/>
      <c r="Q586" s="54"/>
    </row>
    <row r="587" spans="7:17">
      <c r="G587" s="54"/>
      <c r="H587" s="54"/>
      <c r="I587" s="54"/>
      <c r="J587" s="54"/>
      <c r="K587" s="54"/>
      <c r="L587" s="54"/>
      <c r="M587" s="54"/>
      <c r="N587" s="54"/>
      <c r="O587" s="54"/>
      <c r="P587" s="54"/>
      <c r="Q587" s="54"/>
    </row>
    <row r="588" spans="7:17">
      <c r="G588" s="54"/>
      <c r="H588" s="54"/>
      <c r="I588" s="54"/>
      <c r="J588" s="54"/>
      <c r="K588" s="54"/>
      <c r="L588" s="54"/>
      <c r="M588" s="54"/>
      <c r="N588" s="54"/>
      <c r="O588" s="54"/>
      <c r="P588" s="54"/>
      <c r="Q588" s="54"/>
    </row>
    <row r="589" spans="7:17">
      <c r="G589" s="54"/>
      <c r="H589" s="54"/>
      <c r="I589" s="54"/>
      <c r="J589" s="54"/>
      <c r="K589" s="54"/>
      <c r="L589" s="54"/>
      <c r="M589" s="54"/>
      <c r="N589" s="54"/>
      <c r="O589" s="54"/>
      <c r="P589" s="54"/>
      <c r="Q589" s="54"/>
    </row>
    <row r="590" spans="7:17">
      <c r="G590" s="54"/>
      <c r="H590" s="54"/>
      <c r="I590" s="54"/>
      <c r="J590" s="54"/>
      <c r="K590" s="54"/>
      <c r="L590" s="54"/>
      <c r="M590" s="54"/>
      <c r="N590" s="54"/>
      <c r="O590" s="54"/>
      <c r="P590" s="54"/>
      <c r="Q590" s="54"/>
    </row>
    <row r="591" spans="7:17">
      <c r="G591" s="54"/>
      <c r="H591" s="54"/>
      <c r="I591" s="54"/>
      <c r="J591" s="54"/>
      <c r="K591" s="54"/>
      <c r="L591" s="54"/>
      <c r="M591" s="54"/>
      <c r="N591" s="54"/>
      <c r="O591" s="54"/>
      <c r="P591" s="54"/>
      <c r="Q591" s="54"/>
    </row>
    <row r="592" spans="7:17">
      <c r="G592" s="54"/>
      <c r="H592" s="54"/>
      <c r="I592" s="54"/>
      <c r="J592" s="54"/>
      <c r="K592" s="54"/>
      <c r="L592" s="54"/>
      <c r="M592" s="54"/>
      <c r="N592" s="54"/>
      <c r="O592" s="54"/>
      <c r="P592" s="54"/>
      <c r="Q592" s="54"/>
    </row>
    <row r="593" spans="7:17">
      <c r="G593" s="54"/>
      <c r="H593" s="54"/>
      <c r="I593" s="54"/>
      <c r="J593" s="54"/>
      <c r="K593" s="54"/>
      <c r="L593" s="54"/>
      <c r="M593" s="54"/>
      <c r="N593" s="54"/>
      <c r="O593" s="54"/>
      <c r="P593" s="54"/>
      <c r="Q593" s="54"/>
    </row>
    <row r="594" spans="7:17">
      <c r="G594" s="54"/>
      <c r="H594" s="54"/>
      <c r="I594" s="54"/>
      <c r="J594" s="54"/>
      <c r="K594" s="54"/>
      <c r="L594" s="54"/>
      <c r="M594" s="54"/>
      <c r="N594" s="54"/>
      <c r="O594" s="54"/>
      <c r="P594" s="54"/>
      <c r="Q594" s="54"/>
    </row>
    <row r="595" spans="7:17">
      <c r="G595" s="54"/>
      <c r="H595" s="54"/>
      <c r="I595" s="54"/>
      <c r="J595" s="54"/>
      <c r="K595" s="54"/>
      <c r="L595" s="54"/>
      <c r="M595" s="54"/>
      <c r="N595" s="54"/>
      <c r="O595" s="54"/>
      <c r="P595" s="54"/>
      <c r="Q595" s="54"/>
    </row>
    <row r="596" spans="7:17">
      <c r="G596" s="54"/>
      <c r="H596" s="54"/>
      <c r="I596" s="54"/>
      <c r="J596" s="54"/>
      <c r="K596" s="54"/>
      <c r="L596" s="54"/>
      <c r="M596" s="54"/>
      <c r="N596" s="54"/>
      <c r="O596" s="54"/>
      <c r="P596" s="54"/>
      <c r="Q596" s="54"/>
    </row>
    <row r="597" spans="7:17">
      <c r="G597" s="54"/>
      <c r="H597" s="54"/>
      <c r="I597" s="54"/>
      <c r="J597" s="54"/>
      <c r="K597" s="54"/>
      <c r="L597" s="54"/>
      <c r="M597" s="54"/>
      <c r="N597" s="54"/>
      <c r="O597" s="54"/>
      <c r="P597" s="54"/>
      <c r="Q597" s="54"/>
    </row>
    <row r="598" spans="7:17">
      <c r="G598" s="54"/>
      <c r="H598" s="54"/>
      <c r="I598" s="54"/>
      <c r="J598" s="54"/>
      <c r="K598" s="54"/>
      <c r="L598" s="54"/>
      <c r="M598" s="54"/>
      <c r="N598" s="54"/>
      <c r="O598" s="54"/>
      <c r="P598" s="54"/>
      <c r="Q598" s="54"/>
    </row>
    <row r="599" spans="7:17">
      <c r="G599" s="54"/>
      <c r="H599" s="54"/>
      <c r="I599" s="54"/>
      <c r="J599" s="54"/>
      <c r="K599" s="54"/>
      <c r="L599" s="54"/>
      <c r="M599" s="54"/>
      <c r="N599" s="54"/>
      <c r="O599" s="54"/>
      <c r="P599" s="54"/>
      <c r="Q599" s="54"/>
    </row>
    <row r="600" spans="7:17">
      <c r="G600" s="54"/>
      <c r="H600" s="54"/>
      <c r="I600" s="54"/>
      <c r="J600" s="54"/>
      <c r="K600" s="54"/>
      <c r="L600" s="54"/>
      <c r="M600" s="54"/>
      <c r="N600" s="54"/>
      <c r="O600" s="54"/>
      <c r="P600" s="54"/>
      <c r="Q600" s="54"/>
    </row>
    <row r="601" spans="7:17">
      <c r="G601" s="54"/>
      <c r="H601" s="54"/>
      <c r="I601" s="54"/>
      <c r="J601" s="54"/>
      <c r="K601" s="54"/>
      <c r="L601" s="54"/>
      <c r="M601" s="54"/>
      <c r="N601" s="54"/>
      <c r="O601" s="54"/>
      <c r="P601" s="54"/>
      <c r="Q601" s="54"/>
    </row>
    <row r="602" spans="7:17">
      <c r="G602" s="54"/>
      <c r="H602" s="54"/>
      <c r="I602" s="54"/>
      <c r="J602" s="54"/>
      <c r="K602" s="54"/>
      <c r="L602" s="54"/>
      <c r="M602" s="54"/>
      <c r="N602" s="54"/>
      <c r="O602" s="54"/>
      <c r="P602" s="54"/>
      <c r="Q602" s="54"/>
    </row>
    <row r="603" spans="7:17">
      <c r="G603" s="54"/>
      <c r="H603" s="54"/>
      <c r="I603" s="54"/>
      <c r="J603" s="54"/>
      <c r="K603" s="54"/>
      <c r="L603" s="54"/>
      <c r="M603" s="54"/>
      <c r="N603" s="54"/>
      <c r="O603" s="54"/>
      <c r="P603" s="54"/>
      <c r="Q603" s="54"/>
    </row>
    <row r="604" spans="7:17">
      <c r="G604" s="54"/>
      <c r="H604" s="54"/>
      <c r="I604" s="54"/>
      <c r="J604" s="54"/>
      <c r="K604" s="54"/>
      <c r="L604" s="54"/>
      <c r="M604" s="54"/>
      <c r="N604" s="54"/>
      <c r="O604" s="54"/>
      <c r="P604" s="54"/>
      <c r="Q604" s="54"/>
    </row>
    <row r="605" spans="7:17">
      <c r="G605" s="54"/>
      <c r="H605" s="54"/>
      <c r="I605" s="54"/>
      <c r="J605" s="54"/>
      <c r="K605" s="54"/>
      <c r="L605" s="54"/>
      <c r="M605" s="54"/>
      <c r="N605" s="54"/>
      <c r="O605" s="54"/>
      <c r="P605" s="54"/>
      <c r="Q605" s="54"/>
    </row>
    <row r="606" spans="7:17">
      <c r="G606" s="54"/>
      <c r="H606" s="54"/>
      <c r="I606" s="54"/>
      <c r="J606" s="54"/>
      <c r="K606" s="54"/>
      <c r="L606" s="54"/>
      <c r="M606" s="54"/>
      <c r="N606" s="54"/>
      <c r="O606" s="54"/>
      <c r="P606" s="54"/>
      <c r="Q606" s="54"/>
    </row>
    <row r="607" spans="7:17">
      <c r="G607" s="54"/>
      <c r="H607" s="54"/>
      <c r="I607" s="54"/>
      <c r="J607" s="54"/>
      <c r="K607" s="54"/>
      <c r="L607" s="54"/>
      <c r="M607" s="54"/>
      <c r="N607" s="54"/>
      <c r="O607" s="54"/>
      <c r="P607" s="54"/>
      <c r="Q607" s="54"/>
    </row>
    <row r="608" spans="7:17">
      <c r="G608" s="54"/>
      <c r="H608" s="54"/>
      <c r="I608" s="54"/>
      <c r="J608" s="54"/>
      <c r="K608" s="54"/>
      <c r="L608" s="54"/>
      <c r="M608" s="54"/>
      <c r="N608" s="54"/>
      <c r="O608" s="54"/>
      <c r="P608" s="54"/>
      <c r="Q608" s="54"/>
    </row>
    <row r="609" spans="7:17">
      <c r="G609" s="54"/>
      <c r="H609" s="54"/>
      <c r="I609" s="54"/>
      <c r="J609" s="54"/>
      <c r="K609" s="54"/>
      <c r="L609" s="54"/>
      <c r="M609" s="54"/>
      <c r="N609" s="54"/>
      <c r="O609" s="54"/>
      <c r="P609" s="54"/>
      <c r="Q609" s="54"/>
    </row>
    <row r="610" spans="7:17">
      <c r="G610" s="54"/>
      <c r="H610" s="54"/>
      <c r="I610" s="54"/>
      <c r="J610" s="54"/>
      <c r="K610" s="54"/>
      <c r="L610" s="54"/>
      <c r="M610" s="54"/>
      <c r="N610" s="54"/>
      <c r="O610" s="54"/>
      <c r="P610" s="54"/>
      <c r="Q610" s="54"/>
    </row>
    <row r="611" spans="7:17">
      <c r="G611" s="54"/>
      <c r="H611" s="54"/>
      <c r="I611" s="54"/>
      <c r="J611" s="54"/>
      <c r="K611" s="54"/>
      <c r="L611" s="54"/>
      <c r="M611" s="54"/>
      <c r="N611" s="54"/>
      <c r="O611" s="54"/>
      <c r="P611" s="54"/>
      <c r="Q611" s="54"/>
    </row>
    <row r="612" spans="7:17">
      <c r="G612" s="54"/>
      <c r="H612" s="54"/>
      <c r="I612" s="54"/>
      <c r="J612" s="54"/>
      <c r="K612" s="54"/>
      <c r="L612" s="54"/>
      <c r="M612" s="54"/>
      <c r="N612" s="54"/>
      <c r="O612" s="54"/>
      <c r="P612" s="54"/>
      <c r="Q612" s="54"/>
    </row>
    <row r="613" spans="7:17">
      <c r="G613" s="54"/>
      <c r="H613" s="54"/>
      <c r="I613" s="54"/>
      <c r="J613" s="54"/>
      <c r="K613" s="54"/>
      <c r="L613" s="54"/>
      <c r="M613" s="54"/>
      <c r="N613" s="54"/>
      <c r="O613" s="54"/>
      <c r="P613" s="54"/>
      <c r="Q613" s="54"/>
    </row>
    <row r="614" spans="7:17">
      <c r="G614" s="54"/>
      <c r="H614" s="54"/>
      <c r="I614" s="54"/>
      <c r="J614" s="54"/>
      <c r="K614" s="54"/>
      <c r="L614" s="54"/>
      <c r="M614" s="54"/>
      <c r="N614" s="54"/>
      <c r="O614" s="54"/>
      <c r="P614" s="54"/>
      <c r="Q614" s="54"/>
    </row>
    <row r="615" spans="7:17">
      <c r="G615" s="54"/>
      <c r="H615" s="54"/>
      <c r="I615" s="54"/>
      <c r="J615" s="54"/>
      <c r="K615" s="54"/>
      <c r="L615" s="54"/>
      <c r="M615" s="54"/>
      <c r="N615" s="54"/>
      <c r="O615" s="54"/>
      <c r="P615" s="54"/>
      <c r="Q615" s="54"/>
    </row>
    <row r="616" spans="7:17">
      <c r="G616" s="54"/>
      <c r="H616" s="54"/>
      <c r="I616" s="54"/>
      <c r="J616" s="54"/>
      <c r="K616" s="54"/>
      <c r="L616" s="54"/>
      <c r="M616" s="54"/>
      <c r="N616" s="54"/>
      <c r="O616" s="54"/>
      <c r="P616" s="54"/>
      <c r="Q616" s="54"/>
    </row>
    <row r="617" spans="7:17">
      <c r="G617" s="54"/>
      <c r="H617" s="54"/>
      <c r="I617" s="54"/>
      <c r="J617" s="54"/>
      <c r="K617" s="54"/>
      <c r="L617" s="54"/>
      <c r="M617" s="54"/>
      <c r="N617" s="54"/>
      <c r="O617" s="54"/>
      <c r="P617" s="54"/>
      <c r="Q617" s="54"/>
    </row>
    <row r="618" spans="7:17">
      <c r="G618" s="54"/>
      <c r="H618" s="54"/>
      <c r="I618" s="54"/>
      <c r="J618" s="54"/>
      <c r="K618" s="54"/>
      <c r="L618" s="54"/>
      <c r="M618" s="54"/>
      <c r="N618" s="54"/>
      <c r="O618" s="54"/>
      <c r="P618" s="54"/>
      <c r="Q618" s="54"/>
    </row>
    <row r="619" spans="7:17">
      <c r="G619" s="54"/>
      <c r="H619" s="54"/>
      <c r="I619" s="54"/>
      <c r="J619" s="54"/>
      <c r="K619" s="54"/>
      <c r="L619" s="54"/>
      <c r="M619" s="54"/>
      <c r="N619" s="54"/>
      <c r="O619" s="54"/>
      <c r="P619" s="54"/>
      <c r="Q619" s="54"/>
    </row>
    <row r="620" spans="7:17">
      <c r="G620" s="54"/>
      <c r="H620" s="54"/>
      <c r="I620" s="54"/>
      <c r="J620" s="54"/>
      <c r="K620" s="54"/>
      <c r="L620" s="54"/>
      <c r="M620" s="54"/>
      <c r="N620" s="54"/>
      <c r="O620" s="54"/>
      <c r="P620" s="54"/>
      <c r="Q620" s="54"/>
    </row>
    <row r="621" spans="7:17">
      <c r="G621" s="54"/>
      <c r="H621" s="54"/>
      <c r="I621" s="54"/>
      <c r="J621" s="54"/>
      <c r="K621" s="54"/>
      <c r="L621" s="54"/>
      <c r="M621" s="54"/>
      <c r="N621" s="54"/>
      <c r="O621" s="54"/>
      <c r="P621" s="54"/>
      <c r="Q621" s="54"/>
    </row>
    <row r="622" spans="7:17">
      <c r="G622" s="54"/>
      <c r="H622" s="54"/>
      <c r="I622" s="54"/>
      <c r="J622" s="54"/>
      <c r="K622" s="54"/>
      <c r="L622" s="54"/>
      <c r="M622" s="54"/>
      <c r="N622" s="54"/>
      <c r="O622" s="54"/>
      <c r="P622" s="54"/>
      <c r="Q622" s="54"/>
    </row>
    <row r="623" spans="7:17">
      <c r="G623" s="54"/>
      <c r="H623" s="54"/>
      <c r="I623" s="54"/>
      <c r="J623" s="54"/>
      <c r="K623" s="54"/>
      <c r="L623" s="54"/>
      <c r="M623" s="54"/>
      <c r="N623" s="54"/>
      <c r="O623" s="54"/>
      <c r="P623" s="54"/>
      <c r="Q623" s="54"/>
    </row>
    <row r="624" spans="7:17">
      <c r="G624" s="54"/>
      <c r="H624" s="54"/>
      <c r="I624" s="54"/>
      <c r="J624" s="54"/>
      <c r="K624" s="54"/>
      <c r="L624" s="54"/>
      <c r="M624" s="54"/>
      <c r="N624" s="54"/>
      <c r="O624" s="54"/>
      <c r="P624" s="54"/>
      <c r="Q624" s="54"/>
    </row>
    <row r="625" spans="7:17">
      <c r="G625" s="54"/>
      <c r="H625" s="54"/>
      <c r="I625" s="54"/>
      <c r="J625" s="54"/>
      <c r="K625" s="54"/>
      <c r="L625" s="54"/>
      <c r="M625" s="54"/>
      <c r="N625" s="54"/>
      <c r="O625" s="54"/>
      <c r="P625" s="54"/>
      <c r="Q625" s="54"/>
    </row>
    <row r="626" spans="7:17">
      <c r="G626" s="54"/>
      <c r="H626" s="54"/>
      <c r="I626" s="54"/>
      <c r="J626" s="54"/>
      <c r="K626" s="54"/>
      <c r="L626" s="54"/>
      <c r="M626" s="54"/>
      <c r="N626" s="54"/>
      <c r="O626" s="54"/>
      <c r="P626" s="54"/>
      <c r="Q626" s="54"/>
    </row>
    <row r="627" spans="7:17">
      <c r="G627" s="54"/>
      <c r="H627" s="54"/>
      <c r="I627" s="54"/>
      <c r="J627" s="54"/>
      <c r="K627" s="54"/>
      <c r="L627" s="54"/>
      <c r="M627" s="54"/>
      <c r="N627" s="54"/>
      <c r="O627" s="54"/>
      <c r="P627" s="54"/>
      <c r="Q627" s="54"/>
    </row>
    <row r="628" spans="7:17">
      <c r="G628" s="54"/>
      <c r="H628" s="54"/>
      <c r="I628" s="54"/>
      <c r="J628" s="54"/>
      <c r="K628" s="54"/>
      <c r="L628" s="54"/>
      <c r="M628" s="54"/>
      <c r="N628" s="54"/>
      <c r="O628" s="54"/>
      <c r="P628" s="54"/>
      <c r="Q628" s="54"/>
    </row>
    <row r="629" spans="7:17">
      <c r="G629" s="54"/>
      <c r="H629" s="54"/>
      <c r="I629" s="54"/>
      <c r="J629" s="54"/>
      <c r="K629" s="54"/>
      <c r="L629" s="54"/>
      <c r="M629" s="54"/>
      <c r="N629" s="54"/>
      <c r="O629" s="54"/>
      <c r="P629" s="54"/>
      <c r="Q629" s="54"/>
    </row>
    <row r="630" spans="7:17">
      <c r="G630" s="54"/>
      <c r="H630" s="54"/>
      <c r="I630" s="54"/>
      <c r="J630" s="54"/>
      <c r="K630" s="54"/>
      <c r="L630" s="54"/>
      <c r="M630" s="54"/>
      <c r="N630" s="54"/>
      <c r="O630" s="54"/>
      <c r="P630" s="54"/>
      <c r="Q630" s="54"/>
    </row>
    <row r="631" spans="7:17">
      <c r="G631" s="54"/>
      <c r="H631" s="54"/>
      <c r="I631" s="54"/>
      <c r="J631" s="54"/>
      <c r="K631" s="54"/>
      <c r="L631" s="54"/>
      <c r="M631" s="54"/>
      <c r="N631" s="54"/>
      <c r="O631" s="54"/>
      <c r="P631" s="54"/>
      <c r="Q631" s="54"/>
    </row>
    <row r="632" spans="7:17">
      <c r="G632" s="54"/>
      <c r="H632" s="54"/>
      <c r="I632" s="54"/>
      <c r="J632" s="54"/>
      <c r="K632" s="54"/>
      <c r="L632" s="54"/>
      <c r="M632" s="54"/>
      <c r="N632" s="54"/>
      <c r="O632" s="54"/>
      <c r="P632" s="54"/>
      <c r="Q632" s="54"/>
    </row>
    <row r="633" spans="7:17">
      <c r="G633" s="54"/>
      <c r="H633" s="54"/>
      <c r="I633" s="54"/>
      <c r="J633" s="54"/>
      <c r="K633" s="54"/>
      <c r="L633" s="54"/>
      <c r="M633" s="54"/>
      <c r="N633" s="54"/>
      <c r="O633" s="54"/>
      <c r="P633" s="54"/>
      <c r="Q633" s="54"/>
    </row>
    <row r="634" spans="7:17">
      <c r="G634" s="54"/>
      <c r="H634" s="54"/>
      <c r="I634" s="54"/>
      <c r="J634" s="54"/>
      <c r="K634" s="54"/>
      <c r="L634" s="54"/>
      <c r="M634" s="54"/>
      <c r="N634" s="54"/>
      <c r="O634" s="54"/>
      <c r="P634" s="54"/>
      <c r="Q634" s="54"/>
    </row>
    <row r="635" spans="7:17">
      <c r="G635" s="54"/>
      <c r="H635" s="54"/>
      <c r="I635" s="54"/>
      <c r="J635" s="54"/>
      <c r="K635" s="54"/>
      <c r="L635" s="54"/>
      <c r="M635" s="54"/>
      <c r="N635" s="54"/>
      <c r="O635" s="54"/>
      <c r="P635" s="54"/>
      <c r="Q635" s="54"/>
    </row>
    <row r="636" spans="7:17">
      <c r="G636" s="54"/>
      <c r="H636" s="54"/>
      <c r="I636" s="54"/>
      <c r="J636" s="54"/>
      <c r="K636" s="54"/>
      <c r="L636" s="54"/>
      <c r="M636" s="54"/>
      <c r="N636" s="54"/>
      <c r="O636" s="54"/>
      <c r="P636" s="54"/>
      <c r="Q636" s="54"/>
    </row>
    <row r="637" spans="7:17">
      <c r="G637" s="54"/>
      <c r="H637" s="54"/>
      <c r="I637" s="54"/>
      <c r="J637" s="54"/>
      <c r="K637" s="54"/>
      <c r="L637" s="54"/>
      <c r="M637" s="54"/>
      <c r="N637" s="54"/>
      <c r="O637" s="54"/>
      <c r="P637" s="54"/>
      <c r="Q637" s="54"/>
    </row>
    <row r="638" spans="7:17">
      <c r="G638" s="54"/>
      <c r="H638" s="54"/>
      <c r="I638" s="54"/>
      <c r="J638" s="54"/>
      <c r="K638" s="54"/>
      <c r="L638" s="54"/>
      <c r="M638" s="54"/>
      <c r="N638" s="54"/>
      <c r="O638" s="54"/>
      <c r="P638" s="54"/>
      <c r="Q638" s="54"/>
    </row>
    <row r="639" spans="7:17">
      <c r="G639" s="54"/>
      <c r="H639" s="54"/>
      <c r="I639" s="54"/>
      <c r="J639" s="54"/>
      <c r="K639" s="54"/>
      <c r="L639" s="54"/>
      <c r="M639" s="54"/>
      <c r="N639" s="54"/>
      <c r="O639" s="54"/>
      <c r="P639" s="54"/>
      <c r="Q639" s="54"/>
    </row>
    <row r="640" spans="7:17">
      <c r="G640" s="54"/>
      <c r="H640" s="54"/>
      <c r="I640" s="54"/>
      <c r="J640" s="54"/>
      <c r="K640" s="54"/>
      <c r="L640" s="54"/>
      <c r="M640" s="54"/>
      <c r="N640" s="54"/>
      <c r="O640" s="54"/>
      <c r="P640" s="54"/>
      <c r="Q640" s="54"/>
    </row>
    <row r="641" spans="7:17">
      <c r="G641" s="54"/>
      <c r="H641" s="54"/>
      <c r="I641" s="54"/>
      <c r="J641" s="54"/>
      <c r="K641" s="54"/>
      <c r="L641" s="54"/>
      <c r="M641" s="54"/>
      <c r="N641" s="54"/>
      <c r="O641" s="54"/>
      <c r="P641" s="54"/>
      <c r="Q641" s="54"/>
    </row>
    <row r="642" spans="7:17">
      <c r="G642" s="54"/>
      <c r="H642" s="54"/>
      <c r="I642" s="54"/>
      <c r="J642" s="54"/>
      <c r="K642" s="54"/>
      <c r="L642" s="54"/>
      <c r="M642" s="54"/>
      <c r="N642" s="54"/>
      <c r="O642" s="54"/>
      <c r="P642" s="54"/>
      <c r="Q642" s="54"/>
    </row>
    <row r="643" spans="7:17">
      <c r="G643" s="54"/>
      <c r="H643" s="54"/>
      <c r="I643" s="54"/>
      <c r="J643" s="54"/>
      <c r="K643" s="54"/>
      <c r="L643" s="54"/>
      <c r="M643" s="54"/>
      <c r="N643" s="54"/>
      <c r="O643" s="54"/>
      <c r="P643" s="54"/>
      <c r="Q643" s="54"/>
    </row>
    <row r="644" spans="7:17">
      <c r="G644" s="54"/>
      <c r="H644" s="54"/>
      <c r="I644" s="54"/>
      <c r="J644" s="54"/>
      <c r="K644" s="54"/>
      <c r="L644" s="54"/>
      <c r="M644" s="54"/>
      <c r="N644" s="54"/>
      <c r="O644" s="54"/>
      <c r="P644" s="54"/>
      <c r="Q644" s="54"/>
    </row>
    <row r="645" spans="7:17">
      <c r="G645" s="54"/>
      <c r="H645" s="54"/>
      <c r="I645" s="54"/>
      <c r="J645" s="54"/>
      <c r="K645" s="54"/>
      <c r="L645" s="54"/>
      <c r="M645" s="54"/>
      <c r="N645" s="54"/>
      <c r="O645" s="54"/>
      <c r="P645" s="54"/>
      <c r="Q645" s="54"/>
    </row>
    <row r="646" spans="7:17">
      <c r="G646" s="54"/>
      <c r="H646" s="54"/>
      <c r="I646" s="54"/>
      <c r="J646" s="54"/>
      <c r="K646" s="54"/>
      <c r="L646" s="54"/>
      <c r="M646" s="54"/>
      <c r="N646" s="54"/>
      <c r="O646" s="54"/>
      <c r="P646" s="54"/>
      <c r="Q646" s="54"/>
    </row>
    <row r="647" spans="7:17">
      <c r="G647" s="54"/>
      <c r="H647" s="54"/>
      <c r="I647" s="54"/>
      <c r="J647" s="54"/>
      <c r="K647" s="54"/>
      <c r="L647" s="54"/>
      <c r="M647" s="54"/>
      <c r="N647" s="54"/>
      <c r="O647" s="54"/>
      <c r="P647" s="54"/>
      <c r="Q647" s="54"/>
    </row>
    <row r="648" spans="7:17">
      <c r="G648" s="54"/>
      <c r="H648" s="54"/>
      <c r="I648" s="54"/>
      <c r="J648" s="54"/>
      <c r="K648" s="54"/>
      <c r="L648" s="54"/>
      <c r="M648" s="54"/>
      <c r="N648" s="54"/>
      <c r="O648" s="54"/>
      <c r="P648" s="54"/>
      <c r="Q648" s="54"/>
    </row>
    <row r="649" spans="7:17">
      <c r="G649" s="54"/>
      <c r="H649" s="54"/>
      <c r="I649" s="54"/>
      <c r="J649" s="54"/>
      <c r="K649" s="54"/>
      <c r="L649" s="54"/>
      <c r="M649" s="54"/>
      <c r="N649" s="54"/>
      <c r="O649" s="54"/>
      <c r="P649" s="54"/>
      <c r="Q649" s="54"/>
    </row>
    <row r="650" spans="7:17">
      <c r="G650" s="54"/>
      <c r="H650" s="54"/>
      <c r="I650" s="54"/>
      <c r="J650" s="54"/>
      <c r="K650" s="54"/>
      <c r="L650" s="54"/>
      <c r="M650" s="54"/>
      <c r="N650" s="54"/>
      <c r="O650" s="54"/>
      <c r="P650" s="54"/>
      <c r="Q650" s="54"/>
    </row>
    <row r="651" spans="7:17">
      <c r="G651" s="54"/>
      <c r="H651" s="54"/>
      <c r="I651" s="54"/>
      <c r="J651" s="54"/>
      <c r="K651" s="54"/>
      <c r="L651" s="54"/>
      <c r="M651" s="54"/>
      <c r="N651" s="54"/>
      <c r="O651" s="54"/>
      <c r="P651" s="54"/>
      <c r="Q651" s="54"/>
    </row>
    <row r="652" spans="7:17">
      <c r="G652" s="54"/>
      <c r="H652" s="54"/>
      <c r="I652" s="54"/>
      <c r="J652" s="54"/>
      <c r="K652" s="54"/>
      <c r="L652" s="54"/>
      <c r="M652" s="54"/>
      <c r="N652" s="54"/>
      <c r="O652" s="54"/>
      <c r="P652" s="54"/>
      <c r="Q652" s="54"/>
    </row>
    <row r="653" spans="7:17">
      <c r="G653" s="54"/>
      <c r="H653" s="54"/>
      <c r="I653" s="54"/>
      <c r="J653" s="54"/>
      <c r="K653" s="54"/>
      <c r="L653" s="54"/>
      <c r="M653" s="54"/>
      <c r="N653" s="54"/>
      <c r="O653" s="54"/>
      <c r="P653" s="54"/>
      <c r="Q653" s="54"/>
    </row>
    <row r="654" spans="7:17">
      <c r="G654" s="54"/>
      <c r="H654" s="54"/>
      <c r="I654" s="54"/>
      <c r="J654" s="54"/>
      <c r="K654" s="54"/>
      <c r="L654" s="54"/>
      <c r="M654" s="54"/>
      <c r="N654" s="54"/>
      <c r="O654" s="54"/>
      <c r="P654" s="54"/>
      <c r="Q654" s="54"/>
    </row>
    <row r="655" spans="7:17">
      <c r="G655" s="54"/>
      <c r="H655" s="54"/>
      <c r="I655" s="54"/>
      <c r="J655" s="54"/>
      <c r="K655" s="54"/>
      <c r="L655" s="54"/>
      <c r="M655" s="54"/>
      <c r="N655" s="54"/>
      <c r="O655" s="54"/>
      <c r="P655" s="54"/>
      <c r="Q655" s="54"/>
    </row>
    <row r="656" spans="7:17">
      <c r="G656" s="54"/>
      <c r="H656" s="54"/>
      <c r="I656" s="54"/>
      <c r="J656" s="54"/>
      <c r="K656" s="54"/>
      <c r="L656" s="54"/>
      <c r="M656" s="54"/>
      <c r="N656" s="54"/>
      <c r="O656" s="54"/>
      <c r="P656" s="54"/>
      <c r="Q656" s="54"/>
    </row>
    <row r="657" spans="7:17">
      <c r="G657" s="54"/>
      <c r="H657" s="54"/>
      <c r="I657" s="54"/>
      <c r="J657" s="54"/>
      <c r="K657" s="54"/>
      <c r="L657" s="54"/>
      <c r="M657" s="54"/>
      <c r="N657" s="54"/>
      <c r="O657" s="54"/>
      <c r="P657" s="54"/>
      <c r="Q657" s="54"/>
    </row>
    <row r="658" spans="7:17">
      <c r="G658" s="54"/>
      <c r="H658" s="54"/>
      <c r="I658" s="54"/>
      <c r="J658" s="54"/>
      <c r="K658" s="54"/>
      <c r="L658" s="54"/>
      <c r="M658" s="54"/>
      <c r="N658" s="54"/>
      <c r="O658" s="54"/>
      <c r="P658" s="54"/>
      <c r="Q658" s="54"/>
    </row>
    <row r="659" spans="7:17">
      <c r="G659" s="54"/>
      <c r="H659" s="54"/>
      <c r="I659" s="54"/>
      <c r="J659" s="54"/>
      <c r="K659" s="54"/>
      <c r="L659" s="54"/>
      <c r="M659" s="54"/>
      <c r="N659" s="54"/>
      <c r="O659" s="54"/>
      <c r="P659" s="54"/>
      <c r="Q659" s="54"/>
    </row>
    <row r="660" spans="7:17">
      <c r="G660" s="54"/>
      <c r="H660" s="54"/>
      <c r="I660" s="54"/>
      <c r="J660" s="54"/>
      <c r="K660" s="54"/>
      <c r="L660" s="54"/>
      <c r="M660" s="54"/>
      <c r="N660" s="54"/>
      <c r="O660" s="54"/>
      <c r="P660" s="54"/>
      <c r="Q660" s="54"/>
    </row>
    <row r="661" spans="7:17">
      <c r="G661" s="54"/>
      <c r="H661" s="54"/>
      <c r="I661" s="54"/>
      <c r="J661" s="54"/>
      <c r="K661" s="54"/>
      <c r="L661" s="54"/>
      <c r="M661" s="54"/>
      <c r="N661" s="54"/>
      <c r="O661" s="54"/>
      <c r="P661" s="54"/>
      <c r="Q661" s="54"/>
    </row>
    <row r="662" spans="7:17">
      <c r="G662" s="54"/>
      <c r="H662" s="54"/>
      <c r="I662" s="54"/>
      <c r="J662" s="54"/>
      <c r="K662" s="54"/>
      <c r="L662" s="54"/>
      <c r="M662" s="54"/>
      <c r="N662" s="54"/>
      <c r="O662" s="54"/>
      <c r="P662" s="54"/>
      <c r="Q662" s="54"/>
    </row>
    <row r="663" spans="7:17">
      <c r="G663" s="54"/>
      <c r="H663" s="54"/>
      <c r="I663" s="54"/>
      <c r="J663" s="54"/>
      <c r="K663" s="54"/>
      <c r="L663" s="54"/>
      <c r="M663" s="54"/>
      <c r="N663" s="54"/>
      <c r="O663" s="54"/>
      <c r="P663" s="54"/>
      <c r="Q663" s="54"/>
    </row>
    <row r="664" spans="7:17">
      <c r="G664" s="54"/>
      <c r="H664" s="54"/>
      <c r="I664" s="54"/>
      <c r="J664" s="54"/>
      <c r="K664" s="54"/>
      <c r="L664" s="54"/>
      <c r="M664" s="54"/>
      <c r="N664" s="54"/>
      <c r="O664" s="54"/>
      <c r="P664" s="54"/>
      <c r="Q664" s="54"/>
    </row>
    <row r="665" spans="7:17">
      <c r="G665" s="54"/>
      <c r="H665" s="54"/>
      <c r="I665" s="54"/>
      <c r="J665" s="54"/>
      <c r="K665" s="54"/>
      <c r="L665" s="54"/>
      <c r="M665" s="54"/>
      <c r="N665" s="54"/>
      <c r="O665" s="54"/>
      <c r="P665" s="54"/>
      <c r="Q665" s="54"/>
    </row>
    <row r="666" spans="7:17">
      <c r="G666" s="54"/>
      <c r="H666" s="54"/>
      <c r="I666" s="54"/>
      <c r="J666" s="54"/>
      <c r="K666" s="54"/>
      <c r="L666" s="54"/>
      <c r="M666" s="54"/>
      <c r="N666" s="54"/>
      <c r="O666" s="54"/>
      <c r="P666" s="54"/>
      <c r="Q666" s="54"/>
    </row>
    <row r="667" spans="7:17">
      <c r="G667" s="54"/>
      <c r="H667" s="54"/>
      <c r="I667" s="54"/>
      <c r="J667" s="54"/>
      <c r="K667" s="54"/>
      <c r="L667" s="54"/>
      <c r="M667" s="54"/>
      <c r="N667" s="54"/>
      <c r="O667" s="54"/>
      <c r="P667" s="54"/>
      <c r="Q667" s="54"/>
    </row>
    <row r="668" spans="7:17">
      <c r="G668" s="54"/>
      <c r="H668" s="54"/>
      <c r="I668" s="54"/>
      <c r="J668" s="54"/>
      <c r="K668" s="54"/>
      <c r="L668" s="54"/>
      <c r="M668" s="54"/>
      <c r="N668" s="54"/>
      <c r="O668" s="54"/>
      <c r="P668" s="54"/>
      <c r="Q668" s="54"/>
    </row>
    <row r="669" spans="7:17">
      <c r="G669" s="54"/>
      <c r="H669" s="54"/>
      <c r="I669" s="54"/>
      <c r="J669" s="54"/>
      <c r="K669" s="54"/>
      <c r="L669" s="54"/>
      <c r="M669" s="54"/>
      <c r="N669" s="54"/>
      <c r="O669" s="54"/>
      <c r="P669" s="54"/>
      <c r="Q669" s="54"/>
    </row>
    <row r="670" spans="7:17">
      <c r="G670" s="54"/>
      <c r="H670" s="54"/>
      <c r="I670" s="54"/>
      <c r="J670" s="54"/>
      <c r="K670" s="54"/>
      <c r="L670" s="54"/>
      <c r="M670" s="54"/>
      <c r="N670" s="54"/>
      <c r="O670" s="54"/>
      <c r="P670" s="54"/>
      <c r="Q670" s="54"/>
    </row>
    <row r="671" spans="7:17">
      <c r="G671" s="54"/>
      <c r="H671" s="54"/>
      <c r="I671" s="54"/>
      <c r="J671" s="54"/>
      <c r="K671" s="54"/>
      <c r="L671" s="54"/>
      <c r="M671" s="54"/>
      <c r="N671" s="54"/>
      <c r="O671" s="54"/>
      <c r="P671" s="54"/>
      <c r="Q671" s="54"/>
    </row>
    <row r="672" spans="7:17">
      <c r="G672" s="54"/>
      <c r="H672" s="54"/>
      <c r="I672" s="54"/>
      <c r="J672" s="54"/>
      <c r="K672" s="54"/>
      <c r="L672" s="54"/>
      <c r="M672" s="54"/>
      <c r="N672" s="54"/>
      <c r="O672" s="54"/>
      <c r="P672" s="54"/>
      <c r="Q672" s="54"/>
    </row>
    <row r="673" spans="7:17">
      <c r="G673" s="54"/>
      <c r="H673" s="54"/>
      <c r="I673" s="54"/>
      <c r="J673" s="54"/>
      <c r="K673" s="54"/>
      <c r="L673" s="54"/>
      <c r="M673" s="54"/>
      <c r="N673" s="54"/>
      <c r="O673" s="54"/>
      <c r="P673" s="54"/>
      <c r="Q673" s="54"/>
    </row>
    <row r="674" spans="7:17">
      <c r="G674" s="54"/>
      <c r="H674" s="54"/>
      <c r="I674" s="54"/>
      <c r="J674" s="54"/>
      <c r="K674" s="54"/>
      <c r="L674" s="54"/>
      <c r="M674" s="54"/>
      <c r="N674" s="54"/>
      <c r="O674" s="54"/>
      <c r="P674" s="54"/>
      <c r="Q674" s="54"/>
    </row>
    <row r="675" spans="7:17">
      <c r="G675" s="54"/>
      <c r="H675" s="54"/>
      <c r="I675" s="54"/>
      <c r="J675" s="54"/>
      <c r="K675" s="54"/>
      <c r="L675" s="54"/>
      <c r="M675" s="54"/>
      <c r="N675" s="54"/>
      <c r="O675" s="54"/>
      <c r="P675" s="54"/>
      <c r="Q675" s="54"/>
    </row>
    <row r="676" spans="7:17">
      <c r="G676" s="54"/>
      <c r="H676" s="54"/>
      <c r="I676" s="54"/>
      <c r="J676" s="54"/>
      <c r="K676" s="54"/>
      <c r="L676" s="54"/>
      <c r="M676" s="54"/>
      <c r="N676" s="54"/>
      <c r="O676" s="54"/>
      <c r="P676" s="54"/>
      <c r="Q676" s="54"/>
    </row>
    <row r="677" spans="7:17">
      <c r="G677" s="54"/>
      <c r="H677" s="54"/>
      <c r="I677" s="54"/>
      <c r="J677" s="54"/>
      <c r="K677" s="54"/>
      <c r="L677" s="54"/>
      <c r="M677" s="54"/>
      <c r="N677" s="54"/>
      <c r="O677" s="54"/>
      <c r="P677" s="54"/>
      <c r="Q677" s="54"/>
    </row>
    <row r="678" spans="7:17">
      <c r="G678" s="54"/>
      <c r="H678" s="54"/>
      <c r="I678" s="54"/>
      <c r="J678" s="54"/>
      <c r="K678" s="54"/>
      <c r="L678" s="54"/>
      <c r="M678" s="54"/>
      <c r="N678" s="54"/>
      <c r="O678" s="54"/>
      <c r="P678" s="54"/>
      <c r="Q678" s="54"/>
    </row>
    <row r="679" spans="7:17">
      <c r="G679" s="54"/>
      <c r="H679" s="54"/>
      <c r="I679" s="54"/>
      <c r="J679" s="54"/>
      <c r="K679" s="54"/>
      <c r="L679" s="54"/>
      <c r="M679" s="54"/>
      <c r="N679" s="54"/>
      <c r="O679" s="54"/>
      <c r="P679" s="54"/>
      <c r="Q679" s="54"/>
    </row>
    <row r="680" spans="7:17">
      <c r="G680" s="54"/>
      <c r="H680" s="54"/>
      <c r="I680" s="54"/>
      <c r="J680" s="54"/>
      <c r="K680" s="54"/>
      <c r="L680" s="54"/>
      <c r="M680" s="54"/>
      <c r="N680" s="54"/>
      <c r="O680" s="54"/>
      <c r="P680" s="54"/>
      <c r="Q680" s="54"/>
    </row>
    <row r="681" spans="7:17">
      <c r="G681" s="54"/>
      <c r="H681" s="54"/>
      <c r="I681" s="54"/>
      <c r="J681" s="54"/>
      <c r="K681" s="54"/>
      <c r="L681" s="54"/>
      <c r="M681" s="54"/>
      <c r="N681" s="54"/>
      <c r="O681" s="54"/>
      <c r="P681" s="54"/>
      <c r="Q681" s="54"/>
    </row>
    <row r="682" spans="7:17">
      <c r="G682" s="54"/>
      <c r="H682" s="54"/>
      <c r="I682" s="54"/>
      <c r="J682" s="54"/>
      <c r="K682" s="54"/>
      <c r="L682" s="54"/>
      <c r="M682" s="54"/>
      <c r="N682" s="54"/>
      <c r="O682" s="54"/>
      <c r="P682" s="54"/>
      <c r="Q682" s="54"/>
    </row>
    <row r="683" spans="7:17">
      <c r="G683" s="54"/>
      <c r="H683" s="54"/>
      <c r="I683" s="54"/>
      <c r="J683" s="54"/>
      <c r="K683" s="54"/>
      <c r="L683" s="54"/>
      <c r="M683" s="54"/>
      <c r="N683" s="54"/>
      <c r="O683" s="54"/>
      <c r="P683" s="54"/>
      <c r="Q683" s="54"/>
    </row>
    <row r="684" spans="7:17">
      <c r="G684" s="54"/>
      <c r="H684" s="54"/>
      <c r="I684" s="54"/>
      <c r="J684" s="54"/>
      <c r="K684" s="54"/>
      <c r="L684" s="54"/>
      <c r="M684" s="54"/>
      <c r="N684" s="54"/>
      <c r="O684" s="54"/>
      <c r="P684" s="54"/>
      <c r="Q684" s="54"/>
    </row>
    <row r="685" spans="7:17">
      <c r="G685" s="54"/>
      <c r="H685" s="54"/>
      <c r="I685" s="54"/>
      <c r="J685" s="54"/>
      <c r="K685" s="54"/>
      <c r="L685" s="54"/>
      <c r="M685" s="54"/>
      <c r="N685" s="54"/>
      <c r="O685" s="54"/>
      <c r="P685" s="54"/>
      <c r="Q685" s="54"/>
    </row>
    <row r="686" spans="7:17">
      <c r="G686" s="54"/>
      <c r="H686" s="54"/>
      <c r="I686" s="54"/>
      <c r="J686" s="54"/>
      <c r="K686" s="54"/>
      <c r="L686" s="54"/>
      <c r="M686" s="54"/>
      <c r="N686" s="54"/>
      <c r="O686" s="54"/>
      <c r="P686" s="54"/>
      <c r="Q686" s="54"/>
    </row>
    <row r="687" spans="7:17">
      <c r="G687" s="54"/>
      <c r="H687" s="54"/>
      <c r="I687" s="54"/>
      <c r="J687" s="54"/>
      <c r="K687" s="54"/>
      <c r="L687" s="54"/>
      <c r="M687" s="54"/>
      <c r="N687" s="54"/>
      <c r="O687" s="54"/>
      <c r="P687" s="54"/>
      <c r="Q687" s="54"/>
    </row>
    <row r="688" spans="7:17">
      <c r="G688" s="54"/>
      <c r="H688" s="54"/>
      <c r="I688" s="54"/>
      <c r="J688" s="54"/>
      <c r="K688" s="54"/>
      <c r="L688" s="54"/>
      <c r="M688" s="54"/>
      <c r="N688" s="54"/>
      <c r="O688" s="54"/>
      <c r="P688" s="54"/>
      <c r="Q688" s="54"/>
    </row>
    <row r="689" spans="7:17">
      <c r="G689" s="54"/>
      <c r="H689" s="54"/>
      <c r="I689" s="54"/>
      <c r="J689" s="54"/>
      <c r="K689" s="54"/>
      <c r="L689" s="54"/>
      <c r="M689" s="54"/>
      <c r="N689" s="54"/>
      <c r="O689" s="54"/>
      <c r="P689" s="54"/>
      <c r="Q689" s="54"/>
    </row>
    <row r="690" spans="7:17">
      <c r="G690" s="54"/>
      <c r="H690" s="54"/>
      <c r="I690" s="54"/>
      <c r="J690" s="54"/>
      <c r="K690" s="54"/>
      <c r="L690" s="54"/>
      <c r="M690" s="54"/>
      <c r="N690" s="54"/>
      <c r="O690" s="54"/>
      <c r="P690" s="54"/>
      <c r="Q690" s="54"/>
    </row>
    <row r="691" spans="7:17">
      <c r="G691" s="54"/>
      <c r="H691" s="54"/>
      <c r="I691" s="54"/>
      <c r="J691" s="54"/>
      <c r="K691" s="54"/>
      <c r="L691" s="54"/>
      <c r="M691" s="54"/>
      <c r="N691" s="54"/>
      <c r="O691" s="54"/>
      <c r="P691" s="54"/>
      <c r="Q691" s="54"/>
    </row>
    <row r="692" spans="7:17">
      <c r="G692" s="54"/>
      <c r="H692" s="54"/>
      <c r="I692" s="54"/>
      <c r="J692" s="54"/>
      <c r="K692" s="54"/>
      <c r="L692" s="54"/>
      <c r="M692" s="54"/>
      <c r="N692" s="54"/>
      <c r="O692" s="54"/>
      <c r="P692" s="54"/>
      <c r="Q692" s="54"/>
    </row>
    <row r="693" spans="7:17">
      <c r="G693" s="54"/>
      <c r="H693" s="54"/>
      <c r="I693" s="54"/>
      <c r="J693" s="54"/>
      <c r="K693" s="54"/>
      <c r="L693" s="54"/>
      <c r="M693" s="54"/>
      <c r="N693" s="54"/>
      <c r="O693" s="54"/>
      <c r="P693" s="54"/>
      <c r="Q693" s="54"/>
    </row>
    <row r="694" spans="7:17">
      <c r="G694" s="54"/>
      <c r="H694" s="54"/>
      <c r="I694" s="54"/>
      <c r="J694" s="54"/>
      <c r="K694" s="54"/>
      <c r="L694" s="54"/>
      <c r="M694" s="54"/>
      <c r="N694" s="54"/>
      <c r="O694" s="54"/>
      <c r="P694" s="54"/>
      <c r="Q694" s="54"/>
    </row>
    <row r="695" spans="7:17">
      <c r="G695" s="54"/>
      <c r="H695" s="54"/>
      <c r="I695" s="54"/>
      <c r="J695" s="54"/>
      <c r="K695" s="54"/>
      <c r="L695" s="54"/>
      <c r="M695" s="54"/>
      <c r="N695" s="54"/>
      <c r="O695" s="54"/>
      <c r="P695" s="54"/>
      <c r="Q695" s="54"/>
    </row>
    <row r="696" spans="7:17">
      <c r="G696" s="54"/>
      <c r="H696" s="54"/>
      <c r="I696" s="54"/>
      <c r="J696" s="54"/>
      <c r="K696" s="54"/>
      <c r="L696" s="54"/>
      <c r="M696" s="54"/>
      <c r="N696" s="54"/>
      <c r="O696" s="54"/>
      <c r="P696" s="54"/>
      <c r="Q696" s="54"/>
    </row>
    <row r="697" spans="7:17">
      <c r="G697" s="54"/>
      <c r="H697" s="54"/>
      <c r="I697" s="54"/>
      <c r="J697" s="54"/>
      <c r="K697" s="54"/>
      <c r="L697" s="54"/>
      <c r="M697" s="54"/>
      <c r="N697" s="54"/>
      <c r="O697" s="54"/>
      <c r="P697" s="54"/>
      <c r="Q697" s="54"/>
    </row>
    <row r="698" spans="7:17">
      <c r="G698" s="54"/>
      <c r="H698" s="54"/>
      <c r="I698" s="54"/>
      <c r="J698" s="54"/>
      <c r="K698" s="54"/>
      <c r="L698" s="54"/>
      <c r="M698" s="54"/>
      <c r="N698" s="54"/>
      <c r="O698" s="54"/>
      <c r="P698" s="54"/>
      <c r="Q698" s="54"/>
    </row>
    <row r="699" spans="7:17">
      <c r="G699" s="54"/>
      <c r="H699" s="54"/>
      <c r="I699" s="54"/>
      <c r="J699" s="54"/>
      <c r="K699" s="54"/>
      <c r="L699" s="54"/>
      <c r="M699" s="54"/>
      <c r="N699" s="54"/>
      <c r="O699" s="54"/>
      <c r="P699" s="54"/>
      <c r="Q699" s="54"/>
    </row>
    <row r="700" spans="7:17">
      <c r="G700" s="54"/>
      <c r="H700" s="54"/>
      <c r="I700" s="54"/>
      <c r="J700" s="54"/>
      <c r="K700" s="54"/>
      <c r="L700" s="54"/>
      <c r="M700" s="54"/>
      <c r="N700" s="54"/>
      <c r="O700" s="54"/>
      <c r="P700" s="54"/>
      <c r="Q700" s="54"/>
    </row>
    <row r="701" spans="7:17">
      <c r="G701" s="54"/>
      <c r="H701" s="54"/>
      <c r="I701" s="54"/>
      <c r="J701" s="54"/>
      <c r="K701" s="54"/>
      <c r="L701" s="54"/>
      <c r="M701" s="54"/>
      <c r="N701" s="54"/>
      <c r="O701" s="54"/>
      <c r="P701" s="54"/>
      <c r="Q701" s="54"/>
    </row>
    <row r="702" spans="7:17">
      <c r="G702" s="54"/>
      <c r="H702" s="54"/>
      <c r="I702" s="54"/>
      <c r="J702" s="54"/>
      <c r="K702" s="54"/>
      <c r="L702" s="54"/>
      <c r="M702" s="54"/>
      <c r="N702" s="54"/>
      <c r="O702" s="54"/>
      <c r="P702" s="54"/>
      <c r="Q702" s="54"/>
    </row>
    <row r="703" spans="7:17">
      <c r="G703" s="54"/>
      <c r="H703" s="54"/>
      <c r="I703" s="54"/>
      <c r="J703" s="54"/>
      <c r="K703" s="54"/>
      <c r="L703" s="54"/>
      <c r="M703" s="54"/>
      <c r="N703" s="54"/>
      <c r="O703" s="54"/>
      <c r="P703" s="54"/>
      <c r="Q703" s="54"/>
    </row>
    <row r="704" spans="7:17">
      <c r="G704" s="54"/>
      <c r="H704" s="54"/>
      <c r="I704" s="54"/>
      <c r="J704" s="54"/>
      <c r="K704" s="54"/>
      <c r="L704" s="54"/>
      <c r="M704" s="54"/>
      <c r="N704" s="54"/>
      <c r="O704" s="54"/>
      <c r="P704" s="54"/>
      <c r="Q704" s="54"/>
    </row>
    <row r="705" spans="7:17">
      <c r="G705" s="54"/>
      <c r="H705" s="54"/>
      <c r="I705" s="54"/>
      <c r="J705" s="54"/>
      <c r="K705" s="54"/>
      <c r="L705" s="54"/>
      <c r="M705" s="54"/>
      <c r="N705" s="54"/>
      <c r="O705" s="54"/>
      <c r="P705" s="54"/>
      <c r="Q705" s="54"/>
    </row>
    <row r="706" spans="7:17">
      <c r="G706" s="54"/>
      <c r="H706" s="54"/>
      <c r="I706" s="54"/>
      <c r="J706" s="54"/>
      <c r="K706" s="54"/>
      <c r="L706" s="54"/>
      <c r="M706" s="54"/>
      <c r="N706" s="54"/>
      <c r="O706" s="54"/>
      <c r="P706" s="54"/>
      <c r="Q706" s="54"/>
    </row>
    <row r="707" spans="7:17">
      <c r="G707" s="54"/>
      <c r="H707" s="54"/>
      <c r="I707" s="54"/>
      <c r="J707" s="54"/>
      <c r="K707" s="54"/>
      <c r="L707" s="54"/>
      <c r="M707" s="54"/>
      <c r="N707" s="54"/>
      <c r="O707" s="54"/>
      <c r="P707" s="54"/>
      <c r="Q707" s="54"/>
    </row>
    <row r="708" spans="7:17">
      <c r="G708" s="54"/>
      <c r="H708" s="54"/>
      <c r="I708" s="54"/>
      <c r="J708" s="54"/>
      <c r="K708" s="54"/>
      <c r="L708" s="54"/>
      <c r="M708" s="54"/>
      <c r="N708" s="54"/>
      <c r="O708" s="54"/>
      <c r="P708" s="54"/>
      <c r="Q708" s="54"/>
    </row>
    <row r="709" spans="7:17">
      <c r="G709" s="54"/>
      <c r="H709" s="54"/>
      <c r="I709" s="54"/>
      <c r="J709" s="54"/>
      <c r="K709" s="54"/>
      <c r="L709" s="54"/>
      <c r="M709" s="54"/>
      <c r="N709" s="54"/>
      <c r="O709" s="54"/>
      <c r="P709" s="54"/>
      <c r="Q709" s="54"/>
    </row>
    <row r="710" spans="7:17">
      <c r="G710" s="54"/>
      <c r="H710" s="54"/>
      <c r="I710" s="54"/>
      <c r="J710" s="54"/>
      <c r="K710" s="54"/>
      <c r="L710" s="54"/>
      <c r="M710" s="54"/>
      <c r="N710" s="54"/>
      <c r="O710" s="54"/>
      <c r="P710" s="54"/>
      <c r="Q710" s="54"/>
    </row>
    <row r="711" spans="7:17">
      <c r="G711" s="54"/>
      <c r="H711" s="54"/>
      <c r="I711" s="54"/>
      <c r="J711" s="54"/>
      <c r="K711" s="54"/>
      <c r="L711" s="54"/>
      <c r="M711" s="54"/>
      <c r="N711" s="54"/>
      <c r="O711" s="54"/>
      <c r="P711" s="54"/>
      <c r="Q711" s="54"/>
    </row>
    <row r="712" spans="7:17">
      <c r="G712" s="54"/>
      <c r="H712" s="54"/>
      <c r="I712" s="54"/>
      <c r="J712" s="54"/>
      <c r="K712" s="54"/>
      <c r="L712" s="54"/>
      <c r="M712" s="54"/>
      <c r="N712" s="54"/>
      <c r="O712" s="54"/>
      <c r="P712" s="54"/>
      <c r="Q712" s="54"/>
    </row>
    <row r="713" spans="7:17">
      <c r="G713" s="54"/>
      <c r="H713" s="54"/>
      <c r="I713" s="54"/>
      <c r="J713" s="54"/>
      <c r="K713" s="54"/>
      <c r="L713" s="54"/>
      <c r="M713" s="54"/>
      <c r="N713" s="54"/>
      <c r="O713" s="54"/>
      <c r="P713" s="54"/>
      <c r="Q713" s="54"/>
    </row>
    <row r="714" spans="7:17">
      <c r="G714" s="54"/>
      <c r="H714" s="54"/>
      <c r="I714" s="54"/>
      <c r="J714" s="54"/>
      <c r="K714" s="54"/>
      <c r="L714" s="54"/>
      <c r="M714" s="54"/>
      <c r="N714" s="54"/>
      <c r="O714" s="54"/>
      <c r="P714" s="54"/>
      <c r="Q714" s="54"/>
    </row>
    <row r="715" spans="7:17">
      <c r="G715" s="54"/>
      <c r="H715" s="54"/>
      <c r="I715" s="54"/>
      <c r="J715" s="54"/>
      <c r="K715" s="54"/>
      <c r="L715" s="54"/>
      <c r="M715" s="54"/>
      <c r="N715" s="54"/>
      <c r="O715" s="54"/>
      <c r="P715" s="54"/>
      <c r="Q715" s="54"/>
    </row>
    <row r="716" spans="7:17">
      <c r="G716" s="54"/>
      <c r="H716" s="54"/>
      <c r="I716" s="54"/>
      <c r="J716" s="54"/>
      <c r="K716" s="54"/>
      <c r="L716" s="54"/>
      <c r="M716" s="54"/>
      <c r="N716" s="54"/>
      <c r="O716" s="54"/>
      <c r="P716" s="54"/>
      <c r="Q716" s="54"/>
    </row>
    <row r="717" spans="7:17">
      <c r="G717" s="54"/>
      <c r="H717" s="54"/>
      <c r="I717" s="54"/>
      <c r="J717" s="54"/>
      <c r="K717" s="54"/>
      <c r="L717" s="54"/>
      <c r="M717" s="54"/>
      <c r="N717" s="54"/>
      <c r="O717" s="54"/>
      <c r="P717" s="54"/>
      <c r="Q717" s="54"/>
    </row>
    <row r="718" spans="7:17">
      <c r="G718" s="54"/>
      <c r="H718" s="54"/>
      <c r="I718" s="54"/>
      <c r="J718" s="54"/>
      <c r="K718" s="54"/>
      <c r="L718" s="54"/>
      <c r="M718" s="54"/>
      <c r="N718" s="54"/>
      <c r="O718" s="54"/>
      <c r="P718" s="54"/>
      <c r="Q718" s="54"/>
    </row>
    <row r="719" spans="7:17">
      <c r="G719" s="54"/>
      <c r="H719" s="54"/>
      <c r="I719" s="54"/>
      <c r="J719" s="54"/>
      <c r="K719" s="54"/>
      <c r="L719" s="54"/>
      <c r="M719" s="54"/>
      <c r="N719" s="54"/>
      <c r="O719" s="54"/>
      <c r="P719" s="54"/>
      <c r="Q719" s="54"/>
    </row>
    <row r="720" spans="7:17">
      <c r="G720" s="54"/>
      <c r="H720" s="54"/>
      <c r="I720" s="54"/>
      <c r="J720" s="54"/>
      <c r="K720" s="54"/>
      <c r="L720" s="54"/>
      <c r="M720" s="54"/>
      <c r="N720" s="54"/>
      <c r="O720" s="54"/>
      <c r="P720" s="54"/>
      <c r="Q720" s="54"/>
    </row>
    <row r="721" spans="7:17">
      <c r="G721" s="54"/>
      <c r="H721" s="54"/>
      <c r="I721" s="54"/>
      <c r="J721" s="54"/>
      <c r="K721" s="54"/>
      <c r="L721" s="54"/>
      <c r="M721" s="54"/>
      <c r="N721" s="54"/>
      <c r="O721" s="54"/>
      <c r="P721" s="54"/>
      <c r="Q721" s="54"/>
    </row>
    <row r="722" spans="7:17">
      <c r="G722" s="54"/>
      <c r="H722" s="54"/>
      <c r="I722" s="54"/>
      <c r="J722" s="54"/>
      <c r="K722" s="54"/>
      <c r="L722" s="54"/>
      <c r="M722" s="54"/>
      <c r="N722" s="54"/>
      <c r="O722" s="54"/>
      <c r="P722" s="54"/>
      <c r="Q722" s="54"/>
    </row>
    <row r="723" spans="7:17">
      <c r="G723" s="54"/>
      <c r="H723" s="54"/>
      <c r="I723" s="54"/>
      <c r="J723" s="54"/>
      <c r="K723" s="54"/>
      <c r="L723" s="54"/>
      <c r="M723" s="54"/>
      <c r="N723" s="54"/>
      <c r="O723" s="54"/>
      <c r="P723" s="54"/>
      <c r="Q723" s="54"/>
    </row>
    <row r="724" spans="7:17">
      <c r="G724" s="54"/>
      <c r="H724" s="54"/>
      <c r="I724" s="54"/>
      <c r="J724" s="54"/>
      <c r="K724" s="54"/>
      <c r="L724" s="54"/>
      <c r="M724" s="54"/>
      <c r="N724" s="54"/>
      <c r="O724" s="54"/>
      <c r="P724" s="54"/>
      <c r="Q724" s="54"/>
    </row>
    <row r="725" spans="7:17">
      <c r="G725" s="54"/>
      <c r="H725" s="54"/>
      <c r="I725" s="54"/>
      <c r="J725" s="54"/>
      <c r="K725" s="54"/>
      <c r="L725" s="54"/>
      <c r="M725" s="54"/>
      <c r="N725" s="54"/>
      <c r="O725" s="54"/>
      <c r="P725" s="54"/>
      <c r="Q725" s="54"/>
    </row>
    <row r="726" spans="7:17">
      <c r="G726" s="54"/>
      <c r="H726" s="54"/>
      <c r="I726" s="54"/>
      <c r="J726" s="54"/>
      <c r="K726" s="54"/>
      <c r="L726" s="54"/>
      <c r="M726" s="54"/>
      <c r="N726" s="54"/>
      <c r="O726" s="54"/>
      <c r="P726" s="54"/>
      <c r="Q726" s="54"/>
    </row>
    <row r="727" spans="7:17">
      <c r="G727" s="54"/>
      <c r="H727" s="54"/>
      <c r="I727" s="54"/>
      <c r="J727" s="54"/>
      <c r="K727" s="54"/>
      <c r="L727" s="54"/>
      <c r="M727" s="54"/>
      <c r="N727" s="54"/>
      <c r="O727" s="54"/>
      <c r="P727" s="54"/>
      <c r="Q727" s="54"/>
    </row>
    <row r="728" spans="7:17">
      <c r="G728" s="54"/>
      <c r="H728" s="54"/>
      <c r="I728" s="54"/>
      <c r="J728" s="54"/>
      <c r="K728" s="54"/>
      <c r="L728" s="54"/>
      <c r="M728" s="54"/>
      <c r="N728" s="54"/>
      <c r="O728" s="54"/>
      <c r="P728" s="54"/>
      <c r="Q728" s="54"/>
    </row>
    <row r="729" spans="7:17">
      <c r="G729" s="54"/>
      <c r="H729" s="54"/>
      <c r="I729" s="54"/>
      <c r="J729" s="54"/>
      <c r="K729" s="54"/>
      <c r="L729" s="54"/>
      <c r="M729" s="54"/>
      <c r="N729" s="54"/>
      <c r="O729" s="54"/>
      <c r="P729" s="54"/>
      <c r="Q729" s="54"/>
    </row>
    <row r="730" spans="7:17">
      <c r="G730" s="54"/>
      <c r="H730" s="54"/>
      <c r="I730" s="54"/>
      <c r="J730" s="54"/>
      <c r="K730" s="54"/>
      <c r="L730" s="54"/>
      <c r="M730" s="54"/>
      <c r="N730" s="54"/>
      <c r="O730" s="54"/>
      <c r="P730" s="54"/>
      <c r="Q730" s="54"/>
    </row>
    <row r="731" spans="7:17">
      <c r="G731" s="54"/>
      <c r="H731" s="54"/>
      <c r="I731" s="54"/>
      <c r="J731" s="54"/>
      <c r="K731" s="54"/>
      <c r="L731" s="54"/>
      <c r="M731" s="54"/>
      <c r="N731" s="54"/>
      <c r="O731" s="54"/>
      <c r="P731" s="54"/>
      <c r="Q731" s="54"/>
    </row>
    <row r="732" spans="7:17">
      <c r="G732" s="54"/>
      <c r="H732" s="54"/>
      <c r="I732" s="54"/>
      <c r="J732" s="54"/>
      <c r="K732" s="54"/>
      <c r="L732" s="54"/>
      <c r="M732" s="54"/>
      <c r="N732" s="54"/>
      <c r="O732" s="54"/>
      <c r="P732" s="54"/>
      <c r="Q732" s="54"/>
    </row>
    <row r="733" spans="7:17">
      <c r="G733" s="54"/>
      <c r="H733" s="54"/>
      <c r="I733" s="54"/>
      <c r="J733" s="54"/>
      <c r="K733" s="54"/>
      <c r="L733" s="54"/>
      <c r="M733" s="54"/>
      <c r="N733" s="54"/>
      <c r="O733" s="54"/>
      <c r="P733" s="54"/>
      <c r="Q733" s="54"/>
    </row>
    <row r="734" spans="7:17">
      <c r="G734" s="54"/>
      <c r="H734" s="54"/>
      <c r="I734" s="54"/>
      <c r="J734" s="54"/>
      <c r="K734" s="54"/>
      <c r="L734" s="54"/>
      <c r="M734" s="54"/>
      <c r="N734" s="54"/>
      <c r="O734" s="54"/>
      <c r="P734" s="54"/>
      <c r="Q734" s="54"/>
    </row>
    <row r="735" spans="7:17">
      <c r="G735" s="54"/>
      <c r="H735" s="54"/>
      <c r="I735" s="54"/>
      <c r="J735" s="54"/>
      <c r="K735" s="54"/>
      <c r="L735" s="54"/>
      <c r="M735" s="54"/>
      <c r="N735" s="54"/>
      <c r="O735" s="54"/>
      <c r="P735" s="54"/>
      <c r="Q735" s="54"/>
    </row>
    <row r="736" spans="7:17">
      <c r="G736" s="54"/>
      <c r="H736" s="54"/>
      <c r="I736" s="54"/>
      <c r="J736" s="54"/>
      <c r="K736" s="54"/>
      <c r="L736" s="54"/>
      <c r="M736" s="54"/>
      <c r="N736" s="54"/>
      <c r="O736" s="54"/>
      <c r="P736" s="54"/>
      <c r="Q736" s="54"/>
    </row>
    <row r="737" spans="7:17">
      <c r="G737" s="54"/>
      <c r="H737" s="54"/>
      <c r="I737" s="54"/>
      <c r="J737" s="54"/>
      <c r="K737" s="54"/>
      <c r="L737" s="54"/>
      <c r="M737" s="54"/>
      <c r="N737" s="54"/>
      <c r="O737" s="54"/>
      <c r="P737" s="54"/>
      <c r="Q737" s="54"/>
    </row>
    <row r="738" spans="7:17">
      <c r="G738" s="54"/>
      <c r="H738" s="54"/>
      <c r="I738" s="54"/>
      <c r="J738" s="54"/>
      <c r="K738" s="54"/>
      <c r="L738" s="54"/>
      <c r="M738" s="54"/>
      <c r="N738" s="54"/>
      <c r="O738" s="54"/>
      <c r="P738" s="54"/>
      <c r="Q738" s="54"/>
    </row>
    <row r="739" spans="7:17">
      <c r="G739" s="54"/>
      <c r="H739" s="54"/>
      <c r="I739" s="54"/>
      <c r="J739" s="54"/>
      <c r="K739" s="54"/>
      <c r="L739" s="54"/>
      <c r="M739" s="54"/>
      <c r="N739" s="54"/>
      <c r="O739" s="54"/>
      <c r="P739" s="54"/>
      <c r="Q739" s="54"/>
    </row>
    <row r="740" spans="7:17">
      <c r="G740" s="54"/>
      <c r="H740" s="54"/>
      <c r="I740" s="54"/>
      <c r="J740" s="54"/>
      <c r="K740" s="54"/>
      <c r="L740" s="54"/>
      <c r="M740" s="54"/>
      <c r="N740" s="54"/>
      <c r="O740" s="54"/>
      <c r="P740" s="54"/>
      <c r="Q740" s="54"/>
    </row>
    <row r="741" spans="7:17">
      <c r="G741" s="54"/>
      <c r="H741" s="54"/>
      <c r="I741" s="54"/>
      <c r="J741" s="54"/>
      <c r="K741" s="54"/>
      <c r="L741" s="54"/>
      <c r="M741" s="54"/>
      <c r="N741" s="54"/>
      <c r="O741" s="54"/>
      <c r="P741" s="54"/>
      <c r="Q741" s="54"/>
    </row>
    <row r="742" spans="7:17">
      <c r="G742" s="54"/>
      <c r="H742" s="54"/>
      <c r="I742" s="54"/>
      <c r="J742" s="54"/>
      <c r="K742" s="54"/>
      <c r="L742" s="54"/>
      <c r="M742" s="54"/>
      <c r="N742" s="54"/>
      <c r="O742" s="54"/>
      <c r="P742" s="54"/>
      <c r="Q742" s="54"/>
    </row>
    <row r="743" spans="7:17">
      <c r="G743" s="54"/>
      <c r="H743" s="54"/>
      <c r="I743" s="54"/>
      <c r="J743" s="54"/>
      <c r="K743" s="54"/>
      <c r="L743" s="54"/>
      <c r="M743" s="54"/>
      <c r="N743" s="54"/>
      <c r="O743" s="54"/>
      <c r="P743" s="54"/>
      <c r="Q743" s="54"/>
    </row>
    <row r="744" spans="7:17">
      <c r="G744" s="54"/>
      <c r="H744" s="54"/>
      <c r="I744" s="54"/>
      <c r="J744" s="54"/>
      <c r="K744" s="54"/>
      <c r="L744" s="54"/>
      <c r="M744" s="54"/>
      <c r="N744" s="54"/>
      <c r="O744" s="54"/>
      <c r="P744" s="54"/>
      <c r="Q744" s="54"/>
    </row>
    <row r="745" spans="7:17">
      <c r="G745" s="54"/>
      <c r="H745" s="54"/>
      <c r="I745" s="54"/>
      <c r="J745" s="54"/>
      <c r="K745" s="54"/>
      <c r="L745" s="54"/>
      <c r="M745" s="54"/>
      <c r="N745" s="54"/>
      <c r="O745" s="54"/>
      <c r="P745" s="54"/>
      <c r="Q745" s="54"/>
    </row>
    <row r="746" spans="7:17">
      <c r="G746" s="54"/>
      <c r="H746" s="54"/>
      <c r="I746" s="54"/>
      <c r="J746" s="54"/>
      <c r="K746" s="54"/>
      <c r="L746" s="54"/>
      <c r="M746" s="54"/>
      <c r="N746" s="54"/>
      <c r="O746" s="54"/>
      <c r="P746" s="54"/>
      <c r="Q746" s="54"/>
    </row>
    <row r="747" spans="7:17">
      <c r="G747" s="54"/>
      <c r="H747" s="54"/>
      <c r="I747" s="54"/>
      <c r="J747" s="54"/>
      <c r="K747" s="54"/>
      <c r="L747" s="54"/>
      <c r="M747" s="54"/>
      <c r="N747" s="54"/>
      <c r="O747" s="54"/>
      <c r="P747" s="54"/>
      <c r="Q747" s="54"/>
    </row>
    <row r="748" spans="7:17">
      <c r="G748" s="54"/>
      <c r="H748" s="54"/>
      <c r="I748" s="54"/>
      <c r="J748" s="54"/>
      <c r="K748" s="54"/>
      <c r="L748" s="54"/>
      <c r="M748" s="54"/>
      <c r="N748" s="54"/>
      <c r="O748" s="54"/>
      <c r="P748" s="54"/>
      <c r="Q748" s="54"/>
    </row>
    <row r="749" spans="7:17">
      <c r="G749" s="54"/>
      <c r="H749" s="54"/>
      <c r="I749" s="54"/>
      <c r="J749" s="54"/>
      <c r="K749" s="54"/>
      <c r="L749" s="54"/>
      <c r="M749" s="54"/>
      <c r="N749" s="54"/>
      <c r="O749" s="54"/>
      <c r="P749" s="54"/>
      <c r="Q749" s="54"/>
    </row>
    <row r="750" spans="7:17">
      <c r="G750" s="54"/>
      <c r="H750" s="54"/>
      <c r="I750" s="54"/>
      <c r="J750" s="54"/>
      <c r="K750" s="54"/>
      <c r="L750" s="54"/>
      <c r="M750" s="54"/>
      <c r="N750" s="54"/>
      <c r="O750" s="54"/>
      <c r="P750" s="54"/>
      <c r="Q750" s="54"/>
    </row>
    <row r="751" spans="7:17">
      <c r="G751" s="54"/>
      <c r="H751" s="54"/>
      <c r="I751" s="54"/>
      <c r="J751" s="54"/>
      <c r="K751" s="54"/>
      <c r="L751" s="54"/>
      <c r="M751" s="54"/>
      <c r="N751" s="54"/>
      <c r="O751" s="54"/>
      <c r="P751" s="54"/>
      <c r="Q751" s="54"/>
    </row>
    <row r="752" spans="7:17">
      <c r="G752" s="54"/>
      <c r="H752" s="54"/>
      <c r="I752" s="54"/>
      <c r="J752" s="54"/>
      <c r="K752" s="54"/>
      <c r="L752" s="54"/>
      <c r="M752" s="54"/>
      <c r="N752" s="54"/>
      <c r="O752" s="54"/>
      <c r="P752" s="54"/>
      <c r="Q752" s="54"/>
    </row>
    <row r="753" spans="7:17">
      <c r="G753" s="54"/>
      <c r="H753" s="54"/>
      <c r="I753" s="54"/>
      <c r="J753" s="54"/>
      <c r="K753" s="54"/>
      <c r="L753" s="54"/>
      <c r="M753" s="54"/>
      <c r="N753" s="54"/>
      <c r="O753" s="54"/>
      <c r="P753" s="54"/>
      <c r="Q753" s="54"/>
    </row>
    <row r="754" spans="7:17">
      <c r="G754" s="54"/>
      <c r="H754" s="54"/>
      <c r="I754" s="54"/>
      <c r="J754" s="54"/>
      <c r="K754" s="54"/>
      <c r="L754" s="54"/>
      <c r="M754" s="54"/>
      <c r="N754" s="54"/>
      <c r="O754" s="54"/>
      <c r="P754" s="54"/>
      <c r="Q754" s="54"/>
    </row>
    <row r="755" spans="7:17">
      <c r="G755" s="54"/>
      <c r="H755" s="54"/>
      <c r="I755" s="54"/>
      <c r="J755" s="54"/>
      <c r="K755" s="54"/>
      <c r="L755" s="54"/>
      <c r="M755" s="54"/>
      <c r="N755" s="54"/>
      <c r="O755" s="54"/>
      <c r="P755" s="54"/>
      <c r="Q755" s="54"/>
    </row>
    <row r="756" spans="7:17">
      <c r="G756" s="54"/>
      <c r="H756" s="54"/>
      <c r="I756" s="54"/>
      <c r="J756" s="54"/>
      <c r="K756" s="54"/>
      <c r="L756" s="54"/>
      <c r="M756" s="54"/>
      <c r="N756" s="54"/>
      <c r="O756" s="54"/>
      <c r="P756" s="54"/>
      <c r="Q756" s="54"/>
    </row>
    <row r="757" spans="7:17">
      <c r="G757" s="54"/>
      <c r="H757" s="54"/>
      <c r="I757" s="54"/>
      <c r="J757" s="54"/>
      <c r="K757" s="54"/>
      <c r="L757" s="54"/>
      <c r="M757" s="54"/>
      <c r="N757" s="54"/>
      <c r="O757" s="54"/>
      <c r="P757" s="54"/>
      <c r="Q757" s="54"/>
    </row>
    <row r="758" spans="7:17">
      <c r="G758" s="54"/>
      <c r="H758" s="54"/>
      <c r="I758" s="54"/>
      <c r="J758" s="54"/>
      <c r="K758" s="54"/>
      <c r="L758" s="54"/>
      <c r="M758" s="54"/>
      <c r="N758" s="54"/>
      <c r="O758" s="54"/>
      <c r="P758" s="54"/>
      <c r="Q758" s="54"/>
    </row>
    <row r="759" spans="7:17">
      <c r="G759" s="54"/>
      <c r="H759" s="54"/>
      <c r="I759" s="54"/>
      <c r="J759" s="54"/>
      <c r="K759" s="54"/>
      <c r="L759" s="54"/>
      <c r="M759" s="54"/>
      <c r="N759" s="54"/>
      <c r="O759" s="54"/>
      <c r="P759" s="54"/>
      <c r="Q759" s="54"/>
    </row>
    <row r="760" spans="7:17">
      <c r="G760" s="54"/>
      <c r="H760" s="54"/>
      <c r="I760" s="54"/>
      <c r="J760" s="54"/>
      <c r="K760" s="54"/>
      <c r="L760" s="54"/>
      <c r="M760" s="54"/>
      <c r="N760" s="54"/>
      <c r="O760" s="54"/>
      <c r="P760" s="54"/>
      <c r="Q760" s="54"/>
    </row>
    <row r="761" spans="7:17">
      <c r="G761" s="54"/>
      <c r="H761" s="54"/>
      <c r="I761" s="54"/>
      <c r="J761" s="54"/>
      <c r="K761" s="54"/>
      <c r="L761" s="54"/>
      <c r="M761" s="54"/>
      <c r="N761" s="54"/>
      <c r="O761" s="54"/>
      <c r="P761" s="54"/>
      <c r="Q761" s="54"/>
    </row>
    <row r="762" spans="7:17">
      <c r="G762" s="54"/>
      <c r="H762" s="54"/>
      <c r="I762" s="54"/>
      <c r="J762" s="54"/>
      <c r="K762" s="54"/>
      <c r="L762" s="54"/>
      <c r="M762" s="54"/>
      <c r="N762" s="54"/>
      <c r="O762" s="54"/>
      <c r="P762" s="54"/>
      <c r="Q762" s="54"/>
    </row>
    <row r="763" spans="7:17">
      <c r="G763" s="54"/>
      <c r="H763" s="54"/>
      <c r="I763" s="54"/>
      <c r="J763" s="54"/>
      <c r="K763" s="54"/>
      <c r="L763" s="54"/>
      <c r="M763" s="54"/>
      <c r="N763" s="54"/>
      <c r="O763" s="54"/>
      <c r="P763" s="54"/>
      <c r="Q763" s="54"/>
    </row>
    <row r="764" spans="7:17">
      <c r="G764" s="54"/>
      <c r="H764" s="54"/>
      <c r="I764" s="54"/>
      <c r="J764" s="54"/>
      <c r="K764" s="54"/>
      <c r="L764" s="54"/>
      <c r="M764" s="54"/>
      <c r="N764" s="54"/>
      <c r="O764" s="54"/>
      <c r="P764" s="54"/>
      <c r="Q764" s="54"/>
    </row>
    <row r="765" spans="7:17">
      <c r="G765" s="54"/>
      <c r="H765" s="54"/>
      <c r="I765" s="54"/>
      <c r="J765" s="54"/>
      <c r="K765" s="54"/>
      <c r="L765" s="54"/>
      <c r="M765" s="54"/>
      <c r="N765" s="54"/>
      <c r="O765" s="54"/>
      <c r="P765" s="54"/>
      <c r="Q765" s="54"/>
    </row>
    <row r="766" spans="7:17">
      <c r="G766" s="54"/>
      <c r="H766" s="54"/>
      <c r="I766" s="54"/>
      <c r="J766" s="54"/>
      <c r="K766" s="54"/>
      <c r="L766" s="54"/>
      <c r="M766" s="54"/>
      <c r="N766" s="54"/>
      <c r="O766" s="54"/>
      <c r="P766" s="54"/>
      <c r="Q766" s="54"/>
    </row>
    <row r="767" spans="7:17">
      <c r="G767" s="54"/>
      <c r="H767" s="54"/>
      <c r="I767" s="54"/>
      <c r="J767" s="54"/>
      <c r="K767" s="54"/>
      <c r="L767" s="54"/>
      <c r="M767" s="54"/>
      <c r="N767" s="54"/>
      <c r="O767" s="54"/>
      <c r="P767" s="54"/>
      <c r="Q767" s="54"/>
    </row>
    <row r="768" spans="7:17">
      <c r="G768" s="54"/>
      <c r="H768" s="54"/>
      <c r="I768" s="54"/>
      <c r="J768" s="54"/>
      <c r="K768" s="54"/>
      <c r="L768" s="54"/>
      <c r="M768" s="54"/>
      <c r="N768" s="54"/>
      <c r="O768" s="54"/>
      <c r="P768" s="54"/>
      <c r="Q768" s="54"/>
    </row>
    <row r="769" spans="7:17">
      <c r="G769" s="54"/>
      <c r="H769" s="54"/>
      <c r="I769" s="54"/>
      <c r="J769" s="54"/>
      <c r="K769" s="54"/>
      <c r="L769" s="54"/>
      <c r="M769" s="54"/>
      <c r="N769" s="54"/>
      <c r="O769" s="54"/>
      <c r="P769" s="54"/>
      <c r="Q769" s="54"/>
    </row>
    <row r="770" spans="7:17">
      <c r="G770" s="54"/>
      <c r="H770" s="54"/>
      <c r="I770" s="54"/>
      <c r="J770" s="54"/>
      <c r="K770" s="54"/>
      <c r="L770" s="54"/>
      <c r="M770" s="54"/>
      <c r="N770" s="54"/>
      <c r="O770" s="54"/>
      <c r="P770" s="54"/>
      <c r="Q770" s="54"/>
    </row>
    <row r="771" spans="7:17">
      <c r="G771" s="54"/>
      <c r="H771" s="54"/>
      <c r="I771" s="54"/>
      <c r="J771" s="54"/>
      <c r="K771" s="54"/>
      <c r="L771" s="54"/>
      <c r="M771" s="54"/>
      <c r="N771" s="54"/>
      <c r="O771" s="54"/>
      <c r="P771" s="54"/>
      <c r="Q771" s="54"/>
    </row>
    <row r="772" spans="7:17">
      <c r="G772" s="54"/>
      <c r="H772" s="54"/>
      <c r="I772" s="54"/>
      <c r="J772" s="54"/>
      <c r="K772" s="54"/>
      <c r="L772" s="54"/>
      <c r="M772" s="54"/>
      <c r="N772" s="54"/>
      <c r="O772" s="54"/>
      <c r="P772" s="54"/>
      <c r="Q772" s="54"/>
    </row>
    <row r="773" spans="7:17">
      <c r="G773" s="54"/>
      <c r="H773" s="54"/>
      <c r="I773" s="54"/>
      <c r="J773" s="54"/>
      <c r="K773" s="54"/>
      <c r="L773" s="54"/>
      <c r="M773" s="54"/>
      <c r="N773" s="54"/>
      <c r="O773" s="54"/>
      <c r="P773" s="54"/>
      <c r="Q773" s="54"/>
    </row>
    <row r="774" spans="7:17">
      <c r="G774" s="54"/>
      <c r="H774" s="54"/>
      <c r="I774" s="54"/>
      <c r="J774" s="54"/>
      <c r="K774" s="54"/>
      <c r="L774" s="54"/>
      <c r="M774" s="54"/>
      <c r="N774" s="54"/>
      <c r="O774" s="54"/>
      <c r="P774" s="54"/>
      <c r="Q774" s="54"/>
    </row>
    <row r="775" spans="7:17">
      <c r="G775" s="54"/>
      <c r="H775" s="54"/>
      <c r="I775" s="54"/>
      <c r="J775" s="54"/>
      <c r="K775" s="54"/>
      <c r="L775" s="54"/>
      <c r="M775" s="54"/>
      <c r="N775" s="54"/>
      <c r="O775" s="54"/>
      <c r="P775" s="54"/>
      <c r="Q775" s="54"/>
    </row>
    <row r="776" spans="7:17">
      <c r="G776" s="54"/>
      <c r="H776" s="54"/>
      <c r="I776" s="54"/>
      <c r="J776" s="54"/>
      <c r="K776" s="54"/>
      <c r="L776" s="54"/>
      <c r="M776" s="54"/>
      <c r="N776" s="54"/>
      <c r="O776" s="54"/>
      <c r="P776" s="54"/>
      <c r="Q776" s="54"/>
    </row>
    <row r="777" spans="7:17">
      <c r="G777" s="54"/>
      <c r="H777" s="54"/>
      <c r="I777" s="54"/>
      <c r="J777" s="54"/>
      <c r="K777" s="54"/>
      <c r="L777" s="54"/>
      <c r="M777" s="54"/>
      <c r="N777" s="54"/>
      <c r="O777" s="54"/>
      <c r="P777" s="54"/>
      <c r="Q777" s="54"/>
    </row>
    <row r="778" spans="7:17">
      <c r="G778" s="54"/>
      <c r="H778" s="54"/>
      <c r="I778" s="54"/>
      <c r="J778" s="54"/>
      <c r="K778" s="54"/>
      <c r="L778" s="54"/>
      <c r="M778" s="54"/>
      <c r="N778" s="54"/>
      <c r="O778" s="54"/>
      <c r="P778" s="54"/>
      <c r="Q778" s="54"/>
    </row>
    <row r="779" spans="7:17">
      <c r="G779" s="54"/>
      <c r="H779" s="54"/>
      <c r="I779" s="54"/>
      <c r="J779" s="54"/>
      <c r="K779" s="54"/>
      <c r="L779" s="54"/>
      <c r="M779" s="54"/>
      <c r="N779" s="54"/>
      <c r="O779" s="54"/>
      <c r="P779" s="54"/>
      <c r="Q779" s="54"/>
    </row>
    <row r="780" spans="7:17">
      <c r="G780" s="54"/>
      <c r="H780" s="54"/>
      <c r="I780" s="54"/>
      <c r="J780" s="54"/>
      <c r="K780" s="54"/>
      <c r="L780" s="54"/>
      <c r="M780" s="54"/>
      <c r="N780" s="54"/>
      <c r="O780" s="54"/>
      <c r="P780" s="54"/>
      <c r="Q780" s="54"/>
    </row>
    <row r="781" spans="7:17">
      <c r="G781" s="54"/>
      <c r="H781" s="54"/>
      <c r="I781" s="54"/>
      <c r="J781" s="54"/>
      <c r="K781" s="54"/>
      <c r="L781" s="54"/>
      <c r="M781" s="54"/>
      <c r="N781" s="54"/>
      <c r="O781" s="54"/>
      <c r="P781" s="54"/>
      <c r="Q781" s="54"/>
    </row>
    <row r="782" spans="7:17">
      <c r="G782" s="54"/>
      <c r="H782" s="54"/>
      <c r="I782" s="54"/>
      <c r="J782" s="54"/>
      <c r="K782" s="54"/>
      <c r="L782" s="54"/>
      <c r="M782" s="54"/>
      <c r="N782" s="54"/>
      <c r="O782" s="54"/>
      <c r="P782" s="54"/>
      <c r="Q782" s="54"/>
    </row>
    <row r="783" spans="7:17">
      <c r="G783" s="54"/>
      <c r="H783" s="54"/>
      <c r="I783" s="54"/>
      <c r="J783" s="54"/>
      <c r="K783" s="54"/>
      <c r="L783" s="54"/>
      <c r="M783" s="54"/>
      <c r="N783" s="54"/>
      <c r="O783" s="54"/>
      <c r="P783" s="54"/>
      <c r="Q783" s="54"/>
    </row>
    <row r="784" spans="7:17">
      <c r="G784" s="54"/>
      <c r="H784" s="54"/>
      <c r="I784" s="54"/>
      <c r="J784" s="54"/>
      <c r="K784" s="54"/>
      <c r="L784" s="54"/>
      <c r="M784" s="54"/>
      <c r="N784" s="54"/>
      <c r="O784" s="54"/>
      <c r="P784" s="54"/>
      <c r="Q784" s="54"/>
    </row>
    <row r="785" spans="7:17">
      <c r="G785" s="54"/>
      <c r="H785" s="54"/>
      <c r="I785" s="54"/>
      <c r="J785" s="54"/>
      <c r="K785" s="54"/>
      <c r="L785" s="54"/>
      <c r="M785" s="54"/>
      <c r="N785" s="54"/>
      <c r="O785" s="54"/>
      <c r="P785" s="54"/>
      <c r="Q785" s="54"/>
    </row>
    <row r="786" spans="7:17">
      <c r="G786" s="54"/>
      <c r="H786" s="54"/>
      <c r="I786" s="54"/>
      <c r="J786" s="54"/>
      <c r="K786" s="54"/>
      <c r="L786" s="54"/>
      <c r="M786" s="54"/>
      <c r="N786" s="54"/>
      <c r="O786" s="54"/>
      <c r="P786" s="54"/>
      <c r="Q786" s="54"/>
    </row>
    <row r="787" spans="7:17">
      <c r="G787" s="54"/>
      <c r="H787" s="54"/>
      <c r="I787" s="54"/>
      <c r="J787" s="54"/>
      <c r="K787" s="54"/>
      <c r="L787" s="54"/>
      <c r="M787" s="54"/>
      <c r="N787" s="54"/>
      <c r="O787" s="54"/>
      <c r="P787" s="54"/>
      <c r="Q787" s="54"/>
    </row>
    <row r="788" spans="7:17">
      <c r="G788" s="54"/>
      <c r="H788" s="54"/>
      <c r="I788" s="54"/>
      <c r="J788" s="54"/>
      <c r="K788" s="54"/>
      <c r="L788" s="54"/>
      <c r="M788" s="54"/>
      <c r="N788" s="54"/>
      <c r="O788" s="54"/>
      <c r="P788" s="54"/>
      <c r="Q788" s="54"/>
    </row>
    <row r="789" spans="7:17">
      <c r="G789" s="54"/>
      <c r="H789" s="54"/>
      <c r="I789" s="54"/>
      <c r="J789" s="54"/>
      <c r="K789" s="54"/>
      <c r="L789" s="54"/>
      <c r="M789" s="54"/>
      <c r="N789" s="54"/>
      <c r="O789" s="54"/>
      <c r="P789" s="54"/>
      <c r="Q789" s="54"/>
    </row>
    <row r="790" spans="7:17">
      <c r="G790" s="54"/>
      <c r="H790" s="54"/>
      <c r="I790" s="54"/>
      <c r="J790" s="54"/>
      <c r="K790" s="54"/>
      <c r="L790" s="54"/>
      <c r="M790" s="54"/>
      <c r="N790" s="54"/>
      <c r="O790" s="54"/>
      <c r="P790" s="54"/>
      <c r="Q790" s="54"/>
    </row>
    <row r="791" spans="7:17">
      <c r="G791" s="54"/>
      <c r="H791" s="54"/>
      <c r="I791" s="54"/>
      <c r="J791" s="54"/>
      <c r="K791" s="54"/>
      <c r="L791" s="54"/>
      <c r="M791" s="54"/>
      <c r="N791" s="54"/>
      <c r="O791" s="54"/>
      <c r="P791" s="54"/>
      <c r="Q791" s="54"/>
    </row>
    <row r="792" spans="7:17">
      <c r="G792" s="54"/>
      <c r="H792" s="54"/>
      <c r="I792" s="54"/>
      <c r="J792" s="54"/>
      <c r="K792" s="54"/>
      <c r="L792" s="54"/>
      <c r="M792" s="54"/>
      <c r="N792" s="54"/>
      <c r="O792" s="54"/>
      <c r="P792" s="54"/>
      <c r="Q792" s="54"/>
    </row>
    <row r="793" spans="7:17">
      <c r="G793" s="54"/>
      <c r="H793" s="54"/>
      <c r="I793" s="54"/>
      <c r="J793" s="54"/>
      <c r="K793" s="54"/>
      <c r="L793" s="54"/>
      <c r="M793" s="54"/>
      <c r="N793" s="54"/>
      <c r="O793" s="54"/>
      <c r="P793" s="54"/>
      <c r="Q793" s="54"/>
    </row>
    <row r="794" spans="7:17">
      <c r="G794" s="54"/>
      <c r="H794" s="54"/>
      <c r="I794" s="54"/>
      <c r="J794" s="54"/>
      <c r="K794" s="54"/>
      <c r="L794" s="54"/>
      <c r="M794" s="54"/>
      <c r="N794" s="54"/>
      <c r="O794" s="54"/>
      <c r="P794" s="54"/>
      <c r="Q794" s="54"/>
    </row>
    <row r="795" spans="7:17">
      <c r="G795" s="54"/>
      <c r="H795" s="54"/>
      <c r="I795" s="54"/>
      <c r="J795" s="54"/>
      <c r="K795" s="54"/>
      <c r="L795" s="54"/>
      <c r="M795" s="54"/>
      <c r="N795" s="54"/>
      <c r="O795" s="54"/>
      <c r="P795" s="54"/>
      <c r="Q795" s="54"/>
    </row>
    <row r="796" spans="7:17">
      <c r="G796" s="54"/>
      <c r="H796" s="54"/>
      <c r="I796" s="54"/>
      <c r="J796" s="54"/>
      <c r="K796" s="54"/>
      <c r="L796" s="54"/>
      <c r="M796" s="54"/>
      <c r="N796" s="54"/>
      <c r="O796" s="54"/>
      <c r="P796" s="54"/>
      <c r="Q796" s="54"/>
    </row>
    <row r="797" spans="7:17">
      <c r="G797" s="54"/>
      <c r="H797" s="54"/>
      <c r="I797" s="54"/>
      <c r="J797" s="54"/>
      <c r="K797" s="54"/>
      <c r="L797" s="54"/>
      <c r="M797" s="54"/>
      <c r="N797" s="54"/>
      <c r="O797" s="54"/>
      <c r="P797" s="54"/>
      <c r="Q797" s="54"/>
    </row>
    <row r="798" spans="7:17">
      <c r="G798" s="54"/>
      <c r="H798" s="54"/>
      <c r="I798" s="54"/>
      <c r="J798" s="54"/>
      <c r="K798" s="54"/>
      <c r="L798" s="54"/>
      <c r="M798" s="54"/>
      <c r="N798" s="54"/>
      <c r="O798" s="54"/>
      <c r="P798" s="54"/>
      <c r="Q798" s="54"/>
    </row>
    <row r="799" spans="7:17">
      <c r="G799" s="54"/>
      <c r="H799" s="54"/>
      <c r="I799" s="54"/>
      <c r="J799" s="54"/>
      <c r="K799" s="54"/>
      <c r="L799" s="54"/>
      <c r="M799" s="54"/>
      <c r="N799" s="54"/>
      <c r="O799" s="54"/>
      <c r="P799" s="54"/>
      <c r="Q799" s="54"/>
    </row>
    <row r="800" spans="7:17">
      <c r="G800" s="54"/>
      <c r="H800" s="54"/>
      <c r="I800" s="54"/>
      <c r="J800" s="54"/>
      <c r="K800" s="54"/>
      <c r="L800" s="54"/>
      <c r="M800" s="54"/>
      <c r="N800" s="54"/>
      <c r="O800" s="54"/>
      <c r="P800" s="54"/>
      <c r="Q800" s="54"/>
    </row>
    <row r="801" spans="7:17">
      <c r="G801" s="54"/>
      <c r="H801" s="54"/>
      <c r="I801" s="54"/>
      <c r="J801" s="54"/>
      <c r="K801" s="54"/>
      <c r="L801" s="54"/>
      <c r="M801" s="54"/>
      <c r="N801" s="54"/>
      <c r="O801" s="54"/>
      <c r="P801" s="54"/>
      <c r="Q801" s="54"/>
    </row>
    <row r="802" spans="7:17">
      <c r="G802" s="54"/>
      <c r="H802" s="54"/>
      <c r="I802" s="54"/>
      <c r="J802" s="54"/>
      <c r="K802" s="54"/>
      <c r="L802" s="54"/>
      <c r="M802" s="54"/>
      <c r="N802" s="54"/>
      <c r="O802" s="54"/>
      <c r="P802" s="54"/>
      <c r="Q802" s="54"/>
    </row>
    <row r="803" spans="7:17">
      <c r="G803" s="54"/>
      <c r="H803" s="54"/>
      <c r="I803" s="54"/>
      <c r="J803" s="54"/>
      <c r="K803" s="54"/>
      <c r="L803" s="54"/>
      <c r="M803" s="54"/>
      <c r="N803" s="54"/>
      <c r="O803" s="54"/>
      <c r="P803" s="54"/>
      <c r="Q803" s="54"/>
    </row>
    <row r="804" spans="7:17">
      <c r="G804" s="54"/>
      <c r="H804" s="54"/>
      <c r="I804" s="54"/>
      <c r="J804" s="54"/>
      <c r="K804" s="54"/>
      <c r="L804" s="54"/>
      <c r="M804" s="54"/>
      <c r="N804" s="54"/>
      <c r="O804" s="54"/>
      <c r="P804" s="54"/>
      <c r="Q804" s="54"/>
    </row>
    <row r="805" spans="7:17">
      <c r="G805" s="54"/>
      <c r="H805" s="54"/>
      <c r="I805" s="54"/>
      <c r="J805" s="54"/>
      <c r="K805" s="54"/>
      <c r="L805" s="54"/>
      <c r="M805" s="54"/>
      <c r="N805" s="54"/>
      <c r="O805" s="54"/>
      <c r="P805" s="54"/>
      <c r="Q805" s="54"/>
    </row>
    <row r="806" spans="7:17">
      <c r="G806" s="54"/>
      <c r="H806" s="54"/>
      <c r="I806" s="54"/>
      <c r="J806" s="54"/>
      <c r="K806" s="54"/>
      <c r="L806" s="54"/>
      <c r="M806" s="54"/>
      <c r="N806" s="54"/>
      <c r="O806" s="54"/>
      <c r="P806" s="54"/>
      <c r="Q806" s="54"/>
    </row>
    <row r="807" spans="7:17">
      <c r="G807" s="54"/>
      <c r="H807" s="54"/>
      <c r="I807" s="54"/>
      <c r="J807" s="54"/>
      <c r="K807" s="54"/>
      <c r="L807" s="54"/>
      <c r="M807" s="54"/>
      <c r="N807" s="54"/>
      <c r="O807" s="54"/>
      <c r="P807" s="54"/>
      <c r="Q807" s="54"/>
    </row>
    <row r="808" spans="7:17">
      <c r="G808" s="54"/>
      <c r="H808" s="54"/>
      <c r="I808" s="54"/>
      <c r="J808" s="54"/>
      <c r="K808" s="54"/>
      <c r="L808" s="54"/>
      <c r="M808" s="54"/>
      <c r="N808" s="54"/>
      <c r="O808" s="54"/>
      <c r="P808" s="54"/>
      <c r="Q808" s="54"/>
    </row>
    <row r="809" spans="7:17">
      <c r="G809" s="54"/>
      <c r="H809" s="54"/>
      <c r="I809" s="54"/>
      <c r="J809" s="54"/>
      <c r="K809" s="54"/>
      <c r="L809" s="54"/>
      <c r="M809" s="54"/>
      <c r="N809" s="54"/>
      <c r="O809" s="54"/>
      <c r="P809" s="54"/>
      <c r="Q809" s="54"/>
    </row>
    <row r="810" spans="7:17">
      <c r="G810" s="54"/>
      <c r="H810" s="54"/>
      <c r="I810" s="54"/>
      <c r="J810" s="54"/>
      <c r="K810" s="54"/>
      <c r="L810" s="54"/>
      <c r="M810" s="54"/>
      <c r="N810" s="54"/>
      <c r="O810" s="54"/>
      <c r="P810" s="54"/>
      <c r="Q810" s="54"/>
    </row>
    <row r="811" spans="7:17">
      <c r="G811" s="54"/>
      <c r="H811" s="54"/>
      <c r="I811" s="54"/>
      <c r="J811" s="54"/>
      <c r="K811" s="54"/>
      <c r="L811" s="54"/>
      <c r="M811" s="54"/>
      <c r="N811" s="54"/>
      <c r="O811" s="54"/>
      <c r="P811" s="54"/>
      <c r="Q811" s="54"/>
    </row>
    <row r="812" spans="7:17">
      <c r="G812" s="54"/>
      <c r="H812" s="54"/>
      <c r="I812" s="54"/>
      <c r="J812" s="54"/>
      <c r="K812" s="54"/>
      <c r="L812" s="54"/>
      <c r="M812" s="54"/>
      <c r="N812" s="54"/>
      <c r="O812" s="54"/>
      <c r="P812" s="54"/>
      <c r="Q812" s="54"/>
    </row>
    <row r="813" spans="7:17">
      <c r="G813" s="54"/>
      <c r="H813" s="54"/>
      <c r="I813" s="54"/>
      <c r="J813" s="54"/>
      <c r="K813" s="54"/>
      <c r="L813" s="54"/>
      <c r="M813" s="54"/>
      <c r="N813" s="54"/>
      <c r="O813" s="54"/>
      <c r="P813" s="54"/>
      <c r="Q813" s="54"/>
    </row>
    <row r="814" spans="7:17">
      <c r="G814" s="54"/>
      <c r="H814" s="54"/>
      <c r="I814" s="54"/>
      <c r="J814" s="54"/>
      <c r="K814" s="54"/>
      <c r="L814" s="54"/>
      <c r="M814" s="54"/>
      <c r="N814" s="54"/>
      <c r="O814" s="54"/>
      <c r="P814" s="54"/>
      <c r="Q814" s="54"/>
    </row>
    <row r="815" spans="7:17">
      <c r="G815" s="54"/>
      <c r="H815" s="54"/>
      <c r="I815" s="54"/>
      <c r="J815" s="54"/>
      <c r="K815" s="54"/>
      <c r="L815" s="54"/>
      <c r="M815" s="54"/>
      <c r="N815" s="54"/>
      <c r="O815" s="54"/>
      <c r="P815" s="54"/>
      <c r="Q815" s="54"/>
    </row>
    <row r="816" spans="7:17">
      <c r="G816" s="54"/>
      <c r="H816" s="54"/>
      <c r="I816" s="54"/>
      <c r="J816" s="54"/>
      <c r="K816" s="54"/>
      <c r="L816" s="54"/>
      <c r="M816" s="54"/>
      <c r="N816" s="54"/>
      <c r="O816" s="54"/>
      <c r="P816" s="54"/>
      <c r="Q816" s="54"/>
    </row>
    <row r="817" spans="7:17">
      <c r="G817" s="54"/>
      <c r="H817" s="54"/>
      <c r="I817" s="54"/>
      <c r="J817" s="54"/>
      <c r="K817" s="54"/>
      <c r="L817" s="54"/>
      <c r="M817" s="54"/>
      <c r="N817" s="54"/>
      <c r="O817" s="54"/>
      <c r="P817" s="54"/>
      <c r="Q817" s="54"/>
    </row>
    <row r="818" spans="7:17">
      <c r="G818" s="54"/>
      <c r="H818" s="54"/>
      <c r="I818" s="54"/>
      <c r="J818" s="54"/>
      <c r="K818" s="54"/>
      <c r="L818" s="54"/>
      <c r="M818" s="54"/>
      <c r="N818" s="54"/>
      <c r="O818" s="54"/>
      <c r="P818" s="54"/>
      <c r="Q818" s="54"/>
    </row>
    <row r="819" spans="7:17">
      <c r="G819" s="54"/>
      <c r="H819" s="54"/>
      <c r="I819" s="54"/>
      <c r="J819" s="54"/>
      <c r="K819" s="54"/>
      <c r="L819" s="54"/>
      <c r="M819" s="54"/>
      <c r="N819" s="54"/>
      <c r="O819" s="54"/>
      <c r="P819" s="54"/>
      <c r="Q819" s="54"/>
    </row>
    <row r="820" spans="7:17">
      <c r="G820" s="54"/>
      <c r="H820" s="54"/>
      <c r="I820" s="54"/>
      <c r="J820" s="54"/>
      <c r="K820" s="54"/>
      <c r="L820" s="54"/>
      <c r="M820" s="54"/>
      <c r="N820" s="54"/>
      <c r="O820" s="54"/>
      <c r="P820" s="54"/>
      <c r="Q820" s="54"/>
    </row>
    <row r="821" spans="7:17">
      <c r="G821" s="54"/>
      <c r="H821" s="54"/>
      <c r="I821" s="54"/>
      <c r="J821" s="54"/>
      <c r="K821" s="54"/>
      <c r="L821" s="54"/>
      <c r="M821" s="54"/>
      <c r="N821" s="54"/>
      <c r="O821" s="54"/>
      <c r="P821" s="54"/>
      <c r="Q821" s="54"/>
    </row>
    <row r="822" spans="7:17">
      <c r="G822" s="54"/>
      <c r="H822" s="54"/>
      <c r="I822" s="54"/>
      <c r="J822" s="54"/>
      <c r="K822" s="54"/>
      <c r="L822" s="54"/>
      <c r="M822" s="54"/>
      <c r="N822" s="54"/>
      <c r="O822" s="54"/>
      <c r="P822" s="54"/>
      <c r="Q822" s="54"/>
    </row>
    <row r="823" spans="7:17">
      <c r="G823" s="54"/>
      <c r="H823" s="54"/>
      <c r="I823" s="54"/>
      <c r="J823" s="54"/>
      <c r="K823" s="54"/>
      <c r="L823" s="54"/>
      <c r="M823" s="54"/>
      <c r="N823" s="54"/>
      <c r="O823" s="54"/>
      <c r="P823" s="54"/>
      <c r="Q823" s="54"/>
    </row>
    <row r="824" spans="7:17">
      <c r="G824" s="54"/>
      <c r="H824" s="54"/>
      <c r="I824" s="54"/>
      <c r="J824" s="54"/>
      <c r="K824" s="54"/>
      <c r="L824" s="54"/>
      <c r="M824" s="54"/>
      <c r="N824" s="54"/>
      <c r="O824" s="54"/>
      <c r="P824" s="54"/>
      <c r="Q824" s="54"/>
    </row>
    <row r="825" spans="7:17">
      <c r="G825" s="54"/>
      <c r="H825" s="54"/>
      <c r="I825" s="54"/>
      <c r="J825" s="54"/>
      <c r="K825" s="54"/>
      <c r="L825" s="54"/>
      <c r="M825" s="54"/>
      <c r="N825" s="54"/>
      <c r="O825" s="54"/>
      <c r="P825" s="54"/>
      <c r="Q825" s="54"/>
    </row>
    <row r="826" spans="7:17">
      <c r="G826" s="54"/>
      <c r="H826" s="54"/>
      <c r="I826" s="54"/>
      <c r="J826" s="54"/>
      <c r="K826" s="54"/>
      <c r="L826" s="54"/>
      <c r="M826" s="54"/>
      <c r="N826" s="54"/>
      <c r="O826" s="54"/>
      <c r="P826" s="54"/>
      <c r="Q826" s="54"/>
    </row>
    <row r="827" spans="7:17">
      <c r="G827" s="54"/>
      <c r="H827" s="54"/>
      <c r="I827" s="54"/>
      <c r="J827" s="54"/>
      <c r="K827" s="54"/>
      <c r="L827" s="54"/>
      <c r="M827" s="54"/>
      <c r="N827" s="54"/>
      <c r="O827" s="54"/>
      <c r="P827" s="54"/>
      <c r="Q827" s="54"/>
    </row>
    <row r="828" spans="7:17">
      <c r="G828" s="54"/>
      <c r="H828" s="54"/>
      <c r="I828" s="54"/>
      <c r="J828" s="54"/>
      <c r="K828" s="54"/>
      <c r="L828" s="54"/>
      <c r="M828" s="54"/>
      <c r="N828" s="54"/>
      <c r="O828" s="54"/>
      <c r="P828" s="54"/>
      <c r="Q828" s="54"/>
    </row>
    <row r="829" spans="7:17">
      <c r="G829" s="54"/>
      <c r="H829" s="54"/>
      <c r="I829" s="54"/>
      <c r="J829" s="54"/>
      <c r="K829" s="54"/>
      <c r="L829" s="54"/>
      <c r="M829" s="54"/>
      <c r="N829" s="54"/>
      <c r="O829" s="54"/>
      <c r="P829" s="54"/>
      <c r="Q829" s="54"/>
    </row>
    <row r="830" spans="7:17">
      <c r="G830" s="54"/>
      <c r="H830" s="54"/>
      <c r="I830" s="54"/>
      <c r="J830" s="54"/>
      <c r="K830" s="54"/>
      <c r="L830" s="54"/>
      <c r="M830" s="54"/>
      <c r="N830" s="54"/>
      <c r="O830" s="54"/>
      <c r="P830" s="54"/>
      <c r="Q830" s="54"/>
    </row>
    <row r="831" spans="7:17">
      <c r="G831" s="54"/>
      <c r="H831" s="54"/>
      <c r="I831" s="54"/>
      <c r="J831" s="54"/>
      <c r="K831" s="54"/>
      <c r="L831" s="54"/>
      <c r="M831" s="54"/>
      <c r="N831" s="54"/>
      <c r="O831" s="54"/>
      <c r="P831" s="54"/>
      <c r="Q831" s="54"/>
    </row>
    <row r="832" spans="7:17">
      <c r="G832" s="54"/>
      <c r="H832" s="54"/>
      <c r="I832" s="54"/>
      <c r="J832" s="54"/>
      <c r="K832" s="54"/>
      <c r="L832" s="54"/>
      <c r="M832" s="54"/>
      <c r="N832" s="54"/>
      <c r="O832" s="54"/>
      <c r="P832" s="54"/>
      <c r="Q832" s="54"/>
    </row>
    <row r="833" spans="7:17">
      <c r="G833" s="54"/>
      <c r="H833" s="54"/>
      <c r="I833" s="54"/>
      <c r="J833" s="54"/>
      <c r="K833" s="54"/>
      <c r="L833" s="54"/>
      <c r="M833" s="54"/>
      <c r="N833" s="54"/>
      <c r="O833" s="54"/>
      <c r="P833" s="54"/>
      <c r="Q833" s="54"/>
    </row>
    <row r="834" spans="7:17">
      <c r="G834" s="54"/>
      <c r="H834" s="54"/>
      <c r="I834" s="54"/>
      <c r="J834" s="54"/>
      <c r="K834" s="54"/>
      <c r="L834" s="54"/>
      <c r="M834" s="54"/>
      <c r="N834" s="54"/>
      <c r="O834" s="54"/>
      <c r="P834" s="54"/>
      <c r="Q834" s="54"/>
    </row>
    <row r="835" spans="7:17">
      <c r="G835" s="54"/>
      <c r="H835" s="54"/>
      <c r="I835" s="54"/>
      <c r="J835" s="54"/>
      <c r="K835" s="54"/>
      <c r="L835" s="54"/>
      <c r="M835" s="54"/>
      <c r="N835" s="54"/>
      <c r="O835" s="54"/>
      <c r="P835" s="54"/>
      <c r="Q835" s="54"/>
    </row>
    <row r="836" spans="7:17">
      <c r="G836" s="54"/>
      <c r="H836" s="54"/>
      <c r="I836" s="54"/>
      <c r="J836" s="54"/>
      <c r="K836" s="54"/>
      <c r="L836" s="54"/>
      <c r="M836" s="54"/>
      <c r="N836" s="54"/>
      <c r="O836" s="54"/>
      <c r="P836" s="54"/>
      <c r="Q836" s="54"/>
    </row>
    <row r="837" spans="7:17">
      <c r="G837" s="54"/>
      <c r="H837" s="54"/>
      <c r="I837" s="54"/>
      <c r="J837" s="54"/>
      <c r="K837" s="54"/>
      <c r="L837" s="54"/>
      <c r="M837" s="54"/>
      <c r="N837" s="54"/>
      <c r="O837" s="54"/>
      <c r="P837" s="54"/>
      <c r="Q837" s="54"/>
    </row>
    <row r="838" spans="7:17">
      <c r="G838" s="54"/>
      <c r="H838" s="54"/>
      <c r="I838" s="54"/>
      <c r="J838" s="54"/>
      <c r="K838" s="54"/>
      <c r="L838" s="54"/>
      <c r="M838" s="54"/>
      <c r="N838" s="54"/>
      <c r="O838" s="54"/>
      <c r="P838" s="54"/>
      <c r="Q838" s="54"/>
    </row>
    <row r="839" spans="7:17">
      <c r="G839" s="54"/>
      <c r="H839" s="54"/>
      <c r="I839" s="54"/>
      <c r="J839" s="54"/>
      <c r="K839" s="54"/>
      <c r="L839" s="54"/>
      <c r="M839" s="54"/>
      <c r="N839" s="54"/>
      <c r="O839" s="54"/>
      <c r="P839" s="54"/>
      <c r="Q839" s="54"/>
    </row>
    <row r="840" spans="7:17">
      <c r="G840" s="54"/>
      <c r="H840" s="54"/>
      <c r="I840" s="54"/>
      <c r="J840" s="54"/>
      <c r="K840" s="54"/>
      <c r="L840" s="54"/>
      <c r="M840" s="54"/>
      <c r="N840" s="54"/>
      <c r="O840" s="54"/>
      <c r="P840" s="54"/>
      <c r="Q840" s="54"/>
    </row>
    <row r="841" spans="7:17">
      <c r="G841" s="54"/>
      <c r="H841" s="54"/>
      <c r="I841" s="54"/>
      <c r="J841" s="54"/>
      <c r="K841" s="54"/>
      <c r="L841" s="54"/>
      <c r="M841" s="54"/>
      <c r="N841" s="54"/>
      <c r="O841" s="54"/>
      <c r="P841" s="54"/>
      <c r="Q841" s="54"/>
    </row>
    <row r="842" spans="7:17">
      <c r="G842" s="54"/>
      <c r="H842" s="54"/>
      <c r="I842" s="54"/>
      <c r="J842" s="54"/>
      <c r="K842" s="54"/>
      <c r="L842" s="54"/>
      <c r="M842" s="54"/>
      <c r="N842" s="54"/>
      <c r="O842" s="54"/>
      <c r="P842" s="54"/>
      <c r="Q842" s="54"/>
    </row>
    <row r="843" spans="7:17">
      <c r="G843" s="54"/>
      <c r="H843" s="54"/>
      <c r="I843" s="54"/>
      <c r="J843" s="54"/>
      <c r="K843" s="54"/>
      <c r="L843" s="54"/>
      <c r="M843" s="54"/>
      <c r="N843" s="54"/>
      <c r="O843" s="54"/>
      <c r="P843" s="54"/>
      <c r="Q843" s="54"/>
    </row>
    <row r="844" spans="7:17">
      <c r="G844" s="54"/>
      <c r="H844" s="54"/>
      <c r="I844" s="54"/>
      <c r="J844" s="54"/>
      <c r="K844" s="54"/>
      <c r="L844" s="54"/>
      <c r="M844" s="54"/>
      <c r="N844" s="54"/>
      <c r="O844" s="54"/>
      <c r="P844" s="54"/>
      <c r="Q844" s="54"/>
    </row>
    <row r="845" spans="7:17">
      <c r="G845" s="54"/>
      <c r="H845" s="54"/>
      <c r="I845" s="54"/>
      <c r="J845" s="54"/>
      <c r="K845" s="54"/>
      <c r="L845" s="54"/>
      <c r="M845" s="54"/>
      <c r="N845" s="54"/>
      <c r="O845" s="54"/>
      <c r="P845" s="54"/>
      <c r="Q845" s="54"/>
    </row>
    <row r="846" spans="7:17">
      <c r="G846" s="54"/>
      <c r="H846" s="54"/>
      <c r="I846" s="54"/>
      <c r="J846" s="54"/>
      <c r="K846" s="54"/>
      <c r="L846" s="54"/>
      <c r="M846" s="54"/>
      <c r="N846" s="54"/>
      <c r="O846" s="54"/>
      <c r="P846" s="54"/>
      <c r="Q846" s="54"/>
    </row>
    <row r="847" spans="7:17">
      <c r="G847" s="54"/>
      <c r="H847" s="54"/>
      <c r="I847" s="54"/>
      <c r="J847" s="54"/>
      <c r="K847" s="54"/>
      <c r="L847" s="54"/>
      <c r="M847" s="54"/>
      <c r="N847" s="54"/>
      <c r="O847" s="54"/>
      <c r="P847" s="54"/>
      <c r="Q847" s="54"/>
    </row>
    <row r="848" spans="7:17">
      <c r="G848" s="54"/>
      <c r="H848" s="54"/>
      <c r="I848" s="54"/>
      <c r="J848" s="54"/>
      <c r="K848" s="54"/>
      <c r="L848" s="54"/>
      <c r="M848" s="54"/>
      <c r="N848" s="54"/>
      <c r="O848" s="54"/>
      <c r="P848" s="54"/>
      <c r="Q848" s="54"/>
    </row>
    <row r="849" spans="7:17">
      <c r="G849" s="54"/>
      <c r="H849" s="54"/>
      <c r="I849" s="54"/>
      <c r="J849" s="54"/>
      <c r="K849" s="54"/>
      <c r="L849" s="54"/>
      <c r="M849" s="54"/>
      <c r="N849" s="54"/>
      <c r="O849" s="54"/>
      <c r="P849" s="54"/>
      <c r="Q849" s="54"/>
    </row>
    <row r="850" spans="7:17">
      <c r="G850" s="54"/>
      <c r="H850" s="54"/>
      <c r="I850" s="54"/>
      <c r="J850" s="54"/>
      <c r="K850" s="54"/>
      <c r="L850" s="54"/>
      <c r="M850" s="54"/>
      <c r="N850" s="54"/>
      <c r="O850" s="54"/>
      <c r="P850" s="54"/>
      <c r="Q850" s="54"/>
    </row>
    <row r="851" spans="7:17">
      <c r="G851" s="54"/>
      <c r="H851" s="54"/>
      <c r="I851" s="54"/>
      <c r="J851" s="54"/>
      <c r="K851" s="54"/>
      <c r="L851" s="54"/>
      <c r="M851" s="54"/>
      <c r="N851" s="54"/>
      <c r="O851" s="54"/>
      <c r="P851" s="54"/>
      <c r="Q851" s="54"/>
    </row>
    <row r="852" spans="7:17">
      <c r="G852" s="54"/>
      <c r="H852" s="54"/>
      <c r="I852" s="54"/>
      <c r="J852" s="54"/>
      <c r="K852" s="54"/>
      <c r="L852" s="54"/>
      <c r="M852" s="54"/>
      <c r="N852" s="54"/>
      <c r="O852" s="54"/>
      <c r="P852" s="54"/>
      <c r="Q852" s="54"/>
    </row>
    <row r="853" spans="7:17">
      <c r="G853" s="54"/>
      <c r="H853" s="54"/>
      <c r="I853" s="54"/>
      <c r="J853" s="54"/>
      <c r="K853" s="54"/>
      <c r="L853" s="54"/>
      <c r="M853" s="54"/>
      <c r="N853" s="54"/>
      <c r="O853" s="54"/>
      <c r="P853" s="54"/>
      <c r="Q853" s="54"/>
    </row>
    <row r="854" spans="7:17">
      <c r="G854" s="54"/>
      <c r="H854" s="54"/>
      <c r="I854" s="54"/>
      <c r="J854" s="54"/>
      <c r="K854" s="54"/>
      <c r="L854" s="54"/>
      <c r="M854" s="54"/>
      <c r="N854" s="54"/>
      <c r="O854" s="54"/>
      <c r="P854" s="54"/>
      <c r="Q854" s="54"/>
    </row>
    <row r="855" spans="7:17">
      <c r="G855" s="54"/>
      <c r="H855" s="54"/>
      <c r="I855" s="54"/>
      <c r="J855" s="54"/>
      <c r="K855" s="54"/>
      <c r="L855" s="54"/>
      <c r="M855" s="54"/>
      <c r="N855" s="54"/>
      <c r="O855" s="54"/>
      <c r="P855" s="54"/>
      <c r="Q855" s="54"/>
    </row>
    <row r="856" spans="7:17">
      <c r="G856" s="54"/>
      <c r="H856" s="54"/>
      <c r="I856" s="54"/>
      <c r="J856" s="54"/>
      <c r="K856" s="54"/>
      <c r="L856" s="54"/>
      <c r="M856" s="54"/>
      <c r="N856" s="54"/>
      <c r="O856" s="54"/>
      <c r="P856" s="54"/>
      <c r="Q856" s="54"/>
    </row>
    <row r="857" spans="7:17">
      <c r="G857" s="54"/>
      <c r="H857" s="54"/>
      <c r="I857" s="54"/>
      <c r="J857" s="54"/>
      <c r="K857" s="54"/>
      <c r="L857" s="54"/>
      <c r="M857" s="54"/>
      <c r="N857" s="54"/>
      <c r="O857" s="54"/>
      <c r="P857" s="54"/>
      <c r="Q857" s="54"/>
    </row>
    <row r="858" spans="7:17">
      <c r="G858" s="54"/>
      <c r="H858" s="54"/>
      <c r="I858" s="54"/>
      <c r="J858" s="54"/>
      <c r="K858" s="54"/>
      <c r="L858" s="54"/>
      <c r="M858" s="54"/>
      <c r="N858" s="54"/>
      <c r="O858" s="54"/>
      <c r="P858" s="54"/>
      <c r="Q858" s="54"/>
    </row>
    <row r="859" spans="7:17">
      <c r="G859" s="54"/>
      <c r="H859" s="54"/>
      <c r="I859" s="54"/>
      <c r="J859" s="54"/>
      <c r="K859" s="54"/>
      <c r="L859" s="54"/>
      <c r="M859" s="54"/>
      <c r="N859" s="54"/>
      <c r="O859" s="54"/>
      <c r="P859" s="54"/>
      <c r="Q859" s="54"/>
    </row>
    <row r="860" spans="7:17">
      <c r="G860" s="54"/>
      <c r="H860" s="54"/>
      <c r="I860" s="54"/>
      <c r="J860" s="54"/>
      <c r="K860" s="54"/>
      <c r="L860" s="54"/>
      <c r="M860" s="54"/>
      <c r="N860" s="54"/>
      <c r="O860" s="54"/>
      <c r="P860" s="54"/>
      <c r="Q860" s="54"/>
    </row>
    <row r="861" spans="7:17">
      <c r="G861" s="54"/>
      <c r="H861" s="54"/>
      <c r="I861" s="54"/>
      <c r="J861" s="54"/>
      <c r="K861" s="54"/>
      <c r="L861" s="54"/>
      <c r="M861" s="54"/>
      <c r="N861" s="54"/>
      <c r="O861" s="54"/>
      <c r="P861" s="54"/>
      <c r="Q861" s="54"/>
    </row>
    <row r="862" spans="7:17">
      <c r="G862" s="54"/>
      <c r="H862" s="54"/>
      <c r="I862" s="54"/>
      <c r="J862" s="54"/>
      <c r="K862" s="54"/>
      <c r="L862" s="54"/>
      <c r="M862" s="54"/>
      <c r="N862" s="54"/>
      <c r="O862" s="54"/>
      <c r="P862" s="54"/>
      <c r="Q862" s="54"/>
    </row>
    <row r="863" spans="7:17">
      <c r="G863" s="54"/>
      <c r="H863" s="54"/>
      <c r="I863" s="54"/>
      <c r="J863" s="54"/>
      <c r="K863" s="54"/>
      <c r="L863" s="54"/>
      <c r="M863" s="54"/>
      <c r="N863" s="54"/>
      <c r="O863" s="54"/>
      <c r="P863" s="54"/>
      <c r="Q863" s="54"/>
    </row>
    <row r="864" spans="7:17">
      <c r="G864" s="54"/>
      <c r="H864" s="54"/>
      <c r="I864" s="54"/>
      <c r="J864" s="54"/>
      <c r="K864" s="54"/>
      <c r="L864" s="54"/>
      <c r="M864" s="54"/>
      <c r="N864" s="54"/>
      <c r="O864" s="54"/>
      <c r="P864" s="54"/>
      <c r="Q864" s="54"/>
    </row>
    <row r="865" spans="7:17">
      <c r="G865" s="54"/>
      <c r="H865" s="54"/>
      <c r="I865" s="54"/>
      <c r="J865" s="54"/>
      <c r="K865" s="54"/>
      <c r="L865" s="54"/>
      <c r="M865" s="54"/>
      <c r="N865" s="54"/>
      <c r="O865" s="54"/>
      <c r="P865" s="54"/>
      <c r="Q865" s="54"/>
    </row>
    <row r="866" spans="7:17">
      <c r="G866" s="54"/>
      <c r="H866" s="54"/>
      <c r="I866" s="54"/>
      <c r="J866" s="54"/>
      <c r="K866" s="54"/>
      <c r="L866" s="54"/>
      <c r="M866" s="54"/>
      <c r="N866" s="54"/>
      <c r="O866" s="54"/>
      <c r="P866" s="54"/>
      <c r="Q866" s="54"/>
    </row>
    <row r="867" spans="7:17">
      <c r="G867" s="54"/>
      <c r="H867" s="54"/>
      <c r="I867" s="54"/>
      <c r="J867" s="54"/>
      <c r="K867" s="54"/>
      <c r="L867" s="54"/>
      <c r="M867" s="54"/>
      <c r="N867" s="54"/>
      <c r="O867" s="54"/>
      <c r="P867" s="54"/>
      <c r="Q867" s="54"/>
    </row>
    <row r="868" spans="7:17">
      <c r="G868" s="54"/>
      <c r="H868" s="54"/>
      <c r="I868" s="54"/>
      <c r="J868" s="54"/>
      <c r="K868" s="54"/>
      <c r="L868" s="54"/>
      <c r="M868" s="54"/>
      <c r="N868" s="54"/>
      <c r="O868" s="54"/>
      <c r="P868" s="54"/>
      <c r="Q868" s="54"/>
    </row>
    <row r="869" spans="7:17">
      <c r="G869" s="54"/>
      <c r="H869" s="54"/>
      <c r="I869" s="54"/>
      <c r="J869" s="54"/>
      <c r="K869" s="54"/>
      <c r="L869" s="54"/>
      <c r="M869" s="54"/>
      <c r="N869" s="54"/>
      <c r="O869" s="54"/>
      <c r="P869" s="54"/>
      <c r="Q869" s="54"/>
    </row>
    <row r="870" spans="7:17">
      <c r="G870" s="54"/>
      <c r="H870" s="54"/>
      <c r="I870" s="54"/>
      <c r="J870" s="54"/>
      <c r="K870" s="54"/>
      <c r="L870" s="54"/>
      <c r="M870" s="54"/>
      <c r="N870" s="54"/>
      <c r="O870" s="54"/>
      <c r="P870" s="54"/>
      <c r="Q870" s="54"/>
    </row>
    <row r="871" spans="7:17">
      <c r="G871" s="54"/>
      <c r="H871" s="54"/>
      <c r="I871" s="54"/>
      <c r="J871" s="54"/>
      <c r="K871" s="54"/>
      <c r="L871" s="54"/>
      <c r="M871" s="54"/>
      <c r="N871" s="54"/>
      <c r="O871" s="54"/>
      <c r="P871" s="54"/>
      <c r="Q871" s="54"/>
    </row>
    <row r="872" spans="7:17">
      <c r="G872" s="54"/>
      <c r="H872" s="54"/>
      <c r="I872" s="54"/>
      <c r="J872" s="54"/>
      <c r="K872" s="54"/>
      <c r="L872" s="54"/>
      <c r="M872" s="54"/>
      <c r="N872" s="54"/>
      <c r="O872" s="54"/>
      <c r="P872" s="54"/>
      <c r="Q872" s="54"/>
    </row>
    <row r="873" spans="7:17">
      <c r="G873" s="54"/>
      <c r="H873" s="54"/>
      <c r="I873" s="54"/>
      <c r="J873" s="54"/>
      <c r="K873" s="54"/>
      <c r="L873" s="54"/>
      <c r="M873" s="54"/>
      <c r="N873" s="54"/>
      <c r="O873" s="54"/>
      <c r="P873" s="54"/>
      <c r="Q873" s="54"/>
    </row>
    <row r="874" spans="7:17">
      <c r="G874" s="54"/>
      <c r="H874" s="54"/>
      <c r="I874" s="54"/>
      <c r="J874" s="54"/>
      <c r="K874" s="54"/>
      <c r="L874" s="54"/>
      <c r="M874" s="54"/>
      <c r="N874" s="54"/>
      <c r="O874" s="54"/>
      <c r="P874" s="54"/>
      <c r="Q874" s="54"/>
    </row>
    <row r="875" spans="7:17">
      <c r="G875" s="54"/>
      <c r="H875" s="54"/>
      <c r="I875" s="54"/>
      <c r="J875" s="54"/>
      <c r="K875" s="54"/>
      <c r="L875" s="54"/>
      <c r="M875" s="54"/>
      <c r="N875" s="54"/>
      <c r="O875" s="54"/>
      <c r="P875" s="54"/>
      <c r="Q875" s="54"/>
    </row>
    <row r="876" spans="7:17">
      <c r="G876" s="54"/>
      <c r="H876" s="54"/>
      <c r="I876" s="54"/>
      <c r="J876" s="54"/>
      <c r="K876" s="54"/>
      <c r="L876" s="54"/>
      <c r="M876" s="54"/>
      <c r="N876" s="54"/>
      <c r="O876" s="54"/>
      <c r="P876" s="54"/>
      <c r="Q876" s="54"/>
    </row>
    <row r="877" spans="7:17">
      <c r="G877" s="54"/>
      <c r="H877" s="54"/>
      <c r="I877" s="54"/>
      <c r="J877" s="54"/>
      <c r="K877" s="54"/>
      <c r="L877" s="54"/>
      <c r="M877" s="54"/>
      <c r="N877" s="54"/>
      <c r="O877" s="54"/>
      <c r="P877" s="54"/>
      <c r="Q877" s="54"/>
    </row>
    <row r="878" spans="7:17">
      <c r="G878" s="54"/>
      <c r="H878" s="54"/>
      <c r="I878" s="54"/>
      <c r="J878" s="54"/>
      <c r="K878" s="54"/>
      <c r="L878" s="54"/>
      <c r="M878" s="54"/>
      <c r="N878" s="54"/>
      <c r="O878" s="54"/>
      <c r="P878" s="54"/>
      <c r="Q878" s="54"/>
    </row>
    <row r="879" spans="7:17">
      <c r="G879" s="54"/>
      <c r="H879" s="54"/>
      <c r="I879" s="54"/>
      <c r="J879" s="54"/>
      <c r="K879" s="54"/>
      <c r="L879" s="54"/>
      <c r="M879" s="54"/>
      <c r="N879" s="54"/>
      <c r="O879" s="54"/>
      <c r="P879" s="54"/>
      <c r="Q879" s="54"/>
    </row>
    <row r="880" spans="7:17">
      <c r="G880" s="54"/>
      <c r="H880" s="54"/>
      <c r="I880" s="54"/>
      <c r="J880" s="54"/>
      <c r="K880" s="54"/>
      <c r="L880" s="54"/>
      <c r="M880" s="54"/>
      <c r="N880" s="54"/>
      <c r="O880" s="54"/>
      <c r="P880" s="54"/>
      <c r="Q880" s="54"/>
    </row>
    <row r="881" spans="7:17">
      <c r="G881" s="54"/>
      <c r="H881" s="54"/>
      <c r="I881" s="54"/>
      <c r="J881" s="54"/>
      <c r="K881" s="54"/>
      <c r="L881" s="54"/>
      <c r="M881" s="54"/>
      <c r="N881" s="54"/>
      <c r="O881" s="54"/>
      <c r="P881" s="54"/>
      <c r="Q881" s="54"/>
    </row>
    <row r="882" spans="7:17">
      <c r="G882" s="54"/>
      <c r="H882" s="54"/>
      <c r="I882" s="54"/>
      <c r="J882" s="54"/>
      <c r="K882" s="54"/>
      <c r="L882" s="54"/>
      <c r="M882" s="54"/>
      <c r="N882" s="54"/>
      <c r="O882" s="54"/>
      <c r="P882" s="54"/>
      <c r="Q882" s="54"/>
    </row>
    <row r="883" spans="7:17">
      <c r="G883" s="54"/>
      <c r="H883" s="54"/>
      <c r="I883" s="54"/>
      <c r="J883" s="54"/>
      <c r="K883" s="54"/>
      <c r="L883" s="54"/>
      <c r="M883" s="54"/>
      <c r="N883" s="54"/>
      <c r="O883" s="54"/>
      <c r="P883" s="54"/>
      <c r="Q883" s="54"/>
    </row>
    <row r="884" spans="7:17">
      <c r="G884" s="54"/>
      <c r="H884" s="54"/>
      <c r="I884" s="54"/>
      <c r="J884" s="54"/>
      <c r="K884" s="54"/>
      <c r="L884" s="54"/>
      <c r="M884" s="54"/>
      <c r="N884" s="54"/>
      <c r="O884" s="54"/>
      <c r="P884" s="54"/>
      <c r="Q884" s="54"/>
    </row>
    <row r="885" spans="7:17">
      <c r="G885" s="54"/>
      <c r="H885" s="54"/>
      <c r="I885" s="54"/>
      <c r="J885" s="54"/>
      <c r="K885" s="54"/>
      <c r="L885" s="54"/>
      <c r="M885" s="54"/>
      <c r="N885" s="54"/>
      <c r="O885" s="54"/>
      <c r="P885" s="54"/>
      <c r="Q885" s="54"/>
    </row>
    <row r="886" spans="7:17">
      <c r="G886" s="54"/>
      <c r="H886" s="54"/>
      <c r="I886" s="54"/>
      <c r="J886" s="54"/>
      <c r="K886" s="54"/>
      <c r="L886" s="54"/>
      <c r="M886" s="54"/>
      <c r="N886" s="54"/>
      <c r="O886" s="54"/>
      <c r="P886" s="54"/>
      <c r="Q886" s="54"/>
    </row>
    <row r="887" spans="7:17">
      <c r="G887" s="54"/>
      <c r="H887" s="54"/>
      <c r="I887" s="54"/>
      <c r="J887" s="54"/>
      <c r="K887" s="54"/>
      <c r="L887" s="54"/>
      <c r="M887" s="54"/>
      <c r="N887" s="54"/>
      <c r="O887" s="54"/>
      <c r="P887" s="54"/>
      <c r="Q887" s="54"/>
    </row>
    <row r="888" spans="7:17">
      <c r="G888" s="54"/>
      <c r="H888" s="54"/>
      <c r="I888" s="54"/>
      <c r="J888" s="54"/>
      <c r="K888" s="54"/>
      <c r="L888" s="54"/>
      <c r="M888" s="54"/>
      <c r="N888" s="54"/>
      <c r="O888" s="54"/>
      <c r="P888" s="54"/>
      <c r="Q888" s="54"/>
    </row>
    <row r="889" spans="7:17">
      <c r="G889" s="54"/>
      <c r="H889" s="54"/>
      <c r="I889" s="54"/>
      <c r="J889" s="54"/>
      <c r="K889" s="54"/>
      <c r="L889" s="54"/>
      <c r="M889" s="54"/>
      <c r="N889" s="54"/>
      <c r="O889" s="54"/>
      <c r="P889" s="54"/>
      <c r="Q889" s="54"/>
    </row>
    <row r="890" spans="7:17">
      <c r="G890" s="54"/>
      <c r="H890" s="54"/>
      <c r="I890" s="54"/>
      <c r="J890" s="54"/>
      <c r="K890" s="54"/>
      <c r="L890" s="54"/>
      <c r="M890" s="54"/>
      <c r="N890" s="54"/>
      <c r="O890" s="54"/>
      <c r="P890" s="54"/>
      <c r="Q890" s="54"/>
    </row>
    <row r="891" spans="7:17">
      <c r="G891" s="54"/>
      <c r="H891" s="54"/>
      <c r="I891" s="54"/>
      <c r="J891" s="54"/>
      <c r="K891" s="54"/>
      <c r="L891" s="54"/>
      <c r="M891" s="54"/>
      <c r="N891" s="54"/>
      <c r="O891" s="54"/>
      <c r="P891" s="54"/>
      <c r="Q891" s="54"/>
    </row>
    <row r="892" spans="7:17">
      <c r="G892" s="54"/>
      <c r="H892" s="54"/>
      <c r="I892" s="54"/>
      <c r="J892" s="54"/>
      <c r="K892" s="54"/>
      <c r="L892" s="54"/>
      <c r="M892" s="54"/>
      <c r="N892" s="54"/>
      <c r="O892" s="54"/>
      <c r="P892" s="54"/>
      <c r="Q892" s="54"/>
    </row>
    <row r="893" spans="7:17">
      <c r="G893" s="54"/>
      <c r="H893" s="54"/>
      <c r="I893" s="54"/>
      <c r="J893" s="54"/>
      <c r="K893" s="54"/>
      <c r="L893" s="54"/>
      <c r="M893" s="54"/>
      <c r="N893" s="54"/>
      <c r="O893" s="54"/>
      <c r="P893" s="54"/>
      <c r="Q893" s="54"/>
    </row>
    <row r="894" spans="7:17">
      <c r="G894" s="54"/>
      <c r="H894" s="54"/>
      <c r="I894" s="54"/>
      <c r="J894" s="54"/>
      <c r="K894" s="54"/>
      <c r="L894" s="54"/>
      <c r="M894" s="54"/>
      <c r="N894" s="54"/>
      <c r="O894" s="54"/>
      <c r="P894" s="54"/>
      <c r="Q894" s="54"/>
    </row>
    <row r="895" spans="7:17">
      <c r="G895" s="54"/>
      <c r="H895" s="54"/>
      <c r="I895" s="54"/>
      <c r="J895" s="54"/>
      <c r="K895" s="54"/>
      <c r="L895" s="54"/>
      <c r="M895" s="54"/>
      <c r="N895" s="54"/>
      <c r="O895" s="54"/>
      <c r="P895" s="54"/>
      <c r="Q895" s="54"/>
    </row>
    <row r="896" spans="7:17">
      <c r="G896" s="54"/>
      <c r="H896" s="54"/>
      <c r="I896" s="54"/>
      <c r="J896" s="54"/>
      <c r="K896" s="54"/>
      <c r="L896" s="54"/>
      <c r="M896" s="54"/>
      <c r="N896" s="54"/>
      <c r="O896" s="54"/>
      <c r="P896" s="54"/>
      <c r="Q896" s="54"/>
    </row>
    <row r="897" spans="7:17">
      <c r="G897" s="54"/>
      <c r="H897" s="54"/>
      <c r="I897" s="54"/>
      <c r="J897" s="54"/>
      <c r="K897" s="54"/>
      <c r="L897" s="54"/>
      <c r="M897" s="54"/>
      <c r="N897" s="54"/>
      <c r="O897" s="54"/>
      <c r="P897" s="54"/>
      <c r="Q897" s="54"/>
    </row>
    <row r="898" spans="7:17">
      <c r="G898" s="54"/>
      <c r="H898" s="54"/>
      <c r="I898" s="54"/>
      <c r="J898" s="54"/>
      <c r="K898" s="54"/>
      <c r="L898" s="54"/>
      <c r="M898" s="54"/>
      <c r="N898" s="54"/>
      <c r="O898" s="54"/>
      <c r="P898" s="54"/>
      <c r="Q898" s="54"/>
    </row>
    <row r="899" spans="7:17">
      <c r="G899" s="54"/>
      <c r="H899" s="54"/>
      <c r="I899" s="54"/>
      <c r="J899" s="54"/>
      <c r="K899" s="54"/>
      <c r="L899" s="54"/>
      <c r="M899" s="54"/>
      <c r="N899" s="54"/>
      <c r="O899" s="54"/>
      <c r="P899" s="54"/>
      <c r="Q899" s="54"/>
    </row>
    <row r="900" spans="7:17">
      <c r="G900" s="54"/>
      <c r="H900" s="54"/>
      <c r="I900" s="54"/>
      <c r="J900" s="54"/>
      <c r="K900" s="54"/>
      <c r="L900" s="54"/>
      <c r="M900" s="54"/>
      <c r="N900" s="54"/>
      <c r="O900" s="54"/>
      <c r="P900" s="54"/>
      <c r="Q900" s="54"/>
    </row>
    <row r="901" spans="7:17">
      <c r="G901" s="54"/>
      <c r="H901" s="54"/>
      <c r="I901" s="54"/>
      <c r="J901" s="54"/>
      <c r="K901" s="54"/>
      <c r="L901" s="54"/>
      <c r="M901" s="54"/>
      <c r="N901" s="54"/>
      <c r="O901" s="54"/>
      <c r="P901" s="54"/>
      <c r="Q901" s="54"/>
    </row>
    <row r="902" spans="7:17">
      <c r="G902" s="54"/>
      <c r="H902" s="54"/>
      <c r="I902" s="54"/>
      <c r="J902" s="54"/>
      <c r="K902" s="54"/>
      <c r="L902" s="54"/>
      <c r="M902" s="54"/>
      <c r="N902" s="54"/>
      <c r="O902" s="54"/>
      <c r="P902" s="54"/>
      <c r="Q902" s="54"/>
    </row>
    <row r="903" spans="7:17">
      <c r="G903" s="54"/>
      <c r="H903" s="54"/>
      <c r="I903" s="54"/>
      <c r="J903" s="54"/>
      <c r="K903" s="54"/>
      <c r="L903" s="54"/>
      <c r="M903" s="54"/>
      <c r="N903" s="54"/>
      <c r="O903" s="54"/>
      <c r="P903" s="54"/>
      <c r="Q903" s="54"/>
    </row>
    <row r="904" spans="7:17">
      <c r="G904" s="54"/>
      <c r="H904" s="54"/>
      <c r="I904" s="54"/>
      <c r="J904" s="54"/>
      <c r="K904" s="54"/>
      <c r="L904" s="54"/>
      <c r="M904" s="54"/>
      <c r="N904" s="54"/>
      <c r="O904" s="54"/>
      <c r="P904" s="54"/>
      <c r="Q904" s="54"/>
    </row>
    <row r="905" spans="7:17">
      <c r="G905" s="54"/>
      <c r="H905" s="54"/>
      <c r="I905" s="54"/>
      <c r="J905" s="54"/>
      <c r="K905" s="54"/>
      <c r="L905" s="54"/>
      <c r="M905" s="54"/>
      <c r="N905" s="54"/>
      <c r="O905" s="54"/>
      <c r="P905" s="54"/>
      <c r="Q905" s="54"/>
    </row>
    <row r="906" spans="7:17">
      <c r="G906" s="54"/>
      <c r="H906" s="54"/>
      <c r="I906" s="54"/>
      <c r="J906" s="54"/>
      <c r="K906" s="54"/>
      <c r="L906" s="54"/>
      <c r="M906" s="54"/>
      <c r="N906" s="54"/>
      <c r="O906" s="54"/>
      <c r="P906" s="54"/>
      <c r="Q906" s="54"/>
    </row>
    <row r="907" spans="7:17">
      <c r="G907" s="54"/>
      <c r="H907" s="54"/>
      <c r="I907" s="54"/>
      <c r="J907" s="54"/>
      <c r="K907" s="54"/>
      <c r="L907" s="54"/>
      <c r="M907" s="54"/>
      <c r="N907" s="54"/>
      <c r="O907" s="54"/>
      <c r="P907" s="54"/>
      <c r="Q907" s="54"/>
    </row>
    <row r="908" spans="7:17">
      <c r="G908" s="54"/>
      <c r="H908" s="54"/>
      <c r="I908" s="54"/>
      <c r="J908" s="54"/>
      <c r="K908" s="54"/>
      <c r="L908" s="54"/>
      <c r="M908" s="54"/>
      <c r="N908" s="54"/>
      <c r="O908" s="54"/>
      <c r="P908" s="54"/>
      <c r="Q908" s="54"/>
    </row>
    <row r="909" spans="7:17">
      <c r="G909" s="54"/>
      <c r="H909" s="54"/>
      <c r="I909" s="54"/>
      <c r="J909" s="54"/>
      <c r="K909" s="54"/>
      <c r="L909" s="54"/>
      <c r="M909" s="54"/>
      <c r="N909" s="54"/>
      <c r="O909" s="54"/>
      <c r="P909" s="54"/>
      <c r="Q909" s="54"/>
    </row>
    <row r="910" spans="7:17">
      <c r="G910" s="54"/>
      <c r="H910" s="54"/>
      <c r="I910" s="54"/>
      <c r="J910" s="54"/>
      <c r="K910" s="54"/>
      <c r="L910" s="54"/>
      <c r="M910" s="54"/>
      <c r="N910" s="54"/>
      <c r="O910" s="54"/>
      <c r="P910" s="54"/>
      <c r="Q910" s="54"/>
    </row>
    <row r="911" spans="7:17">
      <c r="G911" s="54"/>
      <c r="H911" s="54"/>
      <c r="I911" s="54"/>
      <c r="J911" s="54"/>
      <c r="K911" s="54"/>
      <c r="L911" s="54"/>
      <c r="M911" s="54"/>
      <c r="N911" s="54"/>
      <c r="O911" s="54"/>
      <c r="P911" s="54"/>
      <c r="Q911" s="54"/>
    </row>
    <row r="912" spans="7:17">
      <c r="G912" s="54"/>
      <c r="H912" s="54"/>
      <c r="I912" s="54"/>
      <c r="J912" s="54"/>
      <c r="K912" s="54"/>
      <c r="L912" s="54"/>
      <c r="M912" s="54"/>
      <c r="N912" s="54"/>
      <c r="O912" s="54"/>
      <c r="P912" s="54"/>
      <c r="Q912" s="54"/>
    </row>
    <row r="913" spans="7:17">
      <c r="G913" s="54"/>
      <c r="H913" s="54"/>
      <c r="I913" s="54"/>
      <c r="J913" s="54"/>
      <c r="K913" s="54"/>
      <c r="L913" s="54"/>
      <c r="M913" s="54"/>
      <c r="N913" s="54"/>
      <c r="O913" s="54"/>
      <c r="P913" s="54"/>
      <c r="Q913" s="54"/>
    </row>
    <row r="914" spans="7:17">
      <c r="G914" s="54"/>
      <c r="H914" s="54"/>
      <c r="I914" s="54"/>
      <c r="J914" s="54"/>
      <c r="K914" s="54"/>
      <c r="L914" s="54"/>
      <c r="M914" s="54"/>
      <c r="N914" s="54"/>
      <c r="O914" s="54"/>
      <c r="P914" s="54"/>
      <c r="Q914" s="54"/>
    </row>
    <row r="915" spans="7:17">
      <c r="G915" s="54"/>
      <c r="H915" s="54"/>
      <c r="I915" s="54"/>
      <c r="J915" s="54"/>
      <c r="K915" s="54"/>
      <c r="L915" s="54"/>
      <c r="M915" s="54"/>
      <c r="N915" s="54"/>
      <c r="O915" s="54"/>
      <c r="P915" s="54"/>
      <c r="Q915" s="54"/>
    </row>
    <row r="916" spans="7:17">
      <c r="G916" s="54"/>
      <c r="H916" s="54"/>
      <c r="I916" s="54"/>
      <c r="J916" s="54"/>
      <c r="K916" s="54"/>
      <c r="L916" s="54"/>
      <c r="M916" s="54"/>
      <c r="N916" s="54"/>
      <c r="O916" s="54"/>
      <c r="P916" s="54"/>
      <c r="Q916" s="54"/>
    </row>
    <row r="917" spans="7:17">
      <c r="G917" s="54"/>
      <c r="H917" s="54"/>
      <c r="I917" s="54"/>
      <c r="J917" s="54"/>
      <c r="K917" s="54"/>
      <c r="L917" s="54"/>
      <c r="M917" s="54"/>
      <c r="N917" s="54"/>
      <c r="O917" s="54"/>
      <c r="P917" s="54"/>
      <c r="Q917" s="54"/>
    </row>
    <row r="918" spans="7:17">
      <c r="G918" s="54"/>
      <c r="H918" s="54"/>
      <c r="I918" s="54"/>
      <c r="J918" s="54"/>
      <c r="K918" s="54"/>
      <c r="L918" s="54"/>
      <c r="M918" s="54"/>
      <c r="N918" s="54"/>
      <c r="O918" s="54"/>
      <c r="P918" s="54"/>
      <c r="Q918" s="54"/>
    </row>
    <row r="919" spans="7:17">
      <c r="G919" s="54"/>
      <c r="H919" s="54"/>
      <c r="I919" s="54"/>
      <c r="J919" s="54"/>
      <c r="K919" s="54"/>
      <c r="L919" s="54"/>
      <c r="M919" s="54"/>
      <c r="N919" s="54"/>
      <c r="O919" s="54"/>
      <c r="P919" s="54"/>
      <c r="Q919" s="54"/>
    </row>
    <row r="920" spans="7:17">
      <c r="G920" s="54"/>
      <c r="H920" s="54"/>
      <c r="I920" s="54"/>
      <c r="J920" s="54"/>
      <c r="K920" s="54"/>
      <c r="L920" s="54"/>
      <c r="M920" s="54"/>
      <c r="N920" s="54"/>
      <c r="O920" s="54"/>
      <c r="P920" s="54"/>
      <c r="Q920" s="54"/>
    </row>
    <row r="921" spans="7:17">
      <c r="G921" s="54"/>
      <c r="H921" s="54"/>
      <c r="I921" s="54"/>
      <c r="J921" s="54"/>
      <c r="K921" s="54"/>
      <c r="L921" s="54"/>
      <c r="M921" s="54"/>
      <c r="N921" s="54"/>
      <c r="O921" s="54"/>
      <c r="P921" s="54"/>
      <c r="Q921" s="54"/>
    </row>
    <row r="922" spans="7:17">
      <c r="G922" s="54"/>
      <c r="H922" s="54"/>
      <c r="I922" s="54"/>
      <c r="J922" s="54"/>
      <c r="K922" s="54"/>
      <c r="L922" s="54"/>
      <c r="M922" s="54"/>
      <c r="N922" s="54"/>
      <c r="O922" s="54"/>
      <c r="P922" s="54"/>
      <c r="Q922" s="54"/>
    </row>
    <row r="923" spans="7:17">
      <c r="G923" s="54"/>
      <c r="H923" s="54"/>
      <c r="I923" s="54"/>
      <c r="J923" s="54"/>
      <c r="K923" s="54"/>
      <c r="L923" s="54"/>
      <c r="M923" s="54"/>
      <c r="N923" s="54"/>
      <c r="O923" s="54"/>
      <c r="P923" s="54"/>
      <c r="Q923" s="54"/>
    </row>
    <row r="924" spans="7:17">
      <c r="G924" s="54"/>
      <c r="H924" s="54"/>
      <c r="I924" s="54"/>
      <c r="J924" s="54"/>
      <c r="K924" s="54"/>
      <c r="L924" s="54"/>
      <c r="M924" s="54"/>
      <c r="N924" s="54"/>
      <c r="O924" s="54"/>
      <c r="P924" s="54"/>
      <c r="Q924" s="54"/>
    </row>
    <row r="925" spans="7:17">
      <c r="G925" s="54"/>
      <c r="H925" s="54"/>
      <c r="I925" s="54"/>
      <c r="J925" s="54"/>
      <c r="K925" s="54"/>
      <c r="L925" s="54"/>
      <c r="M925" s="54"/>
      <c r="N925" s="54"/>
      <c r="O925" s="54"/>
      <c r="P925" s="54"/>
      <c r="Q925" s="54"/>
    </row>
    <row r="926" spans="7:17">
      <c r="G926" s="54"/>
      <c r="H926" s="54"/>
      <c r="I926" s="54"/>
      <c r="J926" s="54"/>
      <c r="K926" s="54"/>
      <c r="L926" s="54"/>
      <c r="M926" s="54"/>
      <c r="N926" s="54"/>
      <c r="O926" s="54"/>
      <c r="P926" s="54"/>
      <c r="Q926" s="54"/>
    </row>
    <row r="927" spans="7:17">
      <c r="G927" s="54"/>
      <c r="H927" s="54"/>
      <c r="I927" s="54"/>
      <c r="J927" s="54"/>
      <c r="K927" s="54"/>
      <c r="L927" s="54"/>
      <c r="M927" s="54"/>
      <c r="N927" s="54"/>
      <c r="O927" s="54"/>
      <c r="P927" s="54"/>
      <c r="Q927" s="54"/>
    </row>
    <row r="928" spans="7:17">
      <c r="G928" s="54"/>
      <c r="H928" s="54"/>
      <c r="I928" s="54"/>
      <c r="J928" s="54"/>
      <c r="K928" s="54"/>
      <c r="L928" s="54"/>
      <c r="M928" s="54"/>
      <c r="N928" s="54"/>
      <c r="O928" s="54"/>
      <c r="P928" s="54"/>
      <c r="Q928" s="54"/>
    </row>
    <row r="929" spans="7:17">
      <c r="G929" s="54"/>
      <c r="H929" s="54"/>
      <c r="I929" s="54"/>
      <c r="J929" s="54"/>
      <c r="K929" s="54"/>
      <c r="L929" s="54"/>
      <c r="M929" s="54"/>
      <c r="N929" s="54"/>
      <c r="O929" s="54"/>
      <c r="P929" s="54"/>
      <c r="Q929" s="54"/>
    </row>
    <row r="930" spans="7:17">
      <c r="G930" s="54"/>
      <c r="H930" s="54"/>
      <c r="I930" s="54"/>
      <c r="J930" s="54"/>
      <c r="K930" s="54"/>
      <c r="L930" s="54"/>
      <c r="M930" s="54"/>
      <c r="N930" s="54"/>
      <c r="O930" s="54"/>
      <c r="P930" s="54"/>
      <c r="Q930" s="54"/>
    </row>
    <row r="931" spans="7:17">
      <c r="G931" s="54"/>
      <c r="H931" s="54"/>
      <c r="I931" s="54"/>
      <c r="J931" s="54"/>
      <c r="K931" s="54"/>
      <c r="L931" s="54"/>
      <c r="M931" s="54"/>
      <c r="N931" s="54"/>
      <c r="O931" s="54"/>
      <c r="P931" s="54"/>
      <c r="Q931" s="54"/>
    </row>
    <row r="932" spans="7:17">
      <c r="G932" s="54"/>
      <c r="H932" s="54"/>
      <c r="I932" s="54"/>
      <c r="J932" s="54"/>
      <c r="K932" s="54"/>
      <c r="L932" s="54"/>
      <c r="M932" s="54"/>
      <c r="N932" s="54"/>
      <c r="O932" s="54"/>
      <c r="P932" s="54"/>
      <c r="Q932" s="54"/>
    </row>
    <row r="933" spans="7:17">
      <c r="G933" s="54"/>
      <c r="H933" s="54"/>
      <c r="I933" s="54"/>
      <c r="J933" s="54"/>
      <c r="K933" s="54"/>
      <c r="L933" s="54"/>
      <c r="M933" s="54"/>
      <c r="N933" s="54"/>
      <c r="O933" s="54"/>
      <c r="P933" s="54"/>
      <c r="Q933" s="54"/>
    </row>
    <row r="934" spans="7:17">
      <c r="G934" s="54"/>
      <c r="H934" s="54"/>
      <c r="I934" s="54"/>
      <c r="J934" s="54"/>
      <c r="K934" s="54"/>
      <c r="L934" s="54"/>
      <c r="M934" s="54"/>
      <c r="N934" s="54"/>
      <c r="O934" s="54"/>
      <c r="P934" s="54"/>
      <c r="Q934" s="54"/>
    </row>
    <row r="935" spans="7:17">
      <c r="G935" s="54"/>
      <c r="H935" s="54"/>
      <c r="I935" s="54"/>
      <c r="J935" s="54"/>
      <c r="K935" s="54"/>
      <c r="L935" s="54"/>
      <c r="M935" s="54"/>
      <c r="N935" s="54"/>
      <c r="O935" s="54"/>
      <c r="P935" s="54"/>
      <c r="Q935" s="54"/>
    </row>
    <row r="936" spans="7:17">
      <c r="G936" s="54"/>
      <c r="H936" s="54"/>
      <c r="I936" s="54"/>
      <c r="J936" s="54"/>
      <c r="K936" s="54"/>
      <c r="L936" s="54"/>
      <c r="M936" s="54"/>
      <c r="N936" s="54"/>
      <c r="O936" s="54"/>
      <c r="P936" s="54"/>
      <c r="Q936" s="54"/>
    </row>
    <row r="937" spans="7:17">
      <c r="G937" s="54"/>
      <c r="H937" s="54"/>
      <c r="I937" s="54"/>
      <c r="J937" s="54"/>
      <c r="K937" s="54"/>
      <c r="L937" s="54"/>
      <c r="M937" s="54"/>
      <c r="N937" s="54"/>
      <c r="O937" s="54"/>
      <c r="P937" s="54"/>
      <c r="Q937" s="54"/>
    </row>
    <row r="938" spans="7:17">
      <c r="G938" s="54"/>
      <c r="H938" s="54"/>
      <c r="I938" s="54"/>
      <c r="J938" s="54"/>
      <c r="K938" s="54"/>
      <c r="L938" s="54"/>
      <c r="M938" s="54"/>
      <c r="N938" s="54"/>
      <c r="O938" s="54"/>
      <c r="P938" s="54"/>
      <c r="Q938" s="54"/>
    </row>
    <row r="939" spans="7:17">
      <c r="G939" s="54"/>
      <c r="H939" s="54"/>
      <c r="I939" s="54"/>
      <c r="J939" s="54"/>
      <c r="K939" s="54"/>
      <c r="L939" s="54"/>
      <c r="M939" s="54"/>
      <c r="N939" s="54"/>
      <c r="O939" s="54"/>
      <c r="P939" s="54"/>
      <c r="Q939" s="54"/>
    </row>
    <row r="940" spans="7:17">
      <c r="G940" s="54"/>
      <c r="H940" s="54"/>
      <c r="I940" s="54"/>
      <c r="J940" s="54"/>
      <c r="K940" s="54"/>
      <c r="L940" s="54"/>
      <c r="M940" s="54"/>
      <c r="N940" s="54"/>
      <c r="O940" s="54"/>
      <c r="P940" s="54"/>
      <c r="Q940" s="54"/>
    </row>
    <row r="941" spans="7:17">
      <c r="G941" s="54"/>
      <c r="H941" s="54"/>
      <c r="I941" s="54"/>
      <c r="J941" s="54"/>
      <c r="K941" s="54"/>
      <c r="L941" s="54"/>
      <c r="M941" s="54"/>
      <c r="N941" s="54"/>
      <c r="O941" s="54"/>
      <c r="P941" s="54"/>
      <c r="Q941" s="54"/>
    </row>
    <row r="942" spans="7:17">
      <c r="G942" s="54"/>
      <c r="H942" s="54"/>
      <c r="I942" s="54"/>
      <c r="J942" s="54"/>
      <c r="K942" s="54"/>
      <c r="L942" s="54"/>
      <c r="M942" s="54"/>
      <c r="N942" s="54"/>
      <c r="O942" s="54"/>
      <c r="P942" s="54"/>
      <c r="Q942" s="54"/>
    </row>
    <row r="943" spans="7:17">
      <c r="G943" s="54"/>
      <c r="H943" s="54"/>
      <c r="I943" s="54"/>
      <c r="J943" s="54"/>
      <c r="K943" s="54"/>
      <c r="L943" s="54"/>
      <c r="M943" s="54"/>
      <c r="N943" s="54"/>
      <c r="O943" s="54"/>
      <c r="P943" s="54"/>
      <c r="Q943" s="54"/>
    </row>
    <row r="944" spans="7:17">
      <c r="G944" s="54"/>
      <c r="H944" s="54"/>
      <c r="I944" s="54"/>
      <c r="J944" s="54"/>
      <c r="K944" s="54"/>
      <c r="L944" s="54"/>
      <c r="M944" s="54"/>
      <c r="N944" s="54"/>
      <c r="O944" s="54"/>
      <c r="P944" s="54"/>
      <c r="Q944" s="54"/>
    </row>
    <row r="945" spans="7:17">
      <c r="G945" s="54"/>
      <c r="H945" s="54"/>
      <c r="I945" s="54"/>
      <c r="J945" s="54"/>
      <c r="K945" s="54"/>
      <c r="L945" s="54"/>
      <c r="M945" s="54"/>
      <c r="N945" s="54"/>
      <c r="O945" s="54"/>
      <c r="P945" s="54"/>
      <c r="Q945" s="54"/>
    </row>
    <row r="946" spans="7:17">
      <c r="G946" s="54"/>
      <c r="H946" s="54"/>
      <c r="I946" s="54"/>
      <c r="J946" s="54"/>
      <c r="K946" s="54"/>
      <c r="L946" s="54"/>
      <c r="M946" s="54"/>
      <c r="N946" s="54"/>
      <c r="O946" s="54"/>
      <c r="P946" s="54"/>
      <c r="Q946" s="54"/>
    </row>
    <row r="947" spans="7:17">
      <c r="G947" s="54"/>
      <c r="H947" s="54"/>
      <c r="I947" s="54"/>
      <c r="J947" s="54"/>
      <c r="K947" s="54"/>
      <c r="L947" s="54"/>
      <c r="M947" s="54"/>
      <c r="N947" s="54"/>
      <c r="O947" s="54"/>
      <c r="P947" s="54"/>
      <c r="Q947" s="54"/>
    </row>
    <row r="948" spans="7:17">
      <c r="G948" s="54"/>
      <c r="H948" s="54"/>
      <c r="I948" s="54"/>
      <c r="J948" s="54"/>
      <c r="K948" s="54"/>
      <c r="L948" s="54"/>
      <c r="M948" s="54"/>
      <c r="N948" s="54"/>
      <c r="O948" s="54"/>
      <c r="P948" s="54"/>
      <c r="Q948" s="54"/>
    </row>
    <row r="949" spans="7:17">
      <c r="G949" s="54"/>
      <c r="H949" s="54"/>
      <c r="I949" s="54"/>
      <c r="J949" s="54"/>
      <c r="K949" s="54"/>
      <c r="L949" s="54"/>
      <c r="M949" s="54"/>
      <c r="N949" s="54"/>
      <c r="O949" s="54"/>
      <c r="P949" s="54"/>
      <c r="Q949" s="54"/>
    </row>
    <row r="950" spans="7:17">
      <c r="G950" s="54"/>
      <c r="H950" s="54"/>
      <c r="I950" s="54"/>
      <c r="J950" s="54"/>
      <c r="K950" s="54"/>
      <c r="L950" s="54"/>
      <c r="M950" s="54"/>
      <c r="N950" s="54"/>
      <c r="O950" s="54"/>
      <c r="P950" s="54"/>
      <c r="Q950" s="54"/>
    </row>
    <row r="951" spans="7:17">
      <c r="G951" s="54"/>
      <c r="H951" s="54"/>
      <c r="I951" s="54"/>
      <c r="J951" s="54"/>
      <c r="K951" s="54"/>
      <c r="L951" s="54"/>
      <c r="M951" s="54"/>
      <c r="N951" s="54"/>
      <c r="O951" s="54"/>
      <c r="P951" s="54"/>
      <c r="Q951" s="54"/>
    </row>
    <row r="952" spans="7:17">
      <c r="G952" s="54"/>
      <c r="H952" s="54"/>
      <c r="I952" s="54"/>
      <c r="J952" s="54"/>
      <c r="K952" s="54"/>
      <c r="L952" s="54"/>
      <c r="M952" s="54"/>
      <c r="N952" s="54"/>
      <c r="O952" s="54"/>
      <c r="P952" s="54"/>
      <c r="Q952" s="54"/>
    </row>
    <row r="953" spans="7:17">
      <c r="G953" s="54"/>
      <c r="H953" s="54"/>
      <c r="I953" s="54"/>
      <c r="J953" s="54"/>
      <c r="K953" s="54"/>
      <c r="L953" s="54"/>
      <c r="M953" s="54"/>
      <c r="N953" s="54"/>
      <c r="O953" s="54"/>
      <c r="P953" s="54"/>
      <c r="Q953" s="54"/>
    </row>
    <row r="954" spans="7:17">
      <c r="G954" s="54"/>
      <c r="H954" s="54"/>
      <c r="I954" s="54"/>
      <c r="J954" s="54"/>
      <c r="K954" s="54"/>
      <c r="L954" s="54"/>
      <c r="M954" s="54"/>
      <c r="N954" s="54"/>
      <c r="O954" s="54"/>
      <c r="P954" s="54"/>
      <c r="Q954" s="54"/>
    </row>
    <row r="955" spans="7:17">
      <c r="G955" s="54"/>
      <c r="H955" s="54"/>
      <c r="I955" s="54"/>
      <c r="J955" s="54"/>
      <c r="K955" s="54"/>
      <c r="L955" s="54"/>
      <c r="M955" s="54"/>
      <c r="N955" s="54"/>
      <c r="O955" s="54"/>
      <c r="P955" s="54"/>
      <c r="Q955" s="54"/>
    </row>
    <row r="956" spans="7:17">
      <c r="G956" s="54"/>
      <c r="H956" s="54"/>
      <c r="I956" s="54"/>
      <c r="J956" s="54"/>
      <c r="K956" s="54"/>
      <c r="L956" s="54"/>
      <c r="M956" s="54"/>
      <c r="N956" s="54"/>
      <c r="O956" s="54"/>
      <c r="P956" s="54"/>
      <c r="Q956" s="54"/>
    </row>
    <row r="957" spans="7:17">
      <c r="G957" s="54"/>
      <c r="H957" s="54"/>
      <c r="I957" s="54"/>
      <c r="J957" s="54"/>
      <c r="K957" s="54"/>
      <c r="L957" s="54"/>
      <c r="M957" s="54"/>
      <c r="N957" s="54"/>
      <c r="O957" s="54"/>
      <c r="P957" s="54"/>
      <c r="Q957" s="54"/>
    </row>
    <row r="958" spans="7:17">
      <c r="G958" s="54"/>
      <c r="H958" s="54"/>
      <c r="I958" s="54"/>
      <c r="J958" s="54"/>
      <c r="K958" s="54"/>
      <c r="L958" s="54"/>
      <c r="M958" s="54"/>
      <c r="N958" s="54"/>
      <c r="O958" s="54"/>
      <c r="P958" s="54"/>
      <c r="Q958" s="54"/>
    </row>
    <row r="959" spans="7:17">
      <c r="G959" s="54"/>
      <c r="H959" s="54"/>
      <c r="I959" s="54"/>
      <c r="J959" s="54"/>
      <c r="K959" s="54"/>
      <c r="L959" s="54"/>
      <c r="M959" s="54"/>
      <c r="N959" s="54"/>
      <c r="O959" s="54"/>
      <c r="P959" s="54"/>
      <c r="Q959" s="54"/>
    </row>
    <row r="960" spans="7:17">
      <c r="G960" s="54"/>
      <c r="H960" s="54"/>
      <c r="I960" s="54"/>
      <c r="J960" s="54"/>
      <c r="K960" s="54"/>
      <c r="L960" s="54"/>
      <c r="M960" s="54"/>
      <c r="N960" s="54"/>
      <c r="O960" s="54"/>
      <c r="P960" s="54"/>
      <c r="Q960" s="54"/>
    </row>
    <row r="961" spans="7:17">
      <c r="G961" s="54"/>
      <c r="H961" s="54"/>
      <c r="I961" s="54"/>
      <c r="J961" s="54"/>
      <c r="K961" s="54"/>
      <c r="L961" s="54"/>
      <c r="M961" s="54"/>
      <c r="N961" s="54"/>
      <c r="O961" s="54"/>
      <c r="P961" s="54"/>
      <c r="Q961" s="54"/>
    </row>
    <row r="962" spans="7:17">
      <c r="G962" s="54"/>
      <c r="H962" s="54"/>
      <c r="I962" s="54"/>
      <c r="J962" s="54"/>
      <c r="K962" s="54"/>
      <c r="L962" s="54"/>
      <c r="M962" s="54"/>
      <c r="N962" s="54"/>
      <c r="O962" s="54"/>
      <c r="P962" s="54"/>
      <c r="Q962" s="54"/>
    </row>
    <row r="963" spans="7:17">
      <c r="G963" s="54"/>
      <c r="H963" s="54"/>
      <c r="I963" s="54"/>
      <c r="J963" s="54"/>
      <c r="K963" s="54"/>
      <c r="L963" s="54"/>
      <c r="M963" s="54"/>
      <c r="N963" s="54"/>
      <c r="O963" s="54"/>
      <c r="P963" s="54"/>
      <c r="Q963" s="54"/>
    </row>
    <row r="964" spans="7:17">
      <c r="G964" s="54"/>
      <c r="H964" s="54"/>
      <c r="I964" s="54"/>
      <c r="J964" s="54"/>
      <c r="K964" s="54"/>
      <c r="L964" s="54"/>
      <c r="M964" s="54"/>
      <c r="N964" s="54"/>
      <c r="O964" s="54"/>
      <c r="P964" s="54"/>
      <c r="Q964" s="54"/>
    </row>
    <row r="965" spans="7:17">
      <c r="G965" s="54"/>
      <c r="H965" s="54"/>
      <c r="I965" s="54"/>
      <c r="J965" s="54"/>
      <c r="K965" s="54"/>
      <c r="L965" s="54"/>
      <c r="M965" s="54"/>
      <c r="N965" s="54"/>
      <c r="O965" s="54"/>
      <c r="P965" s="54"/>
      <c r="Q965" s="54"/>
    </row>
    <row r="966" spans="7:17">
      <c r="G966" s="54"/>
      <c r="H966" s="54"/>
      <c r="I966" s="54"/>
      <c r="J966" s="54"/>
      <c r="K966" s="54"/>
      <c r="L966" s="54"/>
      <c r="M966" s="54"/>
      <c r="N966" s="54"/>
      <c r="O966" s="54"/>
      <c r="P966" s="54"/>
      <c r="Q966" s="54"/>
    </row>
    <row r="967" spans="7:17">
      <c r="G967" s="54"/>
      <c r="H967" s="54"/>
      <c r="I967" s="54"/>
      <c r="J967" s="54"/>
      <c r="K967" s="54"/>
      <c r="L967" s="54"/>
      <c r="M967" s="54"/>
      <c r="N967" s="54"/>
      <c r="O967" s="54"/>
      <c r="P967" s="54"/>
      <c r="Q967" s="54"/>
    </row>
    <row r="968" spans="7:17">
      <c r="G968" s="54"/>
      <c r="H968" s="54"/>
      <c r="I968" s="54"/>
      <c r="J968" s="54"/>
      <c r="K968" s="54"/>
      <c r="L968" s="54"/>
      <c r="M968" s="54"/>
      <c r="N968" s="54"/>
      <c r="O968" s="54"/>
      <c r="P968" s="54"/>
      <c r="Q968" s="54"/>
    </row>
    <row r="969" spans="7:17">
      <c r="G969" s="54"/>
      <c r="H969" s="54"/>
      <c r="I969" s="54"/>
      <c r="J969" s="54"/>
      <c r="K969" s="54"/>
      <c r="L969" s="54"/>
      <c r="M969" s="54"/>
      <c r="N969" s="54"/>
      <c r="O969" s="54"/>
      <c r="P969" s="54"/>
      <c r="Q969" s="54"/>
    </row>
    <row r="970" spans="7:17">
      <c r="G970" s="54"/>
      <c r="H970" s="54"/>
      <c r="I970" s="54"/>
      <c r="J970" s="54"/>
      <c r="K970" s="54"/>
      <c r="L970" s="54"/>
      <c r="M970" s="54"/>
      <c r="N970" s="54"/>
      <c r="O970" s="54"/>
      <c r="P970" s="54"/>
      <c r="Q970" s="54"/>
    </row>
    <row r="971" spans="7:17">
      <c r="G971" s="54"/>
      <c r="H971" s="54"/>
      <c r="I971" s="54"/>
      <c r="J971" s="54"/>
      <c r="K971" s="54"/>
      <c r="L971" s="54"/>
      <c r="M971" s="54"/>
      <c r="N971" s="54"/>
      <c r="O971" s="54"/>
      <c r="P971" s="54"/>
      <c r="Q971" s="54"/>
    </row>
    <row r="972" spans="7:17">
      <c r="G972" s="54"/>
      <c r="H972" s="54"/>
      <c r="I972" s="54"/>
      <c r="J972" s="54"/>
      <c r="K972" s="54"/>
      <c r="L972" s="54"/>
      <c r="M972" s="54"/>
      <c r="N972" s="54"/>
      <c r="O972" s="54"/>
      <c r="P972" s="54"/>
      <c r="Q972" s="54"/>
    </row>
    <row r="973" spans="7:17">
      <c r="G973" s="54"/>
      <c r="H973" s="54"/>
      <c r="I973" s="54"/>
      <c r="J973" s="54"/>
      <c r="K973" s="54"/>
      <c r="L973" s="54"/>
      <c r="M973" s="54"/>
      <c r="N973" s="54"/>
      <c r="O973" s="54"/>
      <c r="P973" s="54"/>
      <c r="Q973" s="54"/>
    </row>
    <row r="974" spans="7:17">
      <c r="G974" s="54"/>
      <c r="H974" s="54"/>
      <c r="I974" s="54"/>
      <c r="J974" s="54"/>
      <c r="K974" s="54"/>
      <c r="L974" s="54"/>
      <c r="M974" s="54"/>
      <c r="N974" s="54"/>
      <c r="O974" s="54"/>
      <c r="P974" s="54"/>
      <c r="Q974" s="54"/>
    </row>
    <row r="975" spans="7:17">
      <c r="G975" s="54"/>
      <c r="H975" s="54"/>
      <c r="I975" s="54"/>
      <c r="J975" s="54"/>
      <c r="K975" s="54"/>
      <c r="L975" s="54"/>
      <c r="M975" s="54"/>
      <c r="N975" s="54"/>
      <c r="O975" s="54"/>
      <c r="P975" s="54"/>
      <c r="Q975" s="54"/>
    </row>
    <row r="976" spans="7:17">
      <c r="G976" s="54"/>
      <c r="H976" s="54"/>
      <c r="I976" s="54"/>
      <c r="J976" s="54"/>
      <c r="K976" s="54"/>
      <c r="L976" s="54"/>
      <c r="M976" s="54"/>
      <c r="N976" s="54"/>
      <c r="O976" s="54"/>
      <c r="P976" s="54"/>
      <c r="Q976" s="54"/>
    </row>
    <row r="977" spans="7:17">
      <c r="G977" s="54"/>
      <c r="H977" s="54"/>
      <c r="I977" s="54"/>
      <c r="J977" s="54"/>
      <c r="K977" s="54"/>
      <c r="L977" s="54"/>
      <c r="M977" s="54"/>
      <c r="N977" s="54"/>
      <c r="O977" s="54"/>
      <c r="P977" s="54"/>
      <c r="Q977" s="54"/>
    </row>
    <row r="978" spans="7:17">
      <c r="G978" s="54"/>
      <c r="H978" s="54"/>
      <c r="I978" s="54"/>
      <c r="J978" s="54"/>
      <c r="K978" s="54"/>
      <c r="L978" s="54"/>
      <c r="M978" s="54"/>
      <c r="N978" s="54"/>
      <c r="O978" s="54"/>
      <c r="P978" s="54"/>
      <c r="Q978" s="54"/>
    </row>
    <row r="979" spans="7:17">
      <c r="G979" s="54"/>
      <c r="H979" s="54"/>
      <c r="I979" s="54"/>
      <c r="J979" s="54"/>
      <c r="K979" s="54"/>
      <c r="L979" s="54"/>
      <c r="M979" s="54"/>
      <c r="N979" s="54"/>
      <c r="O979" s="54"/>
      <c r="P979" s="54"/>
      <c r="Q979" s="54"/>
    </row>
    <row r="980" spans="7:17">
      <c r="G980" s="54"/>
      <c r="H980" s="54"/>
      <c r="I980" s="54"/>
      <c r="J980" s="54"/>
      <c r="K980" s="54"/>
      <c r="L980" s="54"/>
      <c r="M980" s="54"/>
      <c r="N980" s="54"/>
      <c r="O980" s="54"/>
      <c r="P980" s="54"/>
      <c r="Q980" s="54"/>
    </row>
    <row r="981" spans="7:17">
      <c r="G981" s="54"/>
      <c r="H981" s="54"/>
      <c r="I981" s="54"/>
      <c r="J981" s="54"/>
      <c r="K981" s="54"/>
      <c r="L981" s="54"/>
      <c r="M981" s="54"/>
      <c r="N981" s="54"/>
      <c r="O981" s="54"/>
      <c r="P981" s="54"/>
      <c r="Q981" s="54"/>
    </row>
    <row r="982" spans="7:17">
      <c r="G982" s="54"/>
      <c r="H982" s="54"/>
      <c r="I982" s="54"/>
      <c r="J982" s="54"/>
      <c r="K982" s="54"/>
      <c r="L982" s="54"/>
      <c r="M982" s="54"/>
      <c r="N982" s="54"/>
      <c r="O982" s="54"/>
      <c r="P982" s="54"/>
      <c r="Q982" s="54"/>
    </row>
    <row r="983" spans="7:17">
      <c r="G983" s="54"/>
      <c r="H983" s="54"/>
      <c r="I983" s="54"/>
      <c r="J983" s="54"/>
      <c r="K983" s="54"/>
      <c r="L983" s="54"/>
      <c r="M983" s="54"/>
      <c r="N983" s="54"/>
      <c r="O983" s="54"/>
      <c r="P983" s="54"/>
      <c r="Q983" s="54"/>
    </row>
    <row r="984" spans="7:17">
      <c r="G984" s="54"/>
      <c r="H984" s="54"/>
      <c r="I984" s="54"/>
      <c r="J984" s="54"/>
      <c r="K984" s="54"/>
      <c r="L984" s="54"/>
      <c r="M984" s="54"/>
      <c r="N984" s="54"/>
      <c r="O984" s="54"/>
      <c r="P984" s="54"/>
      <c r="Q984" s="54"/>
    </row>
    <row r="985" spans="7:17">
      <c r="G985" s="54"/>
      <c r="H985" s="54"/>
      <c r="I985" s="54"/>
      <c r="J985" s="54"/>
      <c r="K985" s="54"/>
      <c r="L985" s="54"/>
      <c r="M985" s="54"/>
      <c r="N985" s="54"/>
      <c r="O985" s="54"/>
      <c r="P985" s="54"/>
      <c r="Q985" s="54"/>
    </row>
    <row r="986" spans="7:17">
      <c r="G986" s="54"/>
      <c r="H986" s="54"/>
      <c r="I986" s="54"/>
      <c r="J986" s="54"/>
      <c r="K986" s="54"/>
      <c r="L986" s="54"/>
      <c r="M986" s="54"/>
      <c r="N986" s="54"/>
      <c r="O986" s="54"/>
      <c r="P986" s="54"/>
      <c r="Q986" s="54"/>
    </row>
    <row r="987" spans="7:17">
      <c r="G987" s="54"/>
      <c r="H987" s="54"/>
      <c r="I987" s="54"/>
      <c r="J987" s="54"/>
      <c r="K987" s="54"/>
      <c r="L987" s="54"/>
      <c r="M987" s="54"/>
      <c r="N987" s="54"/>
      <c r="O987" s="54"/>
      <c r="P987" s="54"/>
      <c r="Q987" s="54"/>
    </row>
    <row r="988" spans="7:17">
      <c r="G988" s="54"/>
      <c r="H988" s="54"/>
      <c r="I988" s="54"/>
      <c r="J988" s="54"/>
      <c r="K988" s="54"/>
      <c r="L988" s="54"/>
      <c r="M988" s="54"/>
      <c r="N988" s="54"/>
      <c r="O988" s="54"/>
      <c r="P988" s="54"/>
      <c r="Q988" s="54"/>
    </row>
    <row r="989" spans="7:17">
      <c r="G989" s="54"/>
      <c r="H989" s="54"/>
      <c r="I989" s="54"/>
      <c r="J989" s="54"/>
      <c r="K989" s="54"/>
      <c r="L989" s="54"/>
      <c r="M989" s="54"/>
      <c r="N989" s="54"/>
      <c r="O989" s="54"/>
      <c r="P989" s="54"/>
      <c r="Q989" s="54"/>
    </row>
    <row r="990" spans="7:17">
      <c r="G990" s="54"/>
      <c r="H990" s="54"/>
      <c r="I990" s="54"/>
      <c r="J990" s="54"/>
      <c r="K990" s="54"/>
      <c r="L990" s="54"/>
      <c r="M990" s="54"/>
      <c r="N990" s="54"/>
      <c r="O990" s="54"/>
      <c r="P990" s="54"/>
      <c r="Q990" s="54"/>
    </row>
    <row r="991" spans="7:17">
      <c r="G991" s="54"/>
      <c r="H991" s="54"/>
      <c r="I991" s="54"/>
      <c r="J991" s="54"/>
      <c r="K991" s="54"/>
      <c r="L991" s="54"/>
      <c r="M991" s="54"/>
      <c r="N991" s="54"/>
      <c r="O991" s="54"/>
      <c r="P991" s="54"/>
      <c r="Q991" s="54"/>
    </row>
    <row r="992" spans="7:17">
      <c r="G992" s="54"/>
      <c r="H992" s="54"/>
      <c r="I992" s="54"/>
      <c r="J992" s="54"/>
      <c r="K992" s="54"/>
      <c r="L992" s="54"/>
      <c r="M992" s="54"/>
      <c r="N992" s="54"/>
      <c r="O992" s="54"/>
      <c r="P992" s="54"/>
      <c r="Q992" s="54"/>
    </row>
    <row r="993" spans="7:17">
      <c r="G993" s="54"/>
      <c r="H993" s="54"/>
      <c r="I993" s="54"/>
      <c r="J993" s="54"/>
      <c r="K993" s="54"/>
      <c r="L993" s="54"/>
      <c r="M993" s="54"/>
      <c r="N993" s="54"/>
      <c r="O993" s="54"/>
      <c r="P993" s="54"/>
      <c r="Q993" s="54"/>
    </row>
    <row r="994" spans="7:17">
      <c r="G994" s="54"/>
      <c r="H994" s="54"/>
      <c r="I994" s="54"/>
      <c r="J994" s="54"/>
      <c r="K994" s="54"/>
      <c r="L994" s="54"/>
      <c r="M994" s="54"/>
      <c r="N994" s="54"/>
      <c r="O994" s="54"/>
      <c r="P994" s="54"/>
      <c r="Q994" s="54"/>
    </row>
    <row r="995" spans="7:17">
      <c r="G995" s="54"/>
      <c r="H995" s="54"/>
      <c r="I995" s="54"/>
      <c r="J995" s="54"/>
      <c r="K995" s="54"/>
      <c r="L995" s="54"/>
      <c r="M995" s="54"/>
      <c r="N995" s="54"/>
      <c r="O995" s="54"/>
      <c r="P995" s="54"/>
      <c r="Q995" s="54"/>
    </row>
    <row r="996" spans="7:17">
      <c r="G996" s="54"/>
      <c r="H996" s="54"/>
      <c r="I996" s="54"/>
      <c r="J996" s="54"/>
      <c r="K996" s="54"/>
      <c r="L996" s="54"/>
      <c r="M996" s="54"/>
      <c r="N996" s="54"/>
      <c r="O996" s="54"/>
      <c r="P996" s="54"/>
      <c r="Q996" s="54"/>
    </row>
    <row r="997" spans="7:17">
      <c r="G997" s="54"/>
      <c r="H997" s="54"/>
      <c r="I997" s="54"/>
      <c r="J997" s="54"/>
      <c r="K997" s="54"/>
      <c r="L997" s="54"/>
      <c r="M997" s="54"/>
      <c r="N997" s="54"/>
      <c r="O997" s="54"/>
      <c r="P997" s="54"/>
      <c r="Q997" s="54"/>
    </row>
    <row r="998" spans="7:17">
      <c r="G998" s="54"/>
      <c r="H998" s="54"/>
      <c r="I998" s="54"/>
      <c r="J998" s="54"/>
      <c r="K998" s="54"/>
      <c r="L998" s="54"/>
      <c r="M998" s="54"/>
      <c r="N998" s="54"/>
      <c r="O998" s="54"/>
      <c r="P998" s="54"/>
      <c r="Q998" s="54"/>
    </row>
    <row r="999" spans="7:17">
      <c r="G999" s="54"/>
      <c r="H999" s="54"/>
      <c r="I999" s="54"/>
      <c r="J999" s="54"/>
      <c r="K999" s="54"/>
      <c r="L999" s="54"/>
      <c r="M999" s="54"/>
      <c r="N999" s="54"/>
      <c r="O999" s="54"/>
      <c r="P999" s="54"/>
      <c r="Q999" s="54"/>
    </row>
    <row r="1000" spans="7:17">
      <c r="G1000" s="54"/>
      <c r="H1000" s="54"/>
      <c r="I1000" s="54"/>
      <c r="J1000" s="54"/>
      <c r="K1000" s="54"/>
      <c r="L1000" s="54"/>
      <c r="M1000" s="54"/>
      <c r="N1000" s="54"/>
      <c r="O1000" s="54"/>
      <c r="P1000" s="54"/>
      <c r="Q1000" s="54"/>
    </row>
    <row r="1001" spans="7:17">
      <c r="G1001" s="54"/>
      <c r="H1001" s="54"/>
      <c r="I1001" s="54"/>
      <c r="J1001" s="54"/>
      <c r="K1001" s="54"/>
      <c r="L1001" s="54"/>
      <c r="M1001" s="54"/>
      <c r="N1001" s="54"/>
      <c r="O1001" s="54"/>
      <c r="P1001" s="54"/>
      <c r="Q1001" s="54"/>
    </row>
    <row r="1002" spans="7:17">
      <c r="G1002" s="54"/>
      <c r="H1002" s="54"/>
      <c r="I1002" s="54"/>
      <c r="J1002" s="54"/>
      <c r="K1002" s="54"/>
      <c r="L1002" s="54"/>
      <c r="M1002" s="54"/>
      <c r="N1002" s="54"/>
      <c r="O1002" s="54"/>
      <c r="P1002" s="54"/>
      <c r="Q1002" s="54"/>
    </row>
    <row r="1003" spans="7:17">
      <c r="G1003" s="54"/>
      <c r="H1003" s="54"/>
      <c r="I1003" s="54"/>
      <c r="J1003" s="54"/>
      <c r="K1003" s="54"/>
      <c r="L1003" s="54"/>
      <c r="M1003" s="54"/>
      <c r="N1003" s="54"/>
      <c r="O1003" s="54"/>
      <c r="P1003" s="54"/>
      <c r="Q1003" s="54"/>
    </row>
    <row r="1004" spans="7:17">
      <c r="G1004" s="54"/>
      <c r="H1004" s="54"/>
      <c r="I1004" s="54"/>
      <c r="J1004" s="54"/>
      <c r="K1004" s="54"/>
      <c r="L1004" s="54"/>
      <c r="M1004" s="54"/>
      <c r="N1004" s="54"/>
      <c r="O1004" s="54"/>
      <c r="P1004" s="54"/>
      <c r="Q1004" s="54"/>
    </row>
    <row r="1005" spans="7:17">
      <c r="G1005" s="54"/>
      <c r="H1005" s="54"/>
      <c r="I1005" s="54"/>
      <c r="J1005" s="54"/>
      <c r="K1005" s="54"/>
      <c r="L1005" s="54"/>
      <c r="M1005" s="54"/>
      <c r="N1005" s="54"/>
      <c r="O1005" s="54"/>
      <c r="P1005" s="54"/>
      <c r="Q1005" s="54"/>
    </row>
    <row r="1006" spans="7:17">
      <c r="G1006" s="54"/>
      <c r="H1006" s="54"/>
      <c r="I1006" s="54"/>
      <c r="J1006" s="54"/>
      <c r="K1006" s="54"/>
      <c r="L1006" s="54"/>
      <c r="M1006" s="54"/>
      <c r="N1006" s="54"/>
      <c r="O1006" s="54"/>
      <c r="P1006" s="54"/>
      <c r="Q1006" s="54"/>
    </row>
    <row r="1007" spans="7:17">
      <c r="G1007" s="54"/>
      <c r="H1007" s="54"/>
      <c r="I1007" s="54"/>
      <c r="J1007" s="54"/>
      <c r="K1007" s="54"/>
      <c r="L1007" s="54"/>
      <c r="M1007" s="54"/>
      <c r="N1007" s="54"/>
      <c r="O1007" s="54"/>
      <c r="P1007" s="54"/>
      <c r="Q1007" s="54"/>
    </row>
    <row r="1008" spans="7:17">
      <c r="G1008" s="54"/>
      <c r="H1008" s="54"/>
      <c r="I1008" s="54"/>
      <c r="J1008" s="54"/>
      <c r="K1008" s="54"/>
      <c r="L1008" s="54"/>
      <c r="M1008" s="54"/>
      <c r="N1008" s="54"/>
      <c r="O1008" s="54"/>
      <c r="P1008" s="54"/>
      <c r="Q1008" s="54"/>
    </row>
    <row r="1009" spans="7:17">
      <c r="G1009" s="54"/>
      <c r="H1009" s="54"/>
      <c r="I1009" s="54"/>
      <c r="J1009" s="54"/>
      <c r="K1009" s="54"/>
      <c r="L1009" s="54"/>
      <c r="M1009" s="54"/>
      <c r="N1009" s="54"/>
      <c r="O1009" s="54"/>
      <c r="P1009" s="54"/>
      <c r="Q1009" s="54"/>
    </row>
    <row r="1010" spans="7:17">
      <c r="G1010" s="54"/>
      <c r="H1010" s="54"/>
      <c r="I1010" s="54"/>
      <c r="J1010" s="54"/>
      <c r="K1010" s="54"/>
      <c r="L1010" s="54"/>
      <c r="M1010" s="54"/>
      <c r="N1010" s="54"/>
      <c r="O1010" s="54"/>
      <c r="P1010" s="54"/>
      <c r="Q1010" s="54"/>
    </row>
    <row r="1011" spans="7:17">
      <c r="G1011" s="54"/>
      <c r="H1011" s="54"/>
      <c r="I1011" s="54"/>
      <c r="J1011" s="54"/>
      <c r="K1011" s="54"/>
      <c r="L1011" s="54"/>
      <c r="M1011" s="54"/>
      <c r="N1011" s="54"/>
      <c r="O1011" s="54"/>
      <c r="P1011" s="54"/>
      <c r="Q1011" s="54"/>
    </row>
    <row r="1012" spans="7:17">
      <c r="G1012" s="54"/>
      <c r="H1012" s="54"/>
      <c r="I1012" s="54"/>
      <c r="J1012" s="54"/>
      <c r="K1012" s="54"/>
      <c r="L1012" s="54"/>
      <c r="M1012" s="54"/>
      <c r="N1012" s="54"/>
      <c r="O1012" s="54"/>
      <c r="P1012" s="54"/>
      <c r="Q1012" s="54"/>
    </row>
    <row r="1013" spans="7:17">
      <c r="G1013" s="54"/>
      <c r="H1013" s="54"/>
      <c r="I1013" s="54"/>
      <c r="J1013" s="54"/>
      <c r="K1013" s="54"/>
      <c r="L1013" s="54"/>
      <c r="M1013" s="54"/>
      <c r="N1013" s="54"/>
      <c r="O1013" s="54"/>
      <c r="P1013" s="54"/>
      <c r="Q1013" s="54"/>
    </row>
    <row r="1014" spans="7:17">
      <c r="G1014" s="54"/>
      <c r="H1014" s="54"/>
      <c r="I1014" s="54"/>
      <c r="J1014" s="54"/>
      <c r="K1014" s="54"/>
      <c r="L1014" s="54"/>
      <c r="M1014" s="54"/>
      <c r="N1014" s="54"/>
      <c r="O1014" s="54"/>
      <c r="P1014" s="54"/>
      <c r="Q1014" s="54"/>
    </row>
    <row r="1015" spans="7:17">
      <c r="G1015" s="54"/>
      <c r="H1015" s="54"/>
      <c r="I1015" s="54"/>
      <c r="J1015" s="54"/>
      <c r="K1015" s="54"/>
      <c r="L1015" s="54"/>
      <c r="M1015" s="54"/>
      <c r="N1015" s="54"/>
      <c r="O1015" s="54"/>
      <c r="P1015" s="54"/>
      <c r="Q1015" s="54"/>
    </row>
    <row r="1016" spans="7:17">
      <c r="G1016" s="54"/>
      <c r="H1016" s="54"/>
      <c r="I1016" s="54"/>
      <c r="J1016" s="54"/>
      <c r="K1016" s="54"/>
      <c r="L1016" s="54"/>
      <c r="M1016" s="54"/>
      <c r="N1016" s="54"/>
      <c r="O1016" s="54"/>
      <c r="P1016" s="54"/>
      <c r="Q1016" s="54"/>
    </row>
    <row r="1017" spans="7:17">
      <c r="G1017" s="54"/>
      <c r="H1017" s="54"/>
      <c r="I1017" s="54"/>
      <c r="J1017" s="54"/>
      <c r="K1017" s="54"/>
      <c r="L1017" s="54"/>
      <c r="M1017" s="54"/>
      <c r="N1017" s="54"/>
      <c r="O1017" s="54"/>
      <c r="P1017" s="54"/>
      <c r="Q1017" s="54"/>
    </row>
    <row r="1018" spans="7:17">
      <c r="G1018" s="54"/>
      <c r="H1018" s="54"/>
      <c r="I1018" s="54"/>
      <c r="J1018" s="54"/>
      <c r="K1018" s="54"/>
      <c r="L1018" s="54"/>
      <c r="M1018" s="54"/>
      <c r="N1018" s="54"/>
      <c r="O1018" s="54"/>
      <c r="P1018" s="54"/>
      <c r="Q1018" s="54"/>
    </row>
    <row r="1019" spans="7:17">
      <c r="G1019" s="54"/>
      <c r="H1019" s="54"/>
      <c r="I1019" s="54"/>
      <c r="J1019" s="54"/>
      <c r="K1019" s="54"/>
      <c r="L1019" s="54"/>
      <c r="M1019" s="54"/>
      <c r="N1019" s="54"/>
      <c r="O1019" s="54"/>
      <c r="P1019" s="54"/>
      <c r="Q1019" s="54"/>
    </row>
    <row r="1020" spans="7:17">
      <c r="G1020" s="54"/>
      <c r="H1020" s="54"/>
      <c r="I1020" s="54"/>
      <c r="J1020" s="54"/>
      <c r="K1020" s="54"/>
      <c r="L1020" s="54"/>
      <c r="M1020" s="54"/>
      <c r="N1020" s="54"/>
      <c r="O1020" s="54"/>
      <c r="P1020" s="54"/>
      <c r="Q1020" s="54"/>
    </row>
    <row r="1021" spans="7:17">
      <c r="G1021" s="54"/>
      <c r="H1021" s="54"/>
      <c r="I1021" s="54"/>
      <c r="J1021" s="54"/>
      <c r="K1021" s="54"/>
      <c r="L1021" s="54"/>
      <c r="M1021" s="54"/>
      <c r="N1021" s="54"/>
      <c r="O1021" s="54"/>
      <c r="P1021" s="54"/>
      <c r="Q1021" s="54"/>
    </row>
    <row r="1022" spans="7:17">
      <c r="G1022" s="54"/>
      <c r="H1022" s="54"/>
      <c r="I1022" s="54"/>
      <c r="J1022" s="54"/>
      <c r="K1022" s="54"/>
      <c r="L1022" s="54"/>
      <c r="M1022" s="54"/>
      <c r="N1022" s="54"/>
      <c r="O1022" s="54"/>
      <c r="P1022" s="54"/>
      <c r="Q1022" s="54"/>
    </row>
    <row r="1023" spans="7:17">
      <c r="G1023" s="54"/>
      <c r="H1023" s="54"/>
      <c r="I1023" s="54"/>
      <c r="J1023" s="54"/>
      <c r="K1023" s="54"/>
      <c r="L1023" s="54"/>
      <c r="M1023" s="54"/>
      <c r="N1023" s="54"/>
      <c r="O1023" s="54"/>
      <c r="P1023" s="54"/>
      <c r="Q1023" s="54"/>
    </row>
    <row r="1024" spans="7:17">
      <c r="G1024" s="54"/>
      <c r="H1024" s="54"/>
      <c r="I1024" s="54"/>
      <c r="J1024" s="54"/>
      <c r="K1024" s="54"/>
      <c r="L1024" s="54"/>
      <c r="M1024" s="54"/>
      <c r="N1024" s="54"/>
      <c r="O1024" s="54"/>
      <c r="P1024" s="54"/>
      <c r="Q1024" s="54"/>
    </row>
    <row r="1025" spans="7:17">
      <c r="G1025" s="54"/>
      <c r="H1025" s="54"/>
      <c r="I1025" s="54"/>
      <c r="J1025" s="54"/>
      <c r="K1025" s="54"/>
      <c r="L1025" s="54"/>
      <c r="M1025" s="54"/>
      <c r="N1025" s="54"/>
      <c r="O1025" s="54"/>
      <c r="P1025" s="54"/>
      <c r="Q1025" s="54"/>
    </row>
    <row r="1026" spans="7:17">
      <c r="G1026" s="54"/>
      <c r="H1026" s="54"/>
      <c r="I1026" s="54"/>
      <c r="J1026" s="54"/>
      <c r="K1026" s="54"/>
      <c r="L1026" s="54"/>
      <c r="M1026" s="54"/>
      <c r="N1026" s="54"/>
      <c r="O1026" s="54"/>
      <c r="P1026" s="54"/>
      <c r="Q1026" s="54"/>
    </row>
    <row r="1027" spans="7:17">
      <c r="G1027" s="54"/>
      <c r="H1027" s="54"/>
      <c r="I1027" s="54"/>
      <c r="J1027" s="54"/>
      <c r="K1027" s="54"/>
      <c r="L1027" s="54"/>
      <c r="M1027" s="54"/>
      <c r="N1027" s="54"/>
      <c r="O1027" s="54"/>
      <c r="P1027" s="54"/>
      <c r="Q1027" s="54"/>
    </row>
    <row r="1028" spans="7:17">
      <c r="G1028" s="54"/>
      <c r="H1028" s="54"/>
      <c r="I1028" s="54"/>
      <c r="J1028" s="54"/>
      <c r="K1028" s="54"/>
      <c r="L1028" s="54"/>
      <c r="M1028" s="54"/>
      <c r="N1028" s="54"/>
      <c r="O1028" s="54"/>
      <c r="P1028" s="54"/>
      <c r="Q1028" s="54"/>
    </row>
    <row r="1029" spans="7:17">
      <c r="G1029" s="54"/>
      <c r="H1029" s="54"/>
      <c r="I1029" s="54"/>
      <c r="J1029" s="54"/>
      <c r="K1029" s="54"/>
      <c r="L1029" s="54"/>
      <c r="M1029" s="54"/>
      <c r="N1029" s="54"/>
      <c r="O1029" s="54"/>
      <c r="P1029" s="54"/>
      <c r="Q1029" s="54"/>
    </row>
    <row r="1030" spans="7:17">
      <c r="G1030" s="54"/>
      <c r="H1030" s="54"/>
      <c r="I1030" s="54"/>
      <c r="J1030" s="54"/>
      <c r="K1030" s="54"/>
      <c r="L1030" s="54"/>
      <c r="M1030" s="54"/>
      <c r="N1030" s="54"/>
      <c r="O1030" s="54"/>
      <c r="P1030" s="54"/>
      <c r="Q1030" s="54"/>
    </row>
    <row r="1031" spans="7:17">
      <c r="G1031" s="54"/>
      <c r="H1031" s="54"/>
      <c r="I1031" s="54"/>
      <c r="J1031" s="54"/>
      <c r="K1031" s="54"/>
      <c r="L1031" s="54"/>
      <c r="M1031" s="54"/>
      <c r="N1031" s="54"/>
      <c r="O1031" s="54"/>
      <c r="P1031" s="54"/>
      <c r="Q1031" s="54"/>
    </row>
    <row r="1032" spans="7:17">
      <c r="G1032" s="54"/>
      <c r="H1032" s="54"/>
      <c r="I1032" s="54"/>
      <c r="J1032" s="54"/>
      <c r="K1032" s="54"/>
      <c r="L1032" s="54"/>
      <c r="M1032" s="54"/>
      <c r="N1032" s="54"/>
      <c r="O1032" s="54"/>
      <c r="P1032" s="54"/>
      <c r="Q1032" s="54"/>
    </row>
    <row r="1033" spans="7:17">
      <c r="G1033" s="54"/>
      <c r="H1033" s="54"/>
      <c r="I1033" s="54"/>
      <c r="J1033" s="54"/>
      <c r="K1033" s="54"/>
      <c r="L1033" s="54"/>
      <c r="M1033" s="54"/>
      <c r="N1033" s="54"/>
      <c r="O1033" s="54"/>
      <c r="P1033" s="54"/>
      <c r="Q1033" s="54"/>
    </row>
  </sheetData>
  <mergeCells count="8">
    <mergeCell ref="D206:Y207"/>
    <mergeCell ref="D208:Y208"/>
    <mergeCell ref="A1:R1"/>
    <mergeCell ref="F7:P7"/>
    <mergeCell ref="A54:R54"/>
    <mergeCell ref="X109:Z109"/>
    <mergeCell ref="X110:Z110"/>
    <mergeCell ref="X129:Z129"/>
  </mergeCells>
  <printOptions horizontalCentered="1"/>
  <pageMargins left="0.7" right="0.7" top="0.75" bottom="0.75" header="0.3" footer="0.3"/>
  <pageSetup scale="60" fitToHeight="3" orientation="landscape" r:id="rId1"/>
  <headerFooter scaleWithDoc="0">
    <oddHeader>&amp;LK-Factor Study
(Electric)
&amp;RExh. EMA-4</oddHeader>
    <oddFooter>&amp;RPage &amp;P of 19</oddFooter>
  </headerFooter>
  <rowBreaks count="1" manualBreakCount="1">
    <brk id="84" max="2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view="pageBreakPreview" zoomScale="60" zoomScaleNormal="100" workbookViewId="0">
      <selection activeCell="O31" sqref="O31"/>
    </sheetView>
  </sheetViews>
  <sheetFormatPr defaultRowHeight="15"/>
  <cols>
    <col min="1" max="1" width="4.7109375" bestFit="1" customWidth="1"/>
    <col min="2" max="3" width="1.5703125" customWidth="1"/>
    <col min="4" max="4" width="25" customWidth="1"/>
    <col min="5" max="5" width="21.28515625" customWidth="1"/>
    <col min="6" max="6" width="22.5703125" style="1" bestFit="1" customWidth="1"/>
    <col min="7" max="7" width="2.85546875" style="1" customWidth="1"/>
    <col min="8" max="8" width="18.42578125" style="1" bestFit="1" customWidth="1"/>
    <col min="9" max="9" width="2.85546875" style="1" customWidth="1"/>
    <col min="10" max="10" width="9.140625" customWidth="1"/>
    <col min="11" max="11" width="12" bestFit="1" customWidth="1"/>
    <col min="12" max="12" width="12.85546875" bestFit="1" customWidth="1"/>
    <col min="13" max="13" width="10.5703125" bestFit="1" customWidth="1"/>
    <col min="14" max="14" width="6.85546875" bestFit="1" customWidth="1"/>
    <col min="15" max="15" width="10.42578125" bestFit="1" customWidth="1"/>
    <col min="16" max="16" width="9.140625" customWidth="1"/>
    <col min="17" max="17" width="11.5703125" bestFit="1" customWidth="1"/>
  </cols>
  <sheetData>
    <row r="1" spans="1:17">
      <c r="A1" s="2" t="s">
        <v>0</v>
      </c>
      <c r="B1" s="2"/>
      <c r="C1" s="2"/>
      <c r="D1" s="2"/>
      <c r="E1" s="2"/>
      <c r="F1"/>
      <c r="G1"/>
      <c r="H1"/>
      <c r="I1"/>
    </row>
    <row r="2" spans="1:17" ht="15" customHeight="1">
      <c r="A2" s="2" t="s">
        <v>1</v>
      </c>
      <c r="B2" s="2"/>
      <c r="C2" s="2"/>
      <c r="D2" s="2"/>
      <c r="E2" s="2"/>
      <c r="F2"/>
      <c r="G2"/>
      <c r="H2"/>
      <c r="I2"/>
    </row>
    <row r="3" spans="1:17" ht="15" customHeight="1">
      <c r="A3" s="2" t="s">
        <v>2</v>
      </c>
      <c r="B3" s="2"/>
      <c r="C3" s="2"/>
      <c r="D3" s="2"/>
      <c r="E3" s="2"/>
      <c r="F3"/>
      <c r="G3"/>
      <c r="H3"/>
      <c r="I3"/>
    </row>
    <row r="4" spans="1:17">
      <c r="A4" s="2" t="s">
        <v>3</v>
      </c>
      <c r="B4" s="2"/>
      <c r="C4" s="2"/>
      <c r="D4" s="2"/>
      <c r="E4" s="2"/>
      <c r="F4"/>
      <c r="G4"/>
      <c r="H4"/>
      <c r="I4"/>
    </row>
    <row r="5" spans="1:17">
      <c r="A5" s="2" t="s">
        <v>67</v>
      </c>
      <c r="F5"/>
      <c r="G5"/>
      <c r="H5"/>
      <c r="I5"/>
    </row>
    <row r="6" spans="1:17" ht="15.75" thickBot="1">
      <c r="F6"/>
      <c r="G6"/>
      <c r="H6"/>
      <c r="I6"/>
    </row>
    <row r="7" spans="1:17">
      <c r="F7" s="10" t="str">
        <f>'JH-2 &amp; JH-3'!H2</f>
        <v xml:space="preserve">Non-Energy </v>
      </c>
      <c r="G7" s="211"/>
      <c r="H7" s="10" t="s">
        <v>433</v>
      </c>
      <c r="I7" s="211"/>
      <c r="J7" s="362" t="s">
        <v>420</v>
      </c>
      <c r="K7" s="363"/>
      <c r="L7" s="363"/>
      <c r="M7" s="363"/>
      <c r="N7" s="363"/>
      <c r="O7" s="363"/>
      <c r="P7" s="364"/>
    </row>
    <row r="8" spans="1:17">
      <c r="A8" t="s">
        <v>6</v>
      </c>
      <c r="F8" s="11" t="str">
        <f>'JH-2 &amp; JH-3'!H3</f>
        <v xml:space="preserve">EOP Pro Forma </v>
      </c>
      <c r="G8" s="211"/>
      <c r="H8" s="11" t="s">
        <v>66</v>
      </c>
      <c r="I8" s="211"/>
      <c r="J8" s="345"/>
      <c r="K8" s="208"/>
      <c r="L8" s="208"/>
      <c r="M8" s="208"/>
      <c r="N8" s="208"/>
      <c r="O8" s="208"/>
      <c r="P8" s="342"/>
    </row>
    <row r="9" spans="1:17">
      <c r="A9" t="s">
        <v>7</v>
      </c>
      <c r="D9" t="s">
        <v>8</v>
      </c>
      <c r="F9" s="12" t="str">
        <f>'JH-2 &amp; JH-3'!H4</f>
        <v>Sub-Total</v>
      </c>
      <c r="G9" s="211"/>
      <c r="H9" s="12" t="s">
        <v>364</v>
      </c>
      <c r="I9" s="211"/>
      <c r="J9" s="345"/>
      <c r="K9" s="4" t="s">
        <v>421</v>
      </c>
      <c r="L9" s="208"/>
      <c r="M9" s="4" t="s">
        <v>425</v>
      </c>
      <c r="N9" s="208"/>
      <c r="O9" s="4" t="s">
        <v>422</v>
      </c>
      <c r="P9" s="342"/>
      <c r="Q9" s="15"/>
    </row>
    <row r="10" spans="1:17">
      <c r="B10" t="s">
        <v>9</v>
      </c>
      <c r="F10" s="211" t="str">
        <f>'JH-2 &amp; JH-3'!H5</f>
        <v>PF-SubTtl</v>
      </c>
      <c r="G10" s="211"/>
      <c r="H10" s="211"/>
      <c r="I10" s="211"/>
      <c r="J10" s="345"/>
      <c r="K10" s="5" t="s">
        <v>66</v>
      </c>
      <c r="L10" s="210" t="s">
        <v>423</v>
      </c>
      <c r="M10" s="5" t="s">
        <v>426</v>
      </c>
      <c r="N10" s="347" t="s">
        <v>429</v>
      </c>
      <c r="O10" s="350" t="s">
        <v>428</v>
      </c>
      <c r="P10" s="342"/>
    </row>
    <row r="11" spans="1:17">
      <c r="B11" t="s">
        <v>406</v>
      </c>
      <c r="F11" s="1" t="s">
        <v>361</v>
      </c>
      <c r="H11" s="1" t="s">
        <v>361</v>
      </c>
      <c r="J11" s="341"/>
      <c r="K11" s="6" t="s">
        <v>364</v>
      </c>
      <c r="L11" s="208"/>
      <c r="M11" s="6" t="s">
        <v>427</v>
      </c>
      <c r="N11" s="208"/>
      <c r="O11" s="6" t="s">
        <v>430</v>
      </c>
      <c r="P11" s="342"/>
    </row>
    <row r="12" spans="1:17">
      <c r="F12"/>
      <c r="G12"/>
      <c r="H12"/>
      <c r="I12"/>
      <c r="J12" s="341"/>
      <c r="K12" s="212">
        <f>SUM(H23,H25,H27,H31,H32,H34,H37,H38,H42,H43,H44,H76,H82)</f>
        <v>494309.49093156343</v>
      </c>
      <c r="L12" s="210" t="s">
        <v>432</v>
      </c>
      <c r="M12" s="353">
        <f>'CSH-4 Escalators'!I14</f>
        <v>2.3164226276519345E-2</v>
      </c>
      <c r="N12" s="210" t="s">
        <v>419</v>
      </c>
      <c r="O12" s="357">
        <f>K12*M12</f>
        <v>11450.296898569823</v>
      </c>
      <c r="P12" s="342"/>
    </row>
    <row r="13" spans="1:17">
      <c r="B13" t="s">
        <v>11</v>
      </c>
      <c r="F13"/>
      <c r="G13"/>
      <c r="H13"/>
      <c r="I13"/>
      <c r="J13" s="341"/>
      <c r="K13" s="210"/>
      <c r="L13" s="210"/>
      <c r="M13" s="210"/>
      <c r="N13" s="210"/>
      <c r="O13" s="210"/>
      <c r="P13" s="342"/>
    </row>
    <row r="14" spans="1:17">
      <c r="A14">
        <v>1</v>
      </c>
      <c r="B14" t="s">
        <v>12</v>
      </c>
      <c r="F14" s="16">
        <f>'JH-2 &amp; JH-3'!H9</f>
        <v>491188</v>
      </c>
      <c r="G14" s="16"/>
      <c r="H14" s="16"/>
      <c r="I14" s="16"/>
      <c r="J14" s="341"/>
      <c r="K14" s="4" t="s">
        <v>422</v>
      </c>
      <c r="L14" s="210"/>
      <c r="M14" s="349" t="s">
        <v>425</v>
      </c>
      <c r="N14" s="210"/>
      <c r="O14" s="4" t="s">
        <v>431</v>
      </c>
      <c r="P14" s="342"/>
    </row>
    <row r="15" spans="1:17">
      <c r="A15">
        <v>2</v>
      </c>
      <c r="B15" t="s">
        <v>13</v>
      </c>
      <c r="F15" s="16">
        <f>'JH-2 &amp; JH-3'!H10</f>
        <v>946</v>
      </c>
      <c r="G15" s="16"/>
      <c r="H15" s="16"/>
      <c r="I15" s="16"/>
      <c r="J15" s="341"/>
      <c r="K15" s="5" t="s">
        <v>66</v>
      </c>
      <c r="L15" s="210" t="s">
        <v>424</v>
      </c>
      <c r="M15" s="350" t="s">
        <v>428</v>
      </c>
      <c r="N15" s="347" t="s">
        <v>429</v>
      </c>
      <c r="O15" s="350" t="s">
        <v>428</v>
      </c>
      <c r="P15" s="342"/>
    </row>
    <row r="16" spans="1:17">
      <c r="A16" s="9">
        <v>3</v>
      </c>
      <c r="B16" s="9" t="s">
        <v>14</v>
      </c>
      <c r="C16" s="9"/>
      <c r="D16" s="9"/>
      <c r="E16" s="9"/>
      <c r="F16" s="20">
        <f>'JH-2 &amp; JH-3'!H11</f>
        <v>57325</v>
      </c>
      <c r="G16" s="214"/>
      <c r="H16" s="214"/>
      <c r="I16" s="214"/>
      <c r="J16" s="341"/>
      <c r="K16" s="346" t="s">
        <v>364</v>
      </c>
      <c r="L16" s="210"/>
      <c r="M16" s="346" t="s">
        <v>427</v>
      </c>
      <c r="N16" s="210"/>
      <c r="O16" s="346" t="s">
        <v>430</v>
      </c>
      <c r="P16" s="342"/>
    </row>
    <row r="17" spans="1:16">
      <c r="A17">
        <v>4</v>
      </c>
      <c r="B17" t="s">
        <v>15</v>
      </c>
      <c r="F17" s="17">
        <f>SUM(F14:F16)</f>
        <v>549459</v>
      </c>
      <c r="G17" s="17"/>
      <c r="H17" s="17"/>
      <c r="I17" s="17"/>
      <c r="J17" s="341"/>
      <c r="K17" s="212">
        <f>K12+O12</f>
        <v>505759.78783013322</v>
      </c>
      <c r="L17" s="210" t="s">
        <v>432</v>
      </c>
      <c r="M17" s="353">
        <f>M12</f>
        <v>2.3164226276519345E-2</v>
      </c>
      <c r="N17" s="210" t="s">
        <v>419</v>
      </c>
      <c r="O17" s="357">
        <f>K17*M17</f>
        <v>11715.53416686162</v>
      </c>
      <c r="P17" s="342"/>
    </row>
    <row r="18" spans="1:16" ht="15.75" thickBot="1">
      <c r="A18" s="9">
        <v>5</v>
      </c>
      <c r="B18" s="9" t="s">
        <v>16</v>
      </c>
      <c r="C18" s="9"/>
      <c r="D18" s="9"/>
      <c r="E18" s="9"/>
      <c r="F18" s="20">
        <f>'JH-2 &amp; JH-3'!H13</f>
        <v>13300</v>
      </c>
      <c r="G18" s="214"/>
      <c r="H18" s="214"/>
      <c r="I18" s="214"/>
      <c r="J18" s="343"/>
      <c r="K18" s="322"/>
      <c r="L18" s="322"/>
      <c r="M18" s="322"/>
      <c r="N18" s="322"/>
      <c r="O18" s="322"/>
      <c r="P18" s="344"/>
    </row>
    <row r="19" spans="1:16">
      <c r="A19">
        <v>6</v>
      </c>
      <c r="B19" t="s">
        <v>17</v>
      </c>
      <c r="F19" s="17">
        <f>SUM(F17:F18)</f>
        <v>562759</v>
      </c>
      <c r="G19" s="17"/>
      <c r="H19" s="17"/>
      <c r="I19" s="17"/>
      <c r="J19" s="354"/>
      <c r="K19" s="354"/>
    </row>
    <row r="20" spans="1:16">
      <c r="F20"/>
      <c r="G20"/>
      <c r="H20"/>
      <c r="I20"/>
    </row>
    <row r="21" spans="1:16">
      <c r="B21" t="s">
        <v>18</v>
      </c>
      <c r="F21"/>
      <c r="G21"/>
      <c r="H21"/>
      <c r="I21"/>
    </row>
    <row r="22" spans="1:16">
      <c r="B22" t="s">
        <v>19</v>
      </c>
      <c r="F22"/>
      <c r="G22"/>
      <c r="H22"/>
      <c r="I22"/>
    </row>
    <row r="23" spans="1:16">
      <c r="A23">
        <v>7</v>
      </c>
      <c r="C23" t="s">
        <v>20</v>
      </c>
      <c r="F23" s="16">
        <f>'JH-2 &amp; JH-3'!H18</f>
        <v>135745</v>
      </c>
      <c r="G23" s="16"/>
      <c r="H23" s="16">
        <f>F23</f>
        <v>135745</v>
      </c>
      <c r="I23" s="16"/>
    </row>
    <row r="24" spans="1:16">
      <c r="A24">
        <v>8</v>
      </c>
      <c r="C24" t="s">
        <v>21</v>
      </c>
      <c r="F24" s="16">
        <f>'JH-2 &amp; JH-3'!H19</f>
        <v>77131</v>
      </c>
      <c r="G24" s="16"/>
      <c r="H24" s="16"/>
      <c r="I24" s="16"/>
    </row>
    <row r="25" spans="1:16">
      <c r="A25">
        <v>9</v>
      </c>
      <c r="C25" t="s">
        <v>22</v>
      </c>
      <c r="F25" s="16">
        <f>'JH-2 &amp; JH-3'!H20</f>
        <v>26677</v>
      </c>
      <c r="G25" s="16"/>
      <c r="H25" s="16">
        <f>F25</f>
        <v>26677</v>
      </c>
      <c r="I25" s="16"/>
    </row>
    <row r="26" spans="1:16">
      <c r="A26">
        <v>10</v>
      </c>
      <c r="C26" t="s">
        <v>23</v>
      </c>
      <c r="F26" s="16">
        <f>'JH-2 &amp; JH-3'!H21</f>
        <v>3312</v>
      </c>
      <c r="G26" s="16"/>
      <c r="H26" s="16"/>
      <c r="I26" s="16"/>
    </row>
    <row r="27" spans="1:16">
      <c r="A27" s="9">
        <v>11</v>
      </c>
      <c r="B27" s="9"/>
      <c r="C27" s="9" t="s">
        <v>24</v>
      </c>
      <c r="D27" s="9"/>
      <c r="E27" s="9"/>
      <c r="F27" s="20">
        <f>'JH-2 &amp; JH-3'!H22</f>
        <v>15458</v>
      </c>
      <c r="G27" s="214"/>
      <c r="H27" s="16">
        <f>F27</f>
        <v>15458</v>
      </c>
      <c r="I27" s="214"/>
    </row>
    <row r="28" spans="1:16">
      <c r="A28">
        <v>12</v>
      </c>
      <c r="B28" t="s">
        <v>25</v>
      </c>
      <c r="F28" s="17">
        <f>SUM(F23:F27)</f>
        <v>258323</v>
      </c>
      <c r="G28" s="17"/>
      <c r="H28" s="17"/>
      <c r="I28" s="17"/>
    </row>
    <row r="29" spans="1:16">
      <c r="F29"/>
      <c r="G29"/>
      <c r="H29"/>
      <c r="I29"/>
    </row>
    <row r="30" spans="1:16">
      <c r="B30" t="s">
        <v>26</v>
      </c>
      <c r="F30"/>
      <c r="G30"/>
      <c r="H30"/>
      <c r="I30"/>
    </row>
    <row r="31" spans="1:16">
      <c r="A31">
        <v>13</v>
      </c>
      <c r="C31" t="s">
        <v>20</v>
      </c>
      <c r="F31" s="16">
        <f>'JH-2 &amp; JH-3'!H26</f>
        <v>22477</v>
      </c>
      <c r="G31" s="16"/>
      <c r="H31" s="16">
        <f>F31</f>
        <v>22477</v>
      </c>
      <c r="I31" s="16"/>
    </row>
    <row r="32" spans="1:16">
      <c r="A32">
        <v>14</v>
      </c>
      <c r="C32" t="s">
        <v>27</v>
      </c>
      <c r="F32" s="16">
        <f>'JH-2 &amp; JH-3'!H27</f>
        <v>28055</v>
      </c>
      <c r="G32" s="16"/>
      <c r="H32" s="16">
        <f>F32</f>
        <v>28055</v>
      </c>
      <c r="I32" s="16"/>
    </row>
    <row r="33" spans="1:9">
      <c r="A33">
        <v>15</v>
      </c>
      <c r="C33" t="s">
        <v>23</v>
      </c>
      <c r="F33" s="16">
        <f>'JH-2 &amp; JH-3'!H28</f>
        <v>0</v>
      </c>
      <c r="G33" s="16"/>
      <c r="H33" s="16"/>
      <c r="I33" s="16"/>
    </row>
    <row r="34" spans="1:9">
      <c r="A34" s="9">
        <v>16</v>
      </c>
      <c r="B34" s="9"/>
      <c r="C34" s="9" t="s">
        <v>24</v>
      </c>
      <c r="D34" s="9"/>
      <c r="E34" s="9"/>
      <c r="F34" s="20">
        <f>'JH-2 &amp; JH-3'!H29</f>
        <v>27087</v>
      </c>
      <c r="G34" s="214"/>
      <c r="H34" s="214">
        <f>F34</f>
        <v>27087</v>
      </c>
      <c r="I34" s="214"/>
    </row>
    <row r="35" spans="1:9">
      <c r="A35">
        <v>17</v>
      </c>
      <c r="B35" t="s">
        <v>28</v>
      </c>
      <c r="F35" s="17">
        <f>SUM(F31:F34)</f>
        <v>77619</v>
      </c>
      <c r="G35" s="17"/>
      <c r="H35" s="17"/>
      <c r="I35" s="17"/>
    </row>
    <row r="36" spans="1:9">
      <c r="F36"/>
      <c r="G36"/>
      <c r="H36"/>
      <c r="I36"/>
    </row>
    <row r="37" spans="1:9">
      <c r="A37">
        <v>18</v>
      </c>
      <c r="B37" t="s">
        <v>29</v>
      </c>
      <c r="F37" s="16">
        <f>'JH-2 &amp; JH-3'!H32</f>
        <v>13092</v>
      </c>
      <c r="G37" s="16"/>
      <c r="H37" s="16">
        <f>F37</f>
        <v>13092</v>
      </c>
      <c r="I37" s="16"/>
    </row>
    <row r="38" spans="1:9">
      <c r="A38">
        <v>19</v>
      </c>
      <c r="B38" t="s">
        <v>30</v>
      </c>
      <c r="F38" s="16">
        <f>'JH-2 &amp; JH-3'!H33</f>
        <v>1430</v>
      </c>
      <c r="G38" s="16"/>
      <c r="H38" s="16">
        <f>F38</f>
        <v>1430</v>
      </c>
      <c r="I38" s="16"/>
    </row>
    <row r="39" spans="1:9">
      <c r="A39">
        <v>20</v>
      </c>
      <c r="B39" t="s">
        <v>31</v>
      </c>
      <c r="F39" s="16">
        <f>'JH-2 &amp; JH-3'!H34</f>
        <v>0</v>
      </c>
      <c r="G39" s="16"/>
      <c r="H39" s="16"/>
      <c r="I39" s="16"/>
    </row>
    <row r="40" spans="1:9">
      <c r="F40"/>
      <c r="G40"/>
      <c r="H40"/>
      <c r="I40"/>
    </row>
    <row r="41" spans="1:9">
      <c r="B41" t="s">
        <v>32</v>
      </c>
      <c r="F41"/>
      <c r="G41"/>
      <c r="H41"/>
      <c r="I41"/>
    </row>
    <row r="42" spans="1:9">
      <c r="A42">
        <v>21</v>
      </c>
      <c r="C42" t="s">
        <v>20</v>
      </c>
      <c r="F42" s="16">
        <f>'JH-2 &amp; JH-3'!H37</f>
        <v>50492</v>
      </c>
      <c r="G42" s="16"/>
      <c r="H42" s="16">
        <f>F42</f>
        <v>50492</v>
      </c>
      <c r="I42" s="16"/>
    </row>
    <row r="43" spans="1:9">
      <c r="A43">
        <v>22</v>
      </c>
      <c r="C43" t="s">
        <v>27</v>
      </c>
      <c r="F43" s="16">
        <f>'JH-2 &amp; JH-3'!H38</f>
        <v>24506</v>
      </c>
      <c r="G43" s="16"/>
      <c r="H43" s="16">
        <f>F43</f>
        <v>24506</v>
      </c>
      <c r="I43" s="16"/>
    </row>
    <row r="44" spans="1:9">
      <c r="A44" s="9">
        <v>23</v>
      </c>
      <c r="B44" s="9"/>
      <c r="C44" s="9" t="s">
        <v>24</v>
      </c>
      <c r="D44" s="9"/>
      <c r="E44" s="9"/>
      <c r="F44" s="20">
        <f>'JH-2 &amp; JH-3'!H39</f>
        <v>0</v>
      </c>
      <c r="G44" s="214"/>
      <c r="H44" s="16">
        <f>F44</f>
        <v>0</v>
      </c>
      <c r="I44" s="214"/>
    </row>
    <row r="45" spans="1:9">
      <c r="A45" s="9">
        <v>24</v>
      </c>
      <c r="B45" s="9" t="s">
        <v>33</v>
      </c>
      <c r="C45" s="9"/>
      <c r="D45" s="9"/>
      <c r="E45" s="9"/>
      <c r="F45" s="18">
        <f>SUM(F42:F44)</f>
        <v>74998</v>
      </c>
      <c r="G45" s="213"/>
      <c r="H45" s="213"/>
      <c r="I45" s="213"/>
    </row>
    <row r="46" spans="1:9">
      <c r="A46">
        <v>25</v>
      </c>
      <c r="B46" t="s">
        <v>34</v>
      </c>
      <c r="F46" s="17">
        <f>SUM(F28,F35,F37,F38,F39,F45)</f>
        <v>425462</v>
      </c>
      <c r="G46" s="17"/>
      <c r="H46" s="17"/>
      <c r="I46" s="17"/>
    </row>
    <row r="47" spans="1:9">
      <c r="F47"/>
      <c r="G47"/>
      <c r="H47"/>
      <c r="I47"/>
    </row>
    <row r="48" spans="1:9">
      <c r="A48">
        <v>26</v>
      </c>
      <c r="B48" t="s">
        <v>35</v>
      </c>
      <c r="F48" s="16">
        <f>F19-F46</f>
        <v>137297</v>
      </c>
      <c r="G48" s="16"/>
      <c r="H48" s="16"/>
      <c r="I48" s="16"/>
    </row>
    <row r="49" spans="1:9">
      <c r="F49"/>
      <c r="G49"/>
      <c r="H49"/>
      <c r="I49"/>
    </row>
    <row r="50" spans="1:9">
      <c r="B50" t="s">
        <v>36</v>
      </c>
      <c r="F50"/>
      <c r="G50"/>
      <c r="H50"/>
      <c r="I50"/>
    </row>
    <row r="51" spans="1:9">
      <c r="A51">
        <v>27</v>
      </c>
      <c r="B51" t="s">
        <v>37</v>
      </c>
      <c r="F51" s="16">
        <f>'JH-2 &amp; JH-3'!H46</f>
        <v>-31536</v>
      </c>
      <c r="G51" s="16"/>
      <c r="H51" s="16"/>
      <c r="I51" s="16"/>
    </row>
    <row r="52" spans="1:9">
      <c r="A52">
        <v>28</v>
      </c>
      <c r="B52" t="s">
        <v>38</v>
      </c>
      <c r="F52" s="16">
        <f>'JH-2 &amp; JH-3'!H47</f>
        <v>-649.38166838999985</v>
      </c>
      <c r="G52" s="16"/>
      <c r="H52" s="16"/>
      <c r="I52" s="16"/>
    </row>
    <row r="53" spans="1:9">
      <c r="A53">
        <v>29</v>
      </c>
      <c r="B53" t="s">
        <v>39</v>
      </c>
      <c r="F53" s="16">
        <f>'JH-2 &amp; JH-3'!H48</f>
        <v>67191</v>
      </c>
      <c r="G53" s="16"/>
      <c r="H53" s="16"/>
      <c r="I53" s="16"/>
    </row>
    <row r="54" spans="1:9">
      <c r="A54">
        <v>30</v>
      </c>
      <c r="B54" t="s">
        <v>40</v>
      </c>
      <c r="F54" s="16">
        <f>'JH-2 &amp; JH-3'!H49</f>
        <v>-326</v>
      </c>
      <c r="G54" s="16"/>
      <c r="H54" s="16"/>
      <c r="I54" s="16"/>
    </row>
    <row r="55" spans="1:9">
      <c r="F55"/>
      <c r="G55"/>
      <c r="H55"/>
      <c r="I55"/>
    </row>
    <row r="56" spans="1:9">
      <c r="A56">
        <v>31</v>
      </c>
      <c r="B56" t="s">
        <v>41</v>
      </c>
      <c r="F56" s="17">
        <f>F48-SUM(F51:F54)</f>
        <v>102617.38166839001</v>
      </c>
      <c r="G56" s="17"/>
      <c r="H56" s="17"/>
      <c r="I56" s="17"/>
    </row>
    <row r="57" spans="1:9">
      <c r="F57"/>
      <c r="G57"/>
      <c r="H57"/>
      <c r="I57"/>
    </row>
    <row r="58" spans="1:9">
      <c r="B58" t="s">
        <v>42</v>
      </c>
      <c r="F58"/>
      <c r="G58"/>
      <c r="H58"/>
      <c r="I58"/>
    </row>
    <row r="59" spans="1:9">
      <c r="B59" t="s">
        <v>43</v>
      </c>
      <c r="F59"/>
      <c r="G59"/>
      <c r="H59"/>
      <c r="I59"/>
    </row>
    <row r="60" spans="1:9">
      <c r="A60">
        <v>32</v>
      </c>
      <c r="C60" t="s">
        <v>44</v>
      </c>
      <c r="F60" s="16">
        <f>'JH-2 &amp; JH-3'!H55</f>
        <v>163234</v>
      </c>
      <c r="G60" s="16"/>
      <c r="H60" s="16"/>
      <c r="I60" s="16"/>
    </row>
    <row r="61" spans="1:9">
      <c r="A61">
        <v>33</v>
      </c>
      <c r="C61" t="s">
        <v>45</v>
      </c>
      <c r="F61" s="16">
        <f>'JH-2 &amp; JH-3'!H56</f>
        <v>874076</v>
      </c>
      <c r="G61" s="16"/>
      <c r="H61" s="16"/>
      <c r="I61" s="16"/>
    </row>
    <row r="62" spans="1:9">
      <c r="A62">
        <v>34</v>
      </c>
      <c r="C62" t="s">
        <v>46</v>
      </c>
      <c r="F62" s="16">
        <f>'JH-2 &amp; JH-3'!H57</f>
        <v>446138</v>
      </c>
      <c r="G62" s="16"/>
      <c r="H62" s="16"/>
      <c r="I62" s="16"/>
    </row>
    <row r="63" spans="1:9">
      <c r="A63">
        <v>35</v>
      </c>
      <c r="C63" t="s">
        <v>26</v>
      </c>
      <c r="F63" s="16">
        <f>'JH-2 &amp; JH-3'!H58</f>
        <v>1013933</v>
      </c>
      <c r="G63" s="16"/>
      <c r="H63" s="16"/>
      <c r="I63" s="16"/>
    </row>
    <row r="64" spans="1:9">
      <c r="A64" s="9">
        <v>36</v>
      </c>
      <c r="B64" s="9"/>
      <c r="C64" s="9" t="s">
        <v>47</v>
      </c>
      <c r="D64" s="9"/>
      <c r="E64" s="9"/>
      <c r="F64" s="20">
        <f>'JH-2 &amp; JH-3'!H59</f>
        <v>242579</v>
      </c>
      <c r="G64" s="214"/>
      <c r="H64" s="214"/>
      <c r="I64" s="214"/>
    </row>
    <row r="65" spans="1:9">
      <c r="A65">
        <v>37</v>
      </c>
      <c r="B65" t="s">
        <v>48</v>
      </c>
      <c r="F65" s="17">
        <f>SUM(F60:F64)</f>
        <v>2739960</v>
      </c>
      <c r="G65" s="17"/>
      <c r="H65" s="17"/>
      <c r="I65" s="17"/>
    </row>
    <row r="66" spans="1:9">
      <c r="B66" t="s">
        <v>49</v>
      </c>
      <c r="F66"/>
      <c r="G66"/>
      <c r="H66"/>
      <c r="I66"/>
    </row>
    <row r="67" spans="1:9">
      <c r="A67">
        <v>38</v>
      </c>
      <c r="C67" t="s">
        <v>44</v>
      </c>
      <c r="F67" s="16">
        <f>'JH-2 &amp; JH-3'!H62</f>
        <v>-34313</v>
      </c>
      <c r="G67" s="16"/>
      <c r="H67" s="16"/>
      <c r="I67" s="16"/>
    </row>
    <row r="68" spans="1:9">
      <c r="A68">
        <v>39</v>
      </c>
      <c r="C68" t="s">
        <v>45</v>
      </c>
      <c r="F68" s="16">
        <f>'JH-2 &amp; JH-3'!H63</f>
        <v>-347038</v>
      </c>
      <c r="G68" s="16"/>
      <c r="H68" s="16"/>
      <c r="I68" s="16"/>
    </row>
    <row r="69" spans="1:9">
      <c r="A69">
        <v>40</v>
      </c>
      <c r="C69" t="s">
        <v>46</v>
      </c>
      <c r="F69" s="16">
        <f>'JH-2 &amp; JH-3'!H64</f>
        <v>-136127</v>
      </c>
      <c r="G69" s="16"/>
      <c r="H69" s="16"/>
      <c r="I69" s="16"/>
    </row>
    <row r="70" spans="1:9">
      <c r="A70">
        <v>41</v>
      </c>
      <c r="C70" t="s">
        <v>26</v>
      </c>
      <c r="F70" s="16">
        <f>'JH-2 &amp; JH-3'!H65</f>
        <v>-305178</v>
      </c>
      <c r="G70" s="16"/>
      <c r="H70" s="16"/>
      <c r="I70" s="16"/>
    </row>
    <row r="71" spans="1:9">
      <c r="A71" s="9">
        <v>42</v>
      </c>
      <c r="B71" s="9"/>
      <c r="C71" s="9" t="s">
        <v>47</v>
      </c>
      <c r="D71" s="9"/>
      <c r="E71" s="9"/>
      <c r="F71" s="20">
        <f>'JH-2 &amp; JH-3'!H66</f>
        <v>-83644</v>
      </c>
      <c r="G71" s="214"/>
      <c r="H71" s="214"/>
      <c r="I71" s="214"/>
    </row>
    <row r="72" spans="1:9">
      <c r="A72">
        <v>43</v>
      </c>
      <c r="B72" t="s">
        <v>50</v>
      </c>
      <c r="F72" s="17">
        <f>SUM(F67:F71)</f>
        <v>-906300</v>
      </c>
      <c r="G72" s="17"/>
      <c r="H72" s="17"/>
      <c r="I72" s="17"/>
    </row>
    <row r="73" spans="1:9">
      <c r="A73">
        <v>44</v>
      </c>
      <c r="B73" t="s">
        <v>51</v>
      </c>
      <c r="F73" s="17">
        <f>SUM(F65,F72)</f>
        <v>1833660</v>
      </c>
      <c r="G73" s="17"/>
      <c r="H73" s="17"/>
      <c r="I73" s="17"/>
    </row>
    <row r="74" spans="1:9">
      <c r="F74"/>
      <c r="G74"/>
      <c r="H74"/>
      <c r="I74"/>
    </row>
    <row r="75" spans="1:9">
      <c r="A75" s="9">
        <v>45</v>
      </c>
      <c r="B75" s="9" t="s">
        <v>52</v>
      </c>
      <c r="C75" s="9"/>
      <c r="D75" s="9"/>
      <c r="E75" s="9"/>
      <c r="F75" s="20">
        <f>'JH-2 &amp; JH-3'!H70</f>
        <v>-379586</v>
      </c>
      <c r="G75" s="214"/>
      <c r="H75" s="214"/>
      <c r="I75" s="214"/>
    </row>
    <row r="76" spans="1:9">
      <c r="A76">
        <v>46</v>
      </c>
      <c r="C76" t="s">
        <v>53</v>
      </c>
      <c r="F76" s="17">
        <f>SUM(F73,F75)</f>
        <v>1454074</v>
      </c>
      <c r="G76" s="17"/>
      <c r="H76" s="17">
        <f>F76*'JH-2 &amp; JH-3'!X17</f>
        <v>139256.3761652</v>
      </c>
      <c r="I76" s="356" t="s">
        <v>418</v>
      </c>
    </row>
    <row r="77" spans="1:9">
      <c r="A77">
        <v>47</v>
      </c>
      <c r="B77" t="s">
        <v>54</v>
      </c>
      <c r="F77" s="16">
        <f>'JH-2 &amp; JH-3'!H72</f>
        <v>-778</v>
      </c>
      <c r="G77" s="16"/>
      <c r="H77" s="16"/>
      <c r="I77" s="16"/>
    </row>
    <row r="78" spans="1:9">
      <c r="A78">
        <v>48</v>
      </c>
      <c r="B78" t="s">
        <v>55</v>
      </c>
      <c r="F78" s="16">
        <f>'JH-2 &amp; JH-3'!H73</f>
        <v>58202</v>
      </c>
      <c r="G78" s="16"/>
      <c r="H78" s="16"/>
      <c r="I78" s="16"/>
    </row>
    <row r="79" spans="1:9">
      <c r="F79"/>
      <c r="G79"/>
      <c r="H79"/>
      <c r="I79"/>
    </row>
    <row r="80" spans="1:9">
      <c r="A80">
        <v>49</v>
      </c>
      <c r="B80" t="s">
        <v>56</v>
      </c>
      <c r="F80" s="16">
        <f>SUM(F76:F78)</f>
        <v>1511498</v>
      </c>
      <c r="G80" s="16"/>
      <c r="H80" s="16"/>
      <c r="I80" s="16"/>
    </row>
    <row r="81" spans="1:12">
      <c r="A81">
        <v>50</v>
      </c>
      <c r="B81" t="s">
        <v>57</v>
      </c>
      <c r="F81"/>
      <c r="G81"/>
      <c r="H81"/>
      <c r="I81"/>
    </row>
    <row r="82" spans="1:12">
      <c r="A82">
        <v>51</v>
      </c>
      <c r="B82" t="s">
        <v>58</v>
      </c>
      <c r="F82" s="14">
        <f>F90</f>
        <v>10034.114766363398</v>
      </c>
      <c r="G82" s="14"/>
      <c r="H82" s="14">
        <f>F82</f>
        <v>10034.114766363398</v>
      </c>
      <c r="I82" s="14"/>
    </row>
    <row r="83" spans="1:12">
      <c r="F83"/>
      <c r="G83"/>
      <c r="H83"/>
      <c r="I83"/>
    </row>
    <row r="84" spans="1:12">
      <c r="A84" s="3" t="s">
        <v>435</v>
      </c>
      <c r="F84"/>
      <c r="G84"/>
      <c r="H84"/>
      <c r="I84"/>
    </row>
    <row r="85" spans="1:12">
      <c r="J85" s="8"/>
    </row>
    <row r="86" spans="1:12">
      <c r="J86" s="8"/>
    </row>
    <row r="87" spans="1:12">
      <c r="B87" t="s">
        <v>60</v>
      </c>
      <c r="F87" s="7">
        <f>F56/F80</f>
        <v>6.7891179259509452E-2</v>
      </c>
      <c r="G87" s="7"/>
      <c r="H87" s="7"/>
      <c r="I87" s="7"/>
      <c r="J87" s="7"/>
      <c r="K87" s="7"/>
      <c r="L87" s="7"/>
    </row>
    <row r="88" spans="1:12">
      <c r="B88" t="s">
        <v>63</v>
      </c>
      <c r="F88" s="19">
        <f>'JH-2 &amp; JH-3'!Z12</f>
        <v>7.2004799999999994E-2</v>
      </c>
      <c r="G88" s="19"/>
      <c r="H88" s="321"/>
      <c r="I88" s="321"/>
      <c r="J88" s="8"/>
    </row>
    <row r="89" spans="1:12">
      <c r="B89" t="s">
        <v>61</v>
      </c>
      <c r="F89" s="13">
        <f>(F80*$F$88)-F56</f>
        <v>6217.7295220099768</v>
      </c>
      <c r="G89" s="13"/>
      <c r="H89" s="13"/>
      <c r="I89" s="13"/>
      <c r="J89" s="13"/>
      <c r="K89" s="14"/>
    </row>
    <row r="90" spans="1:12">
      <c r="B90" t="s">
        <v>62</v>
      </c>
      <c r="F90" s="14">
        <f>F89/$F$92</f>
        <v>10034.114766363398</v>
      </c>
      <c r="G90" s="14"/>
      <c r="H90" s="14"/>
      <c r="I90" s="14"/>
      <c r="J90" s="14"/>
      <c r="K90" s="14"/>
    </row>
    <row r="92" spans="1:12">
      <c r="B92" t="s">
        <v>64</v>
      </c>
      <c r="F92" s="1">
        <v>0.61965899999999996</v>
      </c>
    </row>
  </sheetData>
  <mergeCells count="1">
    <mergeCell ref="J7:P7"/>
  </mergeCells>
  <printOptions horizontalCentered="1"/>
  <pageMargins left="0.7" right="0.7" top="0.75" bottom="0.75" header="0.3" footer="0.3"/>
  <pageSetup scale="52" orientation="portrait" r:id="rId1"/>
  <headerFooter>
    <oddHeader xml:space="preserve">&amp;R&amp;"Times New Roman,Regular"Exh. CSH-2
                Dockets UE-170485/UG-170486
                Page &amp;P of &amp;N&amp;"-,Regular"
</oddHeader>
  </headerFooter>
  <rowBreaks count="1" manualBreakCount="1">
    <brk id="8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view="pageBreakPreview" zoomScale="70" zoomScaleNormal="70" zoomScaleSheetLayoutView="70" workbookViewId="0">
      <selection activeCell="O17" sqref="O17"/>
    </sheetView>
  </sheetViews>
  <sheetFormatPr defaultRowHeight="15"/>
  <cols>
    <col min="1" max="1" width="4.85546875" customWidth="1"/>
    <col min="2" max="2" width="3" customWidth="1"/>
    <col min="3" max="3" width="3.140625" customWidth="1"/>
    <col min="4" max="4" width="17" bestFit="1" customWidth="1"/>
    <col min="5" max="5" width="24.85546875" customWidth="1"/>
    <col min="6" max="6" width="15.85546875" bestFit="1" customWidth="1"/>
    <col min="7" max="7" width="2.7109375" customWidth="1"/>
    <col min="8" max="8" width="17.42578125" bestFit="1" customWidth="1"/>
    <col min="9" max="9" width="3.42578125" customWidth="1"/>
    <col min="10" max="10" width="9.140625" customWidth="1"/>
    <col min="11" max="11" width="11.140625" bestFit="1" customWidth="1"/>
    <col min="12" max="12" width="12.85546875" bestFit="1" customWidth="1"/>
    <col min="13" max="13" width="11.42578125" bestFit="1" customWidth="1"/>
    <col min="14" max="14" width="7.7109375" bestFit="1" customWidth="1"/>
    <col min="15" max="15" width="11.7109375" bestFit="1" customWidth="1"/>
  </cols>
  <sheetData>
    <row r="1" spans="1:20">
      <c r="A1" s="2" t="s">
        <v>0</v>
      </c>
      <c r="B1" s="2"/>
      <c r="C1" s="2"/>
      <c r="D1" s="2"/>
    </row>
    <row r="2" spans="1:20">
      <c r="A2" s="2" t="s">
        <v>157</v>
      </c>
      <c r="B2" s="2"/>
      <c r="C2" s="2"/>
      <c r="D2" s="2"/>
    </row>
    <row r="3" spans="1:20">
      <c r="A3" s="2" t="s">
        <v>2</v>
      </c>
      <c r="B3" s="2"/>
      <c r="C3" s="2"/>
      <c r="D3" s="2"/>
    </row>
    <row r="4" spans="1:20">
      <c r="A4" s="2" t="s">
        <v>3</v>
      </c>
      <c r="B4" s="2"/>
      <c r="C4" s="2"/>
      <c r="D4" s="2"/>
    </row>
    <row r="5" spans="1:20">
      <c r="A5" s="2" t="s">
        <v>67</v>
      </c>
      <c r="J5" s="208"/>
      <c r="K5" s="208"/>
      <c r="L5" s="208"/>
      <c r="M5" s="208"/>
      <c r="N5" s="208"/>
      <c r="O5" s="208"/>
      <c r="P5" s="208"/>
      <c r="Q5" s="208"/>
      <c r="R5" s="208"/>
      <c r="S5" s="208"/>
      <c r="T5" s="208"/>
    </row>
    <row r="6" spans="1:20" ht="15.75" thickBot="1">
      <c r="J6" s="208"/>
      <c r="K6" s="208"/>
      <c r="L6" s="208"/>
      <c r="M6" s="208"/>
      <c r="N6" s="208"/>
      <c r="O6" s="208"/>
      <c r="P6" s="208"/>
      <c r="Q6" s="208"/>
      <c r="R6" s="208"/>
      <c r="S6" s="208"/>
      <c r="T6" s="208"/>
    </row>
    <row r="7" spans="1:20">
      <c r="F7" s="10" t="str">
        <f>'JH-2 &amp; JH-3'!R3</f>
        <v>EOP</v>
      </c>
      <c r="G7" s="211"/>
      <c r="H7" s="10" t="s">
        <v>433</v>
      </c>
      <c r="I7" s="211"/>
      <c r="J7" s="362" t="s">
        <v>420</v>
      </c>
      <c r="K7" s="363"/>
      <c r="L7" s="363"/>
      <c r="M7" s="363"/>
      <c r="N7" s="363"/>
      <c r="O7" s="363"/>
      <c r="P7" s="364"/>
      <c r="Q7" s="208"/>
      <c r="R7" s="208"/>
      <c r="S7" s="208"/>
      <c r="T7" s="208"/>
    </row>
    <row r="8" spans="1:20">
      <c r="A8" t="s">
        <v>6</v>
      </c>
      <c r="F8" s="11" t="str">
        <f>'JH-2 &amp; JH-3'!R4</f>
        <v>Pro Forma</v>
      </c>
      <c r="G8" s="211"/>
      <c r="H8" s="11" t="s">
        <v>66</v>
      </c>
      <c r="I8" s="211"/>
      <c r="J8" s="345"/>
      <c r="K8" s="208"/>
      <c r="L8" s="208"/>
      <c r="M8" s="208"/>
      <c r="N8" s="208"/>
      <c r="O8" s="208"/>
      <c r="P8" s="342"/>
      <c r="S8" s="208"/>
      <c r="T8" s="208"/>
    </row>
    <row r="9" spans="1:20">
      <c r="A9" t="s">
        <v>7</v>
      </c>
      <c r="D9" t="s">
        <v>8</v>
      </c>
      <c r="F9" s="12" t="str">
        <f>'JH-2 &amp; JH-3'!R5</f>
        <v>Total</v>
      </c>
      <c r="G9" s="211"/>
      <c r="H9" s="12" t="s">
        <v>364</v>
      </c>
      <c r="I9" s="211"/>
      <c r="J9" s="345"/>
      <c r="K9" s="4" t="s">
        <v>421</v>
      </c>
      <c r="L9" s="208"/>
      <c r="M9" s="4" t="s">
        <v>425</v>
      </c>
      <c r="N9" s="208"/>
      <c r="O9" s="4" t="s">
        <v>422</v>
      </c>
      <c r="P9" s="342"/>
      <c r="Q9" s="208"/>
      <c r="R9" s="208"/>
      <c r="S9" s="208"/>
      <c r="T9" s="208"/>
    </row>
    <row r="10" spans="1:20">
      <c r="B10" t="s">
        <v>114</v>
      </c>
      <c r="J10" s="345"/>
      <c r="K10" s="5" t="s">
        <v>66</v>
      </c>
      <c r="L10" s="210" t="s">
        <v>423</v>
      </c>
      <c r="M10" s="5" t="s">
        <v>426</v>
      </c>
      <c r="N10" s="347" t="s">
        <v>429</v>
      </c>
      <c r="O10" s="350" t="s">
        <v>428</v>
      </c>
      <c r="P10" s="342"/>
      <c r="Q10" s="351"/>
      <c r="R10" s="348"/>
      <c r="S10" s="208"/>
      <c r="T10" s="208"/>
    </row>
    <row r="11" spans="1:20">
      <c r="B11" t="s">
        <v>406</v>
      </c>
      <c r="F11" s="1" t="s">
        <v>363</v>
      </c>
      <c r="G11" s="1"/>
      <c r="H11" s="1" t="s">
        <v>410</v>
      </c>
      <c r="I11" s="1"/>
      <c r="J11" s="341"/>
      <c r="K11" s="6" t="s">
        <v>364</v>
      </c>
      <c r="L11" s="208"/>
      <c r="M11" s="6" t="s">
        <v>427</v>
      </c>
      <c r="N11" s="208"/>
      <c r="O11" s="6" t="s">
        <v>430</v>
      </c>
      <c r="P11" s="342"/>
      <c r="Q11" s="348"/>
      <c r="R11" s="348"/>
      <c r="S11" s="208"/>
      <c r="T11" s="208"/>
    </row>
    <row r="12" spans="1:20">
      <c r="J12" s="341"/>
      <c r="K12" s="212">
        <f>SUM(H27:H29,H33:H35,H38:H39,H43:H44,H46,H74,H83,H85)</f>
        <v>84347.565184810985</v>
      </c>
      <c r="L12" s="210" t="s">
        <v>432</v>
      </c>
      <c r="M12" s="353">
        <f>'CSH-4 Escalators'!I26</f>
        <v>3.1986850276896413E-2</v>
      </c>
      <c r="N12" s="210" t="s">
        <v>419</v>
      </c>
      <c r="O12" s="357">
        <f>K12*M12</f>
        <v>2698.0129387873094</v>
      </c>
      <c r="P12" s="342"/>
      <c r="Q12" s="348"/>
      <c r="R12" s="348"/>
      <c r="S12" s="208"/>
      <c r="T12" s="208"/>
    </row>
    <row r="13" spans="1:20">
      <c r="B13" t="s">
        <v>70</v>
      </c>
      <c r="J13" s="341"/>
      <c r="K13" s="210"/>
      <c r="L13" s="210"/>
      <c r="M13" s="210"/>
      <c r="N13" s="210"/>
      <c r="O13" s="210"/>
      <c r="P13" s="342"/>
      <c r="Q13" s="352"/>
      <c r="R13" s="352"/>
      <c r="S13" s="208"/>
      <c r="T13" s="208"/>
    </row>
    <row r="14" spans="1:20">
      <c r="A14">
        <v>1</v>
      </c>
      <c r="B14" t="s">
        <v>71</v>
      </c>
      <c r="F14" s="16">
        <f>'JH-2 &amp; JH-3'!R8</f>
        <v>84299</v>
      </c>
      <c r="G14" s="16"/>
      <c r="H14" s="16"/>
      <c r="I14" s="16"/>
      <c r="J14" s="341"/>
      <c r="K14" s="4" t="s">
        <v>422</v>
      </c>
      <c r="L14" s="210"/>
      <c r="M14" s="349" t="s">
        <v>425</v>
      </c>
      <c r="N14" s="210"/>
      <c r="O14" s="4" t="s">
        <v>431</v>
      </c>
      <c r="P14" s="342"/>
      <c r="Q14" s="351"/>
      <c r="R14" s="348"/>
      <c r="S14" s="208"/>
      <c r="T14" s="208"/>
    </row>
    <row r="15" spans="1:20">
      <c r="A15">
        <v>2</v>
      </c>
      <c r="B15" t="s">
        <v>72</v>
      </c>
      <c r="F15" s="16">
        <f>'JH-2 &amp; JH-3'!R9</f>
        <v>4533</v>
      </c>
      <c r="G15" s="16"/>
      <c r="H15" s="16"/>
      <c r="I15" s="16"/>
      <c r="J15" s="341"/>
      <c r="K15" s="5" t="s">
        <v>66</v>
      </c>
      <c r="L15" s="210" t="s">
        <v>424</v>
      </c>
      <c r="M15" s="350" t="s">
        <v>428</v>
      </c>
      <c r="N15" s="347" t="s">
        <v>429</v>
      </c>
      <c r="O15" s="350" t="s">
        <v>428</v>
      </c>
      <c r="P15" s="342"/>
      <c r="Q15" s="348"/>
      <c r="R15" s="348"/>
      <c r="S15" s="208"/>
      <c r="T15" s="208"/>
    </row>
    <row r="16" spans="1:20">
      <c r="A16">
        <v>3</v>
      </c>
      <c r="B16" s="9" t="s">
        <v>73</v>
      </c>
      <c r="C16" s="9"/>
      <c r="D16" s="9"/>
      <c r="E16" s="9"/>
      <c r="F16" s="20">
        <f>'JH-2 &amp; JH-3'!R10</f>
        <v>244</v>
      </c>
      <c r="G16" s="214"/>
      <c r="H16" s="214"/>
      <c r="I16" s="214"/>
      <c r="J16" s="341"/>
      <c r="K16" s="346" t="s">
        <v>364</v>
      </c>
      <c r="L16" s="210"/>
      <c r="M16" s="346" t="s">
        <v>427</v>
      </c>
      <c r="N16" s="210"/>
      <c r="O16" s="346" t="s">
        <v>430</v>
      </c>
      <c r="P16" s="342"/>
      <c r="Q16" s="208"/>
      <c r="R16" s="208"/>
    </row>
    <row r="17" spans="1:18">
      <c r="A17">
        <v>4</v>
      </c>
      <c r="B17" t="s">
        <v>74</v>
      </c>
      <c r="F17" s="16">
        <f>SUM(F14:F16)</f>
        <v>89076</v>
      </c>
      <c r="G17" s="16"/>
      <c r="H17" s="16"/>
      <c r="I17" s="16"/>
      <c r="J17" s="341"/>
      <c r="K17" s="212">
        <f>K12+O12</f>
        <v>87045.578123598301</v>
      </c>
      <c r="L17" s="210" t="s">
        <v>432</v>
      </c>
      <c r="M17" s="353">
        <f>M12</f>
        <v>3.1986850276896413E-2</v>
      </c>
      <c r="N17" s="210" t="s">
        <v>419</v>
      </c>
      <c r="O17" s="357">
        <f>K17*M17</f>
        <v>2784.3138747054286</v>
      </c>
      <c r="P17" s="342"/>
      <c r="Q17" s="208"/>
      <c r="R17" s="208"/>
    </row>
    <row r="18" spans="1:18" ht="15.75" thickBot="1">
      <c r="J18" s="343"/>
      <c r="K18" s="322"/>
      <c r="L18" s="322"/>
      <c r="M18" s="322"/>
      <c r="N18" s="322"/>
      <c r="O18" s="322"/>
      <c r="P18" s="344"/>
    </row>
    <row r="19" spans="1:18">
      <c r="B19" t="s">
        <v>75</v>
      </c>
    </row>
    <row r="20" spans="1:18">
      <c r="B20" t="s">
        <v>76</v>
      </c>
    </row>
    <row r="21" spans="1:18">
      <c r="A21">
        <v>5</v>
      </c>
      <c r="C21" t="s">
        <v>77</v>
      </c>
      <c r="F21" s="16">
        <f>'JH-2 &amp; JH-3'!R15</f>
        <v>0</v>
      </c>
      <c r="G21" s="16"/>
      <c r="H21" s="16"/>
      <c r="I21" s="16"/>
    </row>
    <row r="22" spans="1:18">
      <c r="A22">
        <v>6</v>
      </c>
      <c r="C22" t="s">
        <v>78</v>
      </c>
      <c r="F22" s="16">
        <f>'JH-2 &amp; JH-3'!R16</f>
        <v>1019</v>
      </c>
      <c r="G22" s="16"/>
      <c r="H22" s="16"/>
      <c r="I22" s="16"/>
    </row>
    <row r="23" spans="1:18">
      <c r="A23">
        <v>7</v>
      </c>
      <c r="C23" t="s">
        <v>79</v>
      </c>
      <c r="F23" s="16">
        <f>'JH-2 &amp; JH-3'!R17</f>
        <v>0</v>
      </c>
      <c r="G23" s="16"/>
      <c r="H23" s="16"/>
      <c r="I23" s="16"/>
    </row>
    <row r="24" spans="1:18">
      <c r="A24">
        <v>8</v>
      </c>
      <c r="B24" s="338" t="s">
        <v>80</v>
      </c>
      <c r="C24" s="338"/>
      <c r="D24" s="338"/>
      <c r="E24" s="338"/>
      <c r="F24" s="340">
        <f>SUM(F21:F23)</f>
        <v>1019</v>
      </c>
      <c r="G24" s="214"/>
      <c r="H24" s="16"/>
      <c r="I24" s="214"/>
    </row>
    <row r="26" spans="1:18">
      <c r="B26" t="s">
        <v>81</v>
      </c>
    </row>
    <row r="27" spans="1:18">
      <c r="A27">
        <v>9</v>
      </c>
      <c r="C27" t="s">
        <v>82</v>
      </c>
      <c r="F27" s="16">
        <f>'JH-2 &amp; JH-3'!R21</f>
        <v>974</v>
      </c>
      <c r="G27" s="16"/>
      <c r="H27" s="16">
        <f>F27</f>
        <v>974</v>
      </c>
      <c r="I27" s="16"/>
    </row>
    <row r="28" spans="1:18">
      <c r="A28">
        <v>10</v>
      </c>
      <c r="C28" t="s">
        <v>27</v>
      </c>
      <c r="F28" s="16">
        <f>'JH-2 &amp; JH-3'!R22</f>
        <v>492</v>
      </c>
      <c r="G28" s="16"/>
      <c r="H28" s="16">
        <f t="shared" ref="H28:H29" si="0">F28</f>
        <v>492</v>
      </c>
      <c r="I28" s="16"/>
    </row>
    <row r="29" spans="1:18">
      <c r="A29">
        <v>11</v>
      </c>
      <c r="C29" t="s">
        <v>83</v>
      </c>
      <c r="F29" s="16">
        <f>'JH-2 &amp; JH-3'!R23</f>
        <v>249</v>
      </c>
      <c r="G29" s="16"/>
      <c r="H29" s="16">
        <f t="shared" si="0"/>
        <v>249</v>
      </c>
      <c r="I29" s="16"/>
    </row>
    <row r="30" spans="1:18">
      <c r="A30">
        <v>12</v>
      </c>
      <c r="B30" s="338" t="s">
        <v>84</v>
      </c>
      <c r="C30" s="338"/>
      <c r="D30" s="338"/>
      <c r="E30" s="338"/>
      <c r="F30" s="340">
        <f>SUM(F27:F29)</f>
        <v>1715</v>
      </c>
      <c r="G30" s="214"/>
      <c r="H30" s="16"/>
      <c r="I30" s="214"/>
    </row>
    <row r="32" spans="1:18">
      <c r="B32" t="s">
        <v>85</v>
      </c>
    </row>
    <row r="33" spans="1:9">
      <c r="A33">
        <v>13</v>
      </c>
      <c r="C33" t="s">
        <v>82</v>
      </c>
      <c r="F33" s="16">
        <f>'JH-2 &amp; JH-3'!R27</f>
        <v>12693</v>
      </c>
      <c r="G33" s="16"/>
      <c r="H33" s="16">
        <f t="shared" ref="H33:H35" si="1">F33</f>
        <v>12693</v>
      </c>
      <c r="I33" s="16"/>
    </row>
    <row r="34" spans="1:9">
      <c r="A34">
        <v>14</v>
      </c>
      <c r="C34" t="s">
        <v>27</v>
      </c>
      <c r="F34" s="16">
        <f>'JH-2 &amp; JH-3'!R28</f>
        <v>10063</v>
      </c>
      <c r="G34" s="16"/>
      <c r="H34" s="16">
        <f t="shared" si="1"/>
        <v>10063</v>
      </c>
      <c r="I34" s="16"/>
    </row>
    <row r="35" spans="1:9">
      <c r="A35">
        <v>15</v>
      </c>
      <c r="C35" t="s">
        <v>83</v>
      </c>
      <c r="F35" s="16">
        <f>'JH-2 &amp; JH-3'!R29</f>
        <v>6107</v>
      </c>
      <c r="G35" s="16"/>
      <c r="H35" s="16">
        <f t="shared" si="1"/>
        <v>6107</v>
      </c>
      <c r="I35" s="16"/>
    </row>
    <row r="36" spans="1:9">
      <c r="A36">
        <v>16</v>
      </c>
      <c r="B36" s="338" t="s">
        <v>86</v>
      </c>
      <c r="C36" s="338"/>
      <c r="D36" s="338"/>
      <c r="E36" s="338"/>
      <c r="F36" s="340">
        <f>SUM(F33:F35)</f>
        <v>28863</v>
      </c>
      <c r="G36" s="214"/>
      <c r="H36" s="16"/>
      <c r="I36" s="214"/>
    </row>
    <row r="38" spans="1:9">
      <c r="A38">
        <v>17</v>
      </c>
      <c r="B38" t="s">
        <v>87</v>
      </c>
      <c r="F38" s="16">
        <f>'JH-2 &amp; JH-3'!R32</f>
        <v>6779</v>
      </c>
      <c r="G38" s="16"/>
      <c r="H38" s="16">
        <f t="shared" ref="H38:H39" si="2">F38</f>
        <v>6779</v>
      </c>
      <c r="I38" s="16"/>
    </row>
    <row r="39" spans="1:9">
      <c r="A39">
        <v>18</v>
      </c>
      <c r="B39" t="s">
        <v>88</v>
      </c>
      <c r="F39" s="16">
        <f>'JH-2 &amp; JH-3'!R33</f>
        <v>977</v>
      </c>
      <c r="G39" s="16"/>
      <c r="H39" s="16">
        <f t="shared" si="2"/>
        <v>977</v>
      </c>
      <c r="I39" s="16"/>
    </row>
    <row r="40" spans="1:9">
      <c r="A40">
        <v>19</v>
      </c>
      <c r="B40" t="s">
        <v>89</v>
      </c>
      <c r="F40" s="16">
        <f>'JH-2 &amp; JH-3'!R34</f>
        <v>0</v>
      </c>
      <c r="G40" s="16"/>
      <c r="H40" s="16"/>
      <c r="I40" s="16"/>
    </row>
    <row r="42" spans="1:9">
      <c r="B42" t="s">
        <v>90</v>
      </c>
    </row>
    <row r="43" spans="1:9">
      <c r="A43">
        <v>20</v>
      </c>
      <c r="C43" t="s">
        <v>82</v>
      </c>
      <c r="F43" s="16">
        <f>'JH-2 &amp; JH-3'!R37</f>
        <v>13624</v>
      </c>
      <c r="G43" s="16"/>
      <c r="H43" s="16">
        <f t="shared" ref="H43:H44" si="3">F43</f>
        <v>13624</v>
      </c>
      <c r="I43" s="16"/>
    </row>
    <row r="44" spans="1:9">
      <c r="A44">
        <v>21</v>
      </c>
      <c r="C44" t="s">
        <v>27</v>
      </c>
      <c r="F44" s="16">
        <f>'JH-2 &amp; JH-3'!R38</f>
        <v>6540</v>
      </c>
      <c r="G44" s="16"/>
      <c r="H44" s="16">
        <f t="shared" si="3"/>
        <v>6540</v>
      </c>
      <c r="I44" s="16"/>
    </row>
    <row r="45" spans="1:9">
      <c r="A45">
        <v>22</v>
      </c>
      <c r="C45" t="s">
        <v>91</v>
      </c>
      <c r="F45" s="16">
        <f>'JH-2 &amp; JH-3'!R39</f>
        <v>584</v>
      </c>
      <c r="G45" s="16"/>
      <c r="H45" s="16"/>
      <c r="I45" s="16"/>
    </row>
    <row r="46" spans="1:9">
      <c r="A46">
        <v>23</v>
      </c>
      <c r="C46" t="s">
        <v>83</v>
      </c>
      <c r="F46" s="16">
        <f>'JH-2 &amp; JH-3'!R40</f>
        <v>0</v>
      </c>
      <c r="G46" s="16"/>
      <c r="H46" s="16">
        <f t="shared" ref="H46" si="4">F46</f>
        <v>0</v>
      </c>
      <c r="I46" s="16"/>
    </row>
    <row r="47" spans="1:9">
      <c r="A47">
        <v>24</v>
      </c>
      <c r="B47" s="338" t="s">
        <v>92</v>
      </c>
      <c r="C47" s="338"/>
      <c r="D47" s="338"/>
      <c r="E47" s="338"/>
      <c r="F47" s="340">
        <f>SUM(F43:F46)</f>
        <v>20748</v>
      </c>
      <c r="G47" s="214"/>
      <c r="H47" s="214"/>
      <c r="I47" s="214"/>
    </row>
    <row r="48" spans="1:9">
      <c r="A48">
        <v>25</v>
      </c>
      <c r="B48" s="338" t="s">
        <v>93</v>
      </c>
      <c r="C48" s="338"/>
      <c r="D48" s="338"/>
      <c r="E48" s="338"/>
      <c r="F48" s="340">
        <f>SUM(F47,F38:F40,F36,F30,F24)</f>
        <v>60101</v>
      </c>
      <c r="G48" s="214"/>
      <c r="H48" s="16"/>
      <c r="I48" s="214"/>
    </row>
    <row r="50" spans="1:9">
      <c r="A50">
        <v>26</v>
      </c>
      <c r="B50" t="s">
        <v>94</v>
      </c>
      <c r="F50">
        <f>F17-F48</f>
        <v>28975</v>
      </c>
    </row>
    <row r="52" spans="1:9">
      <c r="B52" t="s">
        <v>95</v>
      </c>
    </row>
    <row r="53" spans="1:9">
      <c r="A53">
        <v>27</v>
      </c>
      <c r="B53" t="s">
        <v>96</v>
      </c>
      <c r="F53" s="16">
        <f>'JH-2 &amp; JH-3'!R47</f>
        <v>-2149.8000000000002</v>
      </c>
      <c r="G53" s="16"/>
      <c r="H53" s="16"/>
      <c r="I53" s="16"/>
    </row>
    <row r="54" spans="1:9">
      <c r="A54">
        <v>28</v>
      </c>
      <c r="B54" t="s">
        <v>38</v>
      </c>
      <c r="F54" s="16">
        <f>'JH-2 &amp; JH-3'!R48</f>
        <v>-185.32441556999996</v>
      </c>
      <c r="G54" s="16"/>
      <c r="H54" s="16"/>
      <c r="I54" s="16"/>
    </row>
    <row r="55" spans="1:9">
      <c r="A55">
        <v>29</v>
      </c>
      <c r="B55" t="s">
        <v>97</v>
      </c>
      <c r="F55" s="16">
        <f>'JH-2 &amp; JH-3'!R49</f>
        <v>9923</v>
      </c>
      <c r="G55" s="16"/>
      <c r="H55" s="16"/>
      <c r="I55" s="16"/>
    </row>
    <row r="56" spans="1:9">
      <c r="A56">
        <v>30</v>
      </c>
      <c r="B56" t="s">
        <v>98</v>
      </c>
      <c r="F56" s="16">
        <f>'JH-2 &amp; JH-3'!R50</f>
        <v>-17</v>
      </c>
      <c r="G56" s="16"/>
      <c r="H56" s="16"/>
      <c r="I56" s="16"/>
    </row>
    <row r="58" spans="1:9">
      <c r="A58">
        <v>31</v>
      </c>
      <c r="B58" t="s">
        <v>99</v>
      </c>
      <c r="F58" s="16">
        <f>F50-SUM(F53:F56)</f>
        <v>21404.124415570001</v>
      </c>
      <c r="G58" s="16"/>
      <c r="H58" s="16"/>
      <c r="I58" s="16"/>
    </row>
    <row r="60" spans="1:9">
      <c r="B60" t="s">
        <v>100</v>
      </c>
    </row>
    <row r="61" spans="1:9">
      <c r="B61" t="s">
        <v>101</v>
      </c>
    </row>
    <row r="62" spans="1:9">
      <c r="A62">
        <v>32</v>
      </c>
      <c r="C62" t="s">
        <v>81</v>
      </c>
      <c r="F62" s="16">
        <f>'JH-2 &amp; JH-3'!R56</f>
        <v>27143</v>
      </c>
      <c r="G62" s="16"/>
      <c r="H62" s="16"/>
      <c r="I62" s="16"/>
    </row>
    <row r="63" spans="1:9">
      <c r="A63">
        <v>33</v>
      </c>
      <c r="C63" t="s">
        <v>102</v>
      </c>
      <c r="F63" s="16">
        <f>'JH-2 &amp; JH-3'!R57</f>
        <v>416918</v>
      </c>
      <c r="G63" s="16"/>
      <c r="H63" s="16"/>
      <c r="I63" s="16"/>
    </row>
    <row r="64" spans="1:9">
      <c r="A64">
        <v>34</v>
      </c>
      <c r="C64" t="s">
        <v>103</v>
      </c>
      <c r="F64" s="16">
        <f>'JH-2 &amp; JH-3'!R58</f>
        <v>88432</v>
      </c>
      <c r="G64" s="16"/>
      <c r="H64" s="16"/>
      <c r="I64" s="16"/>
    </row>
    <row r="65" spans="1:9">
      <c r="A65">
        <v>35</v>
      </c>
      <c r="B65" s="338" t="s">
        <v>104</v>
      </c>
      <c r="C65" s="338"/>
      <c r="D65" s="338"/>
      <c r="E65" s="338"/>
      <c r="F65" s="340">
        <f>SUM(F62:F64)</f>
        <v>532493</v>
      </c>
      <c r="G65" s="214"/>
      <c r="H65" s="16"/>
      <c r="I65" s="214"/>
    </row>
    <row r="67" spans="1:9">
      <c r="B67" t="s">
        <v>49</v>
      </c>
    </row>
    <row r="68" spans="1:9">
      <c r="A68">
        <v>36</v>
      </c>
      <c r="C68" t="s">
        <v>81</v>
      </c>
      <c r="F68" s="16">
        <f>'JH-2 &amp; JH-3'!R62</f>
        <v>-10472</v>
      </c>
      <c r="G68" s="16"/>
      <c r="H68" s="16"/>
      <c r="I68" s="16"/>
    </row>
    <row r="69" spans="1:9">
      <c r="A69">
        <v>37</v>
      </c>
      <c r="C69" t="s">
        <v>102</v>
      </c>
      <c r="F69" s="16">
        <f>'JH-2 &amp; JH-3'!R63</f>
        <v>-132896</v>
      </c>
      <c r="G69" s="16"/>
      <c r="H69" s="16"/>
      <c r="I69" s="16"/>
    </row>
    <row r="70" spans="1:9">
      <c r="A70">
        <v>38</v>
      </c>
      <c r="C70" t="s">
        <v>103</v>
      </c>
      <c r="F70" s="16">
        <f>'JH-2 &amp; JH-3'!R64</f>
        <v>-25025</v>
      </c>
      <c r="G70" s="16"/>
      <c r="H70" s="16"/>
      <c r="I70" s="16"/>
    </row>
    <row r="71" spans="1:9">
      <c r="A71">
        <v>39</v>
      </c>
      <c r="B71" s="338" t="s">
        <v>105</v>
      </c>
      <c r="C71" s="338"/>
      <c r="D71" s="338"/>
      <c r="E71" s="338"/>
      <c r="F71" s="340">
        <f>SUM(F68:F70)</f>
        <v>-168393</v>
      </c>
      <c r="G71" s="214"/>
      <c r="H71" s="214"/>
      <c r="I71" s="214"/>
    </row>
    <row r="72" spans="1:9">
      <c r="A72">
        <v>40</v>
      </c>
      <c r="B72" s="338" t="s">
        <v>106</v>
      </c>
      <c r="C72" s="338"/>
      <c r="D72" s="338"/>
      <c r="E72" s="338"/>
      <c r="F72" s="340">
        <f>F65+F71</f>
        <v>364100</v>
      </c>
      <c r="G72" s="214"/>
      <c r="H72" s="16"/>
      <c r="I72" s="214"/>
    </row>
    <row r="73" spans="1:9">
      <c r="A73">
        <v>41</v>
      </c>
      <c r="B73" t="s">
        <v>107</v>
      </c>
      <c r="F73" s="16">
        <f>'JH-2 &amp; JH-3'!R67</f>
        <v>-79137</v>
      </c>
      <c r="G73" s="16"/>
      <c r="H73" s="16"/>
      <c r="I73" s="16"/>
    </row>
    <row r="74" spans="1:9">
      <c r="A74">
        <v>42</v>
      </c>
      <c r="B74" s="338" t="s">
        <v>53</v>
      </c>
      <c r="C74" s="338"/>
      <c r="D74" s="338"/>
      <c r="E74" s="338"/>
      <c r="F74" s="340">
        <f>SUM(F72:F73)</f>
        <v>284963</v>
      </c>
      <c r="G74" s="214"/>
      <c r="H74" s="16">
        <f>F74*'JH-2 &amp; JH-3'!X17</f>
        <v>27290.849517399998</v>
      </c>
      <c r="I74" s="355" t="s">
        <v>418</v>
      </c>
    </row>
    <row r="75" spans="1:9">
      <c r="A75">
        <v>43</v>
      </c>
      <c r="B75" t="s">
        <v>108</v>
      </c>
      <c r="F75" s="16">
        <f>'JH-2 &amp; JH-3'!R69</f>
        <v>9116</v>
      </c>
      <c r="G75" s="16"/>
      <c r="H75" s="16"/>
      <c r="I75" s="16"/>
    </row>
    <row r="76" spans="1:9">
      <c r="A76">
        <v>44</v>
      </c>
      <c r="B76" t="s">
        <v>109</v>
      </c>
      <c r="F76" s="16">
        <f>'JH-2 &amp; JH-3'!R70</f>
        <v>0</v>
      </c>
      <c r="G76" s="16"/>
      <c r="H76" s="16"/>
      <c r="I76" s="16"/>
    </row>
    <row r="77" spans="1:9">
      <c r="A77">
        <v>45</v>
      </c>
      <c r="B77" t="s">
        <v>110</v>
      </c>
      <c r="F77" s="16">
        <f>'JH-2 &amp; JH-3'!R71</f>
        <v>1225</v>
      </c>
      <c r="G77" s="16"/>
      <c r="H77" s="16"/>
      <c r="I77" s="16"/>
    </row>
    <row r="78" spans="1:9">
      <c r="A78">
        <v>46</v>
      </c>
      <c r="B78" t="s">
        <v>55</v>
      </c>
      <c r="F78" s="16">
        <f>'JH-2 &amp; JH-3'!R72</f>
        <v>11482</v>
      </c>
      <c r="G78" s="16"/>
      <c r="H78" s="16"/>
      <c r="I78" s="16"/>
    </row>
    <row r="81" spans="1:12">
      <c r="A81">
        <v>47</v>
      </c>
      <c r="B81" t="s">
        <v>111</v>
      </c>
      <c r="F81" s="16">
        <f>SUM(F74:F78)</f>
        <v>306786</v>
      </c>
      <c r="G81" s="16"/>
      <c r="H81" s="16"/>
      <c r="I81" s="16"/>
    </row>
    <row r="82" spans="1:12">
      <c r="A82">
        <v>48</v>
      </c>
      <c r="B82" t="s">
        <v>112</v>
      </c>
    </row>
    <row r="83" spans="1:12">
      <c r="A83">
        <v>50</v>
      </c>
      <c r="B83" t="s">
        <v>113</v>
      </c>
      <c r="F83" s="16">
        <f>F91</f>
        <v>1106.7156674109913</v>
      </c>
      <c r="G83" s="16"/>
      <c r="H83" s="16">
        <f>F83</f>
        <v>1106.7156674109913</v>
      </c>
      <c r="I83" s="16"/>
    </row>
    <row r="84" spans="1:12">
      <c r="F84" s="1"/>
      <c r="G84" s="1"/>
      <c r="H84" s="1"/>
      <c r="I84" s="1"/>
      <c r="J84" s="8"/>
    </row>
    <row r="85" spans="1:12">
      <c r="A85">
        <v>51</v>
      </c>
      <c r="B85" s="325" t="s">
        <v>378</v>
      </c>
      <c r="F85" s="1"/>
      <c r="G85" s="1"/>
      <c r="H85" s="16">
        <f>'Riders and Gas Cost Revenue'!AX32</f>
        <v>-2548</v>
      </c>
      <c r="I85" s="1"/>
      <c r="J85" s="8"/>
    </row>
    <row r="86" spans="1:12">
      <c r="F86" s="1"/>
      <c r="G86" s="1"/>
      <c r="H86" s="1"/>
      <c r="I86" s="1"/>
      <c r="J86" s="8"/>
    </row>
    <row r="87" spans="1:12">
      <c r="A87" s="3" t="s">
        <v>434</v>
      </c>
      <c r="F87" s="1"/>
      <c r="G87" s="1"/>
      <c r="H87" s="1"/>
      <c r="I87" s="1"/>
      <c r="J87" s="8"/>
    </row>
    <row r="88" spans="1:12">
      <c r="B88" t="s">
        <v>60</v>
      </c>
      <c r="F88" s="7">
        <f>F58/F81</f>
        <v>6.9768908671093213E-2</v>
      </c>
      <c r="G88" s="7"/>
      <c r="H88" s="7"/>
      <c r="I88" s="7"/>
      <c r="J88" s="7"/>
      <c r="K88" s="7"/>
      <c r="L88" s="7"/>
    </row>
    <row r="89" spans="1:12">
      <c r="B89" t="s">
        <v>63</v>
      </c>
      <c r="F89" s="19">
        <f>'JH-2 &amp; JH-3'!Z12</f>
        <v>7.2004799999999994E-2</v>
      </c>
      <c r="G89" s="19"/>
      <c r="H89" s="19"/>
      <c r="I89" s="19"/>
      <c r="J89" s="8"/>
    </row>
    <row r="90" spans="1:12">
      <c r="B90" t="s">
        <v>61</v>
      </c>
      <c r="F90" s="14">
        <f>(F81*$F$89)-F58</f>
        <v>685.94015722999757</v>
      </c>
      <c r="G90" s="14"/>
      <c r="H90" s="14"/>
      <c r="I90" s="14"/>
      <c r="J90" s="14"/>
      <c r="K90" s="14"/>
    </row>
    <row r="91" spans="1:12">
      <c r="B91" t="s">
        <v>62</v>
      </c>
      <c r="F91" s="13">
        <f>F90/F93</f>
        <v>1106.7156674109913</v>
      </c>
      <c r="G91" s="13"/>
      <c r="H91" s="13"/>
      <c r="I91" s="13"/>
      <c r="J91" s="13"/>
      <c r="K91" s="13"/>
    </row>
    <row r="92" spans="1:12">
      <c r="F92" s="1"/>
      <c r="G92" s="1"/>
      <c r="H92" s="1"/>
      <c r="I92" s="1"/>
    </row>
    <row r="93" spans="1:12">
      <c r="B93" t="s">
        <v>64</v>
      </c>
      <c r="F93" s="1">
        <v>0.61979799999999996</v>
      </c>
      <c r="G93" s="1"/>
      <c r="H93" s="1"/>
      <c r="I93" s="1"/>
    </row>
  </sheetData>
  <mergeCells count="1">
    <mergeCell ref="J7:P7"/>
  </mergeCells>
  <printOptions horizontalCentered="1"/>
  <pageMargins left="0.7" right="0.7" top="0.75" bottom="0.75" header="0.3" footer="0.3"/>
  <pageSetup scale="51" orientation="portrait" r:id="rId1"/>
  <headerFooter>
    <oddHeader>&amp;R&amp;"Times New Roman,Regular"Exh. CSH-3
                Dockets UE-170485/UG-170486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view="pageBreakPreview" zoomScale="60" zoomScaleNormal="100" workbookViewId="0">
      <selection activeCell="O17" sqref="O17"/>
    </sheetView>
  </sheetViews>
  <sheetFormatPr defaultRowHeight="15"/>
  <cols>
    <col min="3" max="3" width="21.140625" bestFit="1" customWidth="1"/>
    <col min="4" max="4" width="8.42578125" bestFit="1" customWidth="1"/>
    <col min="5" max="5" width="21.85546875" bestFit="1" customWidth="1"/>
    <col min="6" max="6" width="30.140625" bestFit="1" customWidth="1"/>
    <col min="7" max="7" width="12.7109375" bestFit="1" customWidth="1"/>
    <col min="8" max="8" width="15.140625" bestFit="1" customWidth="1"/>
    <col min="9" max="9" width="29.85546875" bestFit="1" customWidth="1"/>
  </cols>
  <sheetData>
    <row r="1" spans="1:9">
      <c r="A1" s="2" t="s">
        <v>0</v>
      </c>
    </row>
    <row r="2" spans="1:9">
      <c r="A2" s="2" t="s">
        <v>177</v>
      </c>
    </row>
    <row r="3" spans="1:9">
      <c r="A3" s="2" t="s">
        <v>178</v>
      </c>
    </row>
    <row r="6" spans="1:9">
      <c r="C6" s="367" t="s">
        <v>172</v>
      </c>
      <c r="D6" s="368"/>
      <c r="E6" s="368"/>
      <c r="F6" s="368"/>
      <c r="G6" s="368"/>
      <c r="H6" s="368"/>
      <c r="I6" s="369"/>
    </row>
    <row r="7" spans="1:9">
      <c r="E7" s="366" t="s">
        <v>158</v>
      </c>
      <c r="F7" s="366"/>
      <c r="G7" s="370" t="s">
        <v>173</v>
      </c>
      <c r="H7" s="371"/>
      <c r="I7" s="372"/>
    </row>
    <row r="8" spans="1:9">
      <c r="C8" s="36" t="s">
        <v>159</v>
      </c>
      <c r="D8" s="36" t="s">
        <v>160</v>
      </c>
      <c r="E8" s="36" t="s">
        <v>161</v>
      </c>
      <c r="F8" s="36" t="s">
        <v>162</v>
      </c>
      <c r="G8" s="36" t="s">
        <v>169</v>
      </c>
      <c r="H8" s="36" t="s">
        <v>170</v>
      </c>
      <c r="I8" s="36" t="s">
        <v>174</v>
      </c>
    </row>
    <row r="9" spans="1:9">
      <c r="C9" s="326" t="s">
        <v>163</v>
      </c>
      <c r="D9" s="207">
        <v>0.20051949770646785</v>
      </c>
      <c r="E9" s="331">
        <v>9.1261083983235194E-2</v>
      </c>
      <c r="F9" s="331">
        <f>D9*E9</f>
        <v>1.8299626720466099E-2</v>
      </c>
      <c r="G9" s="358">
        <f>'CSH-5 Elec Regressions'!D17</f>
        <v>4.7032721952336098E-2</v>
      </c>
      <c r="H9" s="40" t="s">
        <v>171</v>
      </c>
      <c r="I9" s="331">
        <f>G9*D9</f>
        <v>9.430977781650399E-3</v>
      </c>
    </row>
    <row r="10" spans="1:9">
      <c r="C10" s="326" t="s">
        <v>164</v>
      </c>
      <c r="D10" s="207">
        <v>0.3573623040489835</v>
      </c>
      <c r="E10" s="331">
        <v>2.5532420960981864E-2</v>
      </c>
      <c r="F10" s="331">
        <f t="shared" ref="F10:F12" si="0">D10*E10</f>
        <v>9.1243247825650402E-3</v>
      </c>
      <c r="G10" s="331">
        <f>'CSH-5 Elec Regressions'!C17</f>
        <v>3.7656305709104172E-2</v>
      </c>
      <c r="H10" s="358">
        <f>'O&amp;M Escalator'!J5</f>
        <v>2.3602042846764995E-2</v>
      </c>
      <c r="I10" s="331">
        <f>D10*H10</f>
        <v>8.4344804119827685E-3</v>
      </c>
    </row>
    <row r="11" spans="1:9">
      <c r="C11" s="326" t="s">
        <v>165</v>
      </c>
      <c r="D11" s="207">
        <v>9.81597699268488E-2</v>
      </c>
      <c r="E11" s="331">
        <v>4.529165909887143E-2</v>
      </c>
      <c r="F11" s="331">
        <f t="shared" si="0"/>
        <v>4.4458188367504873E-3</v>
      </c>
      <c r="G11" s="358">
        <f>'CSH-5 Elec Regressions'!E17</f>
        <v>5.1339022545892232E-2</v>
      </c>
      <c r="H11" s="40" t="s">
        <v>171</v>
      </c>
      <c r="I11" s="331">
        <f>G11*D11</f>
        <v>5.0394266413740845E-3</v>
      </c>
    </row>
    <row r="12" spans="1:9">
      <c r="C12" s="326" t="s">
        <v>166</v>
      </c>
      <c r="D12" s="207">
        <v>0.3439584283176999</v>
      </c>
      <c r="E12" s="358">
        <v>3.0408737162420218E-2</v>
      </c>
      <c r="F12" s="331">
        <f t="shared" si="0"/>
        <v>1.0459341441512091E-2</v>
      </c>
      <c r="G12" s="331">
        <f>'CSH-5 Elec Regressions'!F17</f>
        <v>3.8248167496941751E-2</v>
      </c>
      <c r="H12" s="40" t="s">
        <v>171</v>
      </c>
      <c r="I12" s="331">
        <f>D12*E12</f>
        <v>1.0459341441512091E-2</v>
      </c>
    </row>
    <row r="13" spans="1:9">
      <c r="C13" s="326" t="s">
        <v>167</v>
      </c>
      <c r="D13" s="331"/>
      <c r="E13" s="4"/>
      <c r="F13" s="331">
        <v>-1.0200000000000001E-2</v>
      </c>
      <c r="G13" s="4"/>
      <c r="H13" s="4"/>
      <c r="I13" s="331">
        <f>F13</f>
        <v>-1.0200000000000001E-2</v>
      </c>
    </row>
    <row r="14" spans="1:9">
      <c r="C14" s="327" t="s">
        <v>168</v>
      </c>
      <c r="D14" s="338"/>
      <c r="E14" s="339"/>
      <c r="F14" s="331">
        <f>SUM(F9:F13)</f>
        <v>3.2129111781293712E-2</v>
      </c>
      <c r="G14" s="339"/>
      <c r="H14" s="339"/>
      <c r="I14" s="358">
        <f>SUM(I9:I13)</f>
        <v>2.3164226276519345E-2</v>
      </c>
    </row>
    <row r="15" spans="1:9">
      <c r="C15" s="22"/>
      <c r="F15" s="35"/>
      <c r="I15" s="41"/>
    </row>
    <row r="16" spans="1:9">
      <c r="C16" s="22"/>
      <c r="F16" s="35"/>
      <c r="I16" s="41"/>
    </row>
    <row r="18" spans="3:9">
      <c r="C18" s="367" t="s">
        <v>176</v>
      </c>
      <c r="D18" s="368"/>
      <c r="E18" s="368"/>
      <c r="F18" s="368"/>
      <c r="G18" s="368"/>
      <c r="H18" s="368"/>
      <c r="I18" s="369"/>
    </row>
    <row r="19" spans="3:9">
      <c r="E19" s="366" t="s">
        <v>158</v>
      </c>
      <c r="F19" s="366"/>
      <c r="G19" s="370" t="s">
        <v>173</v>
      </c>
      <c r="H19" s="371"/>
      <c r="I19" s="372"/>
    </row>
    <row r="20" spans="3:9">
      <c r="C20" s="36" t="s">
        <v>159</v>
      </c>
      <c r="D20" s="36" t="s">
        <v>160</v>
      </c>
      <c r="E20" s="36" t="s">
        <v>161</v>
      </c>
      <c r="F20" s="36" t="s">
        <v>162</v>
      </c>
      <c r="G20" s="36" t="s">
        <v>169</v>
      </c>
      <c r="H20" s="36" t="s">
        <v>170</v>
      </c>
      <c r="I20" s="36" t="s">
        <v>174</v>
      </c>
    </row>
    <row r="21" spans="3:9">
      <c r="C21" s="34" t="s">
        <v>163</v>
      </c>
      <c r="D21" s="33">
        <v>0.2012887661117565</v>
      </c>
      <c r="E21" s="332">
        <v>0.10932902836763629</v>
      </c>
      <c r="F21" s="331">
        <f>D21*E21</f>
        <v>2.2006705220318733E-2</v>
      </c>
      <c r="G21" s="358">
        <f>'CSH-6 Nat Gas Regressions'!D17</f>
        <v>6.1672811883426916E-2</v>
      </c>
      <c r="H21" s="40" t="s">
        <v>171</v>
      </c>
      <c r="I21" s="332">
        <f>G21*D21</f>
        <v>1.2414044206657477E-2</v>
      </c>
    </row>
    <row r="22" spans="3:9">
      <c r="C22" s="34" t="s">
        <v>164</v>
      </c>
      <c r="D22" s="33">
        <v>0.41396025738936298</v>
      </c>
      <c r="E22" s="332">
        <v>3.2623127243367786E-2</v>
      </c>
      <c r="F22" s="331">
        <f t="shared" ref="F22:F24" si="1">D22*E22</f>
        <v>1.3504678150510468E-2</v>
      </c>
      <c r="G22" s="331">
        <f>'CSH-6 Nat Gas Regressions'!C17</f>
        <v>4.6118145050691881E-2</v>
      </c>
      <c r="H22" s="358">
        <f>'O&amp;M Escalator'!K5</f>
        <v>2.0308302675846813E-2</v>
      </c>
      <c r="I22" s="332">
        <f>D22*H22</f>
        <v>8.4068302028346351E-3</v>
      </c>
    </row>
    <row r="23" spans="3:9">
      <c r="C23" s="34" t="s">
        <v>165</v>
      </c>
      <c r="D23" s="33">
        <v>7.3278566163539172E-2</v>
      </c>
      <c r="E23" s="332">
        <v>5.2079177998625686E-2</v>
      </c>
      <c r="F23" s="331">
        <f t="shared" si="1"/>
        <v>3.8162874907150257E-3</v>
      </c>
      <c r="G23" s="358">
        <f>'CSH-6 Nat Gas Regressions'!E17</f>
        <v>5.414073807353937E-2</v>
      </c>
      <c r="H23" s="40" t="s">
        <v>171</v>
      </c>
      <c r="I23" s="332">
        <f>D23*G23</f>
        <v>3.9673556570646992E-3</v>
      </c>
    </row>
    <row r="24" spans="3:9">
      <c r="C24" s="34" t="s">
        <v>175</v>
      </c>
      <c r="D24" s="33">
        <v>0.31147241033534123</v>
      </c>
      <c r="E24" s="359">
        <v>5.021972098159011E-2</v>
      </c>
      <c r="F24" s="331">
        <f t="shared" si="1"/>
        <v>1.564205754050418E-2</v>
      </c>
      <c r="G24" s="331">
        <f>'CSH-6 Nat Gas Regressions'!F17</f>
        <v>4.7317675288618133E-2</v>
      </c>
      <c r="H24" s="40" t="s">
        <v>171</v>
      </c>
      <c r="I24" s="332">
        <f>D24*E24</f>
        <v>1.564205754050418E-2</v>
      </c>
    </row>
    <row r="25" spans="3:9">
      <c r="C25" s="34" t="s">
        <v>167</v>
      </c>
      <c r="D25" s="337"/>
      <c r="E25" s="4"/>
      <c r="F25" s="331">
        <v>-8.443437330164583E-3</v>
      </c>
      <c r="G25" s="4"/>
      <c r="H25" s="4"/>
      <c r="I25" s="331">
        <f>F25</f>
        <v>-8.443437330164583E-3</v>
      </c>
    </row>
    <row r="26" spans="3:9">
      <c r="C26" s="32" t="s">
        <v>168</v>
      </c>
      <c r="D26" s="338"/>
      <c r="E26" s="339"/>
      <c r="F26" s="331">
        <f>SUM(F21:F25)</f>
        <v>4.6526291071883823E-2</v>
      </c>
      <c r="G26" s="339"/>
      <c r="H26" s="339"/>
      <c r="I26" s="358">
        <f>SUM(I21:I25)</f>
        <v>3.1986850276896413E-2</v>
      </c>
    </row>
    <row r="27" spans="3:9">
      <c r="C27" s="22"/>
      <c r="I27" s="41"/>
    </row>
    <row r="28" spans="3:9">
      <c r="C28" s="22"/>
    </row>
    <row r="29" spans="3:9">
      <c r="C29" s="365" t="s">
        <v>185</v>
      </c>
      <c r="D29" s="365"/>
      <c r="E29" s="365"/>
      <c r="F29" s="365"/>
      <c r="G29" s="365"/>
      <c r="H29" s="365"/>
      <c r="I29" s="365"/>
    </row>
  </sheetData>
  <mergeCells count="7">
    <mergeCell ref="C29:I29"/>
    <mergeCell ref="E7:F7"/>
    <mergeCell ref="C6:I6"/>
    <mergeCell ref="G7:I7"/>
    <mergeCell ref="E19:F19"/>
    <mergeCell ref="G19:I19"/>
    <mergeCell ref="C18:I18"/>
  </mergeCells>
  <printOptions horizontalCentered="1"/>
  <pageMargins left="0.7" right="0.7" top="0.75" bottom="0.75" header="0.3" footer="0.3"/>
  <pageSetup scale="73" orientation="landscape" r:id="rId1"/>
  <headerFooter>
    <oddHeader>&amp;R&amp;"Times New Roman,Regular"Exh. CSH-4
                Dockets UE-170485/UG-170486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8"/>
  <sheetViews>
    <sheetView view="pageBreakPreview" zoomScale="60" zoomScaleNormal="85" workbookViewId="0">
      <selection activeCell="O17" sqref="O17"/>
    </sheetView>
  </sheetViews>
  <sheetFormatPr defaultRowHeight="15"/>
  <cols>
    <col min="2" max="2" width="27" customWidth="1"/>
    <col min="3" max="3" width="18.5703125" customWidth="1"/>
    <col min="4" max="6" width="18.42578125" customWidth="1"/>
  </cols>
  <sheetData>
    <row r="1" spans="1:7">
      <c r="A1" s="2" t="s">
        <v>0</v>
      </c>
    </row>
    <row r="2" spans="1:7">
      <c r="A2" s="2" t="s">
        <v>1</v>
      </c>
    </row>
    <row r="3" spans="1:7">
      <c r="A3" s="2" t="s">
        <v>151</v>
      </c>
    </row>
    <row r="6" spans="1:7" ht="45">
      <c r="B6" s="333" t="s">
        <v>115</v>
      </c>
      <c r="C6" s="328" t="s">
        <v>116</v>
      </c>
      <c r="D6" s="328" t="s">
        <v>117</v>
      </c>
      <c r="E6" s="328" t="s">
        <v>118</v>
      </c>
      <c r="F6" s="328" t="s">
        <v>119</v>
      </c>
      <c r="G6" s="373" t="s">
        <v>156</v>
      </c>
    </row>
    <row r="7" spans="1:7">
      <c r="B7" s="40">
        <v>2007</v>
      </c>
      <c r="C7" s="335">
        <v>92211.7999895299</v>
      </c>
      <c r="D7" s="335">
        <v>42949</v>
      </c>
      <c r="E7" s="335">
        <v>24422.193309601087</v>
      </c>
      <c r="F7" s="335">
        <v>870835</v>
      </c>
      <c r="G7" s="374"/>
    </row>
    <row r="8" spans="1:7">
      <c r="B8" s="40">
        <v>2008</v>
      </c>
      <c r="C8" s="335">
        <v>99146.488212752593</v>
      </c>
      <c r="D8" s="335">
        <v>45874</v>
      </c>
      <c r="E8" s="335">
        <v>25215.167948905873</v>
      </c>
      <c r="F8" s="335">
        <v>917247</v>
      </c>
      <c r="G8" s="374"/>
    </row>
    <row r="9" spans="1:7">
      <c r="B9" s="40">
        <v>2009</v>
      </c>
      <c r="C9" s="335">
        <v>108289.20367903885</v>
      </c>
      <c r="D9" s="335">
        <v>48466</v>
      </c>
      <c r="E9" s="335">
        <v>26626.424405821377</v>
      </c>
      <c r="F9" s="335">
        <v>987243</v>
      </c>
      <c r="G9" s="374"/>
    </row>
    <row r="10" spans="1:7">
      <c r="B10" s="40">
        <v>2010</v>
      </c>
      <c r="C10" s="335">
        <v>113649.52340035603</v>
      </c>
      <c r="D10" s="335">
        <v>52270</v>
      </c>
      <c r="E10" s="335">
        <v>29451.477627473563</v>
      </c>
      <c r="F10" s="335">
        <v>1036064</v>
      </c>
      <c r="G10" s="374"/>
    </row>
    <row r="11" spans="1:7">
      <c r="B11" s="40">
        <v>2011</v>
      </c>
      <c r="C11" s="335">
        <v>123418.7529832047</v>
      </c>
      <c r="D11" s="335">
        <v>55304</v>
      </c>
      <c r="E11" s="335">
        <v>32679.513135797297</v>
      </c>
      <c r="F11" s="335">
        <v>1087140</v>
      </c>
      <c r="G11" s="374"/>
    </row>
    <row r="12" spans="1:7">
      <c r="B12" s="40">
        <v>2012</v>
      </c>
      <c r="C12" s="335">
        <v>130194.49114962851</v>
      </c>
      <c r="D12" s="335">
        <v>58946</v>
      </c>
      <c r="E12" s="335">
        <v>33804.624334624648</v>
      </c>
      <c r="F12" s="335">
        <v>1131570</v>
      </c>
      <c r="G12" s="374"/>
    </row>
    <row r="13" spans="1:7">
      <c r="B13" s="40">
        <v>2013</v>
      </c>
      <c r="C13" s="335">
        <v>129510</v>
      </c>
      <c r="D13" s="335">
        <v>60308</v>
      </c>
      <c r="E13" s="335">
        <v>36722</v>
      </c>
      <c r="F13" s="335">
        <v>1195010</v>
      </c>
      <c r="G13" s="374"/>
    </row>
    <row r="14" spans="1:7">
      <c r="B14" s="40">
        <v>2014</v>
      </c>
      <c r="C14" s="335">
        <v>131891</v>
      </c>
      <c r="D14" s="335">
        <v>64456</v>
      </c>
      <c r="E14" s="335">
        <v>38649</v>
      </c>
      <c r="F14" s="335">
        <v>1214504</v>
      </c>
      <c r="G14" s="374"/>
    </row>
    <row r="15" spans="1:7">
      <c r="B15" s="40">
        <v>2015</v>
      </c>
      <c r="C15" s="335">
        <v>137009</v>
      </c>
      <c r="D15" s="335">
        <v>71829</v>
      </c>
      <c r="E15" s="335">
        <v>41581</v>
      </c>
      <c r="F15" s="335">
        <v>1271626</v>
      </c>
      <c r="G15" s="374"/>
    </row>
    <row r="16" spans="1:7">
      <c r="B16" s="40">
        <v>2016</v>
      </c>
      <c r="C16" s="335">
        <v>140848</v>
      </c>
      <c r="D16" s="335">
        <v>78372</v>
      </c>
      <c r="E16" s="335">
        <v>41941</v>
      </c>
      <c r="F16" s="335">
        <v>1375685</v>
      </c>
      <c r="G16" s="375"/>
    </row>
    <row r="17" spans="2:7">
      <c r="B17" s="38" t="s">
        <v>121</v>
      </c>
      <c r="C17" s="332">
        <f>C39/C16</f>
        <v>3.7656305709104172E-2</v>
      </c>
      <c r="D17" s="359">
        <f>C59/D16</f>
        <v>4.7032721952336098E-2</v>
      </c>
      <c r="E17" s="359">
        <f>C79/E16</f>
        <v>5.1339022545892232E-2</v>
      </c>
      <c r="F17" s="332">
        <f>C99/F16</f>
        <v>3.8248167496941751E-2</v>
      </c>
    </row>
    <row r="18" spans="2:7">
      <c r="B18" s="38" t="s">
        <v>122</v>
      </c>
      <c r="C18" s="334">
        <f>C27</f>
        <v>0.93973665280187002</v>
      </c>
      <c r="D18" s="334">
        <f>C47</f>
        <v>0.9634332180411973</v>
      </c>
      <c r="E18" s="334">
        <f>C67</f>
        <v>0.98585251632845661</v>
      </c>
      <c r="F18" s="334">
        <f>C87</f>
        <v>0.98873416353681609</v>
      </c>
    </row>
    <row r="19" spans="2:7">
      <c r="B19" s="376" t="s">
        <v>185</v>
      </c>
      <c r="C19" s="376"/>
      <c r="D19" s="376"/>
      <c r="E19" s="376"/>
      <c r="F19" s="376"/>
    </row>
    <row r="22" spans="2:7">
      <c r="B22" t="s">
        <v>152</v>
      </c>
    </row>
    <row r="23" spans="2:7" ht="15.75" thickBot="1"/>
    <row r="24" spans="2:7">
      <c r="B24" s="26" t="s">
        <v>124</v>
      </c>
      <c r="C24" s="26"/>
    </row>
    <row r="25" spans="2:7">
      <c r="B25" s="27" t="s">
        <v>125</v>
      </c>
      <c r="C25" s="27">
        <v>0.97284766549975787</v>
      </c>
    </row>
    <row r="26" spans="2:7">
      <c r="B26" s="27" t="s">
        <v>126</v>
      </c>
      <c r="C26" s="27">
        <v>0.94643258026832888</v>
      </c>
    </row>
    <row r="27" spans="2:7">
      <c r="B27" s="27" t="s">
        <v>127</v>
      </c>
      <c r="C27" s="27">
        <v>0.93973665280187002</v>
      </c>
    </row>
    <row r="28" spans="2:7">
      <c r="B28" s="27" t="s">
        <v>128</v>
      </c>
      <c r="C28" s="27">
        <v>4052.0602948703936</v>
      </c>
    </row>
    <row r="29" spans="2:7" ht="15.75" thickBot="1">
      <c r="B29" s="28" t="s">
        <v>129</v>
      </c>
      <c r="C29" s="28">
        <v>10</v>
      </c>
    </row>
    <row r="31" spans="2:7" ht="15.75" thickBot="1">
      <c r="B31" t="s">
        <v>130</v>
      </c>
    </row>
    <row r="32" spans="2:7">
      <c r="B32" s="29"/>
      <c r="C32" s="29" t="s">
        <v>131</v>
      </c>
      <c r="D32" s="29" t="s">
        <v>132</v>
      </c>
      <c r="E32" s="29" t="s">
        <v>133</v>
      </c>
      <c r="F32" s="29" t="s">
        <v>134</v>
      </c>
      <c r="G32" s="29" t="s">
        <v>135</v>
      </c>
    </row>
    <row r="33" spans="2:10">
      <c r="B33" s="27" t="s">
        <v>136</v>
      </c>
      <c r="C33" s="27">
        <v>1</v>
      </c>
      <c r="D33" s="27">
        <v>2320762721.4698539</v>
      </c>
      <c r="E33" s="27">
        <v>2320762721.4698539</v>
      </c>
      <c r="F33" s="27">
        <v>141.34450903316701</v>
      </c>
      <c r="G33" s="27">
        <v>2.3013643047424441E-6</v>
      </c>
    </row>
    <row r="34" spans="2:10">
      <c r="B34" s="27" t="s">
        <v>137</v>
      </c>
      <c r="C34" s="27">
        <v>8</v>
      </c>
      <c r="D34" s="27">
        <v>131353541.06612113</v>
      </c>
      <c r="E34" s="27">
        <v>16419192.633265141</v>
      </c>
      <c r="F34" s="27"/>
      <c r="G34" s="27"/>
    </row>
    <row r="35" spans="2:10" ht="15.75" thickBot="1">
      <c r="B35" s="28" t="s">
        <v>138</v>
      </c>
      <c r="C35" s="28">
        <v>9</v>
      </c>
      <c r="D35" s="28">
        <v>2452116262.535975</v>
      </c>
      <c r="E35" s="28"/>
      <c r="F35" s="28"/>
      <c r="G35" s="28"/>
    </row>
    <row r="36" spans="2:10" ht="15.75" thickBot="1"/>
    <row r="37" spans="2:10">
      <c r="B37" s="29"/>
      <c r="C37" s="29" t="s">
        <v>139</v>
      </c>
      <c r="D37" s="29" t="s">
        <v>128</v>
      </c>
      <c r="E37" s="29" t="s">
        <v>140</v>
      </c>
      <c r="F37" s="29" t="s">
        <v>141</v>
      </c>
      <c r="G37" s="29" t="s">
        <v>142</v>
      </c>
      <c r="H37" s="29" t="s">
        <v>143</v>
      </c>
      <c r="I37" s="29" t="s">
        <v>144</v>
      </c>
      <c r="J37" s="29" t="s">
        <v>145</v>
      </c>
    </row>
    <row r="38" spans="2:10">
      <c r="B38" s="27" t="s">
        <v>146</v>
      </c>
      <c r="C38" s="27">
        <v>-10548007.743575292</v>
      </c>
      <c r="D38" s="27">
        <v>897365.57390022592</v>
      </c>
      <c r="E38" s="27">
        <v>-11.754415424842314</v>
      </c>
      <c r="F38" s="27">
        <v>2.5093759522081601E-6</v>
      </c>
      <c r="G38" s="27">
        <v>-12617336.467779074</v>
      </c>
      <c r="H38" s="27">
        <v>-8478679.0193715096</v>
      </c>
      <c r="I38" s="27">
        <v>-12617336.467779074</v>
      </c>
      <c r="J38" s="27">
        <v>-8478679.0193715096</v>
      </c>
    </row>
    <row r="39" spans="2:10" ht="15.75" thickBot="1">
      <c r="B39" s="28" t="s">
        <v>115</v>
      </c>
      <c r="C39" s="28">
        <v>5303.8153465159048</v>
      </c>
      <c r="D39" s="28">
        <v>446.11715587595398</v>
      </c>
      <c r="E39" s="28">
        <v>11.888839684055252</v>
      </c>
      <c r="F39" s="28">
        <v>2.3013643047424441E-6</v>
      </c>
      <c r="G39" s="28">
        <v>4275.0673402804332</v>
      </c>
      <c r="H39" s="28">
        <v>6332.5633527513764</v>
      </c>
      <c r="I39" s="28">
        <v>4275.0673402804332</v>
      </c>
      <c r="J39" s="28">
        <v>6332.5633527513764</v>
      </c>
    </row>
    <row r="42" spans="2:10">
      <c r="B42" t="s">
        <v>153</v>
      </c>
    </row>
    <row r="43" spans="2:10" ht="15.75" thickBot="1"/>
    <row r="44" spans="2:10">
      <c r="B44" s="26" t="s">
        <v>124</v>
      </c>
      <c r="C44" s="26"/>
    </row>
    <row r="45" spans="2:10">
      <c r="B45" s="27" t="s">
        <v>125</v>
      </c>
      <c r="C45" s="27">
        <v>0.9836138438505212</v>
      </c>
    </row>
    <row r="46" spans="2:10">
      <c r="B46" s="27" t="s">
        <v>126</v>
      </c>
      <c r="C46" s="27">
        <v>0.96749619381439755</v>
      </c>
    </row>
    <row r="47" spans="2:10">
      <c r="B47" s="27" t="s">
        <v>127</v>
      </c>
      <c r="C47" s="27">
        <v>0.9634332180411973</v>
      </c>
    </row>
    <row r="48" spans="2:10">
      <c r="B48" s="27" t="s">
        <v>128</v>
      </c>
      <c r="C48" s="27">
        <v>2169.6291217066532</v>
      </c>
    </row>
    <row r="49" spans="2:10" ht="15.75" thickBot="1">
      <c r="B49" s="28" t="s">
        <v>129</v>
      </c>
      <c r="C49" s="28">
        <v>10</v>
      </c>
    </row>
    <row r="51" spans="2:10" ht="15.75" thickBot="1">
      <c r="B51" t="s">
        <v>130</v>
      </c>
    </row>
    <row r="52" spans="2:10">
      <c r="B52" s="29"/>
      <c r="C52" s="29" t="s">
        <v>131</v>
      </c>
      <c r="D52" s="29" t="s">
        <v>132</v>
      </c>
      <c r="E52" s="29" t="s">
        <v>133</v>
      </c>
      <c r="F52" s="29" t="s">
        <v>134</v>
      </c>
      <c r="G52" s="29" t="s">
        <v>135</v>
      </c>
    </row>
    <row r="53" spans="2:10">
      <c r="B53" s="27" t="s">
        <v>136</v>
      </c>
      <c r="C53" s="27">
        <v>1</v>
      </c>
      <c r="D53" s="27">
        <v>1120923658.1939394</v>
      </c>
      <c r="E53" s="27">
        <v>1120923658.1939394</v>
      </c>
      <c r="F53" s="27">
        <v>238.12502161496391</v>
      </c>
      <c r="G53" s="27">
        <v>3.0925801771084414E-7</v>
      </c>
    </row>
    <row r="54" spans="2:10">
      <c r="B54" s="27" t="s">
        <v>137</v>
      </c>
      <c r="C54" s="27">
        <v>8</v>
      </c>
      <c r="D54" s="27">
        <v>37658324.20606067</v>
      </c>
      <c r="E54" s="27">
        <v>4707290.5257575838</v>
      </c>
      <c r="F54" s="27"/>
      <c r="G54" s="27"/>
    </row>
    <row r="55" spans="2:10" ht="15.75" thickBot="1">
      <c r="B55" s="28" t="s">
        <v>138</v>
      </c>
      <c r="C55" s="28">
        <v>9</v>
      </c>
      <c r="D55" s="28">
        <v>1158581982.4000001</v>
      </c>
      <c r="E55" s="28"/>
      <c r="F55" s="28"/>
      <c r="G55" s="28"/>
    </row>
    <row r="56" spans="2:10" ht="15.75" thickBot="1"/>
    <row r="57" spans="2:10">
      <c r="B57" s="29"/>
      <c r="C57" s="29" t="s">
        <v>139</v>
      </c>
      <c r="D57" s="29" t="s">
        <v>128</v>
      </c>
      <c r="E57" s="29" t="s">
        <v>140</v>
      </c>
      <c r="F57" s="29" t="s">
        <v>141</v>
      </c>
      <c r="G57" s="29" t="s">
        <v>142</v>
      </c>
      <c r="H57" s="29" t="s">
        <v>143</v>
      </c>
      <c r="I57" s="29" t="s">
        <v>144</v>
      </c>
      <c r="J57" s="29" t="s">
        <v>145</v>
      </c>
    </row>
    <row r="58" spans="2:10">
      <c r="B58" s="27" t="s">
        <v>146</v>
      </c>
      <c r="C58" s="27">
        <v>-7356609.127272727</v>
      </c>
      <c r="D58" s="27">
        <v>480484.08470516303</v>
      </c>
      <c r="E58" s="27">
        <v>-15.310827895136059</v>
      </c>
      <c r="F58" s="27">
        <v>3.2866131565495048E-7</v>
      </c>
      <c r="G58" s="27">
        <v>-8464607.4135026224</v>
      </c>
      <c r="H58" s="27">
        <v>-6248610.8410428315</v>
      </c>
      <c r="I58" s="27">
        <v>-8464607.4135026224</v>
      </c>
      <c r="J58" s="27">
        <v>-6248610.8410428315</v>
      </c>
    </row>
    <row r="59" spans="2:10" ht="15.75" thickBot="1">
      <c r="B59" s="28" t="s">
        <v>115</v>
      </c>
      <c r="C59" s="28">
        <v>3686.0484848484848</v>
      </c>
      <c r="D59" s="28">
        <v>238.86830467619561</v>
      </c>
      <c r="E59" s="28">
        <v>15.431300062372058</v>
      </c>
      <c r="F59" s="28">
        <v>3.0925801771084414E-7</v>
      </c>
      <c r="G59" s="28">
        <v>3135.2171864959687</v>
      </c>
      <c r="H59" s="28">
        <v>4236.8797832010005</v>
      </c>
      <c r="I59" s="28">
        <v>3135.2171864959687</v>
      </c>
      <c r="J59" s="28">
        <v>4236.8797832010005</v>
      </c>
    </row>
    <row r="62" spans="2:10">
      <c r="B62" t="s">
        <v>148</v>
      </c>
    </row>
    <row r="63" spans="2:10" ht="15.75" thickBot="1"/>
    <row r="64" spans="2:10">
      <c r="B64" s="26" t="s">
        <v>124</v>
      </c>
      <c r="C64" s="26"/>
    </row>
    <row r="65" spans="2:10">
      <c r="B65" s="27" t="s">
        <v>125</v>
      </c>
      <c r="C65" s="27">
        <v>0.99369233616780406</v>
      </c>
    </row>
    <row r="66" spans="2:10">
      <c r="B66" s="27" t="s">
        <v>126</v>
      </c>
      <c r="C66" s="27">
        <v>0.98742445895862818</v>
      </c>
    </row>
    <row r="67" spans="2:10">
      <c r="B67" s="27" t="s">
        <v>127</v>
      </c>
      <c r="C67" s="27">
        <v>0.98585251632845661</v>
      </c>
    </row>
    <row r="68" spans="2:10">
      <c r="B68" s="27" t="s">
        <v>128</v>
      </c>
      <c r="C68" s="27">
        <v>780.33261075841949</v>
      </c>
    </row>
    <row r="69" spans="2:10" ht="15.75" thickBot="1">
      <c r="B69" s="28" t="s">
        <v>129</v>
      </c>
      <c r="C69" s="28">
        <v>10</v>
      </c>
    </row>
    <row r="71" spans="2:10" ht="15.75" thickBot="1">
      <c r="B71" t="s">
        <v>130</v>
      </c>
    </row>
    <row r="72" spans="2:10">
      <c r="B72" s="29"/>
      <c r="C72" s="29" t="s">
        <v>131</v>
      </c>
      <c r="D72" s="29" t="s">
        <v>132</v>
      </c>
      <c r="E72" s="29" t="s">
        <v>133</v>
      </c>
      <c r="F72" s="29" t="s">
        <v>134</v>
      </c>
      <c r="G72" s="29" t="s">
        <v>135</v>
      </c>
    </row>
    <row r="73" spans="2:10">
      <c r="B73" s="27" t="s">
        <v>136</v>
      </c>
      <c r="C73" s="27">
        <v>1</v>
      </c>
      <c r="D73" s="27">
        <v>382495827.90478629</v>
      </c>
      <c r="E73" s="27">
        <v>382495827.90478629</v>
      </c>
      <c r="F73" s="27">
        <v>628.15553189171317</v>
      </c>
      <c r="G73" s="27">
        <v>6.8732342953081712E-9</v>
      </c>
    </row>
    <row r="74" spans="2:10">
      <c r="B74" s="27" t="s">
        <v>137</v>
      </c>
      <c r="C74" s="27">
        <v>8</v>
      </c>
      <c r="D74" s="27">
        <v>4871351.867304408</v>
      </c>
      <c r="E74" s="27">
        <v>608918.983413051</v>
      </c>
      <c r="F74" s="27"/>
      <c r="G74" s="27"/>
    </row>
    <row r="75" spans="2:10" ht="15.75" thickBot="1">
      <c r="B75" s="28" t="s">
        <v>138</v>
      </c>
      <c r="C75" s="28">
        <v>9</v>
      </c>
      <c r="D75" s="28">
        <v>387367179.77209067</v>
      </c>
      <c r="E75" s="28"/>
      <c r="F75" s="28"/>
      <c r="G75" s="28"/>
    </row>
    <row r="76" spans="2:10" ht="15.75" thickBot="1"/>
    <row r="77" spans="2:10">
      <c r="B77" s="29"/>
      <c r="C77" s="29" t="s">
        <v>139</v>
      </c>
      <c r="D77" s="29" t="s">
        <v>128</v>
      </c>
      <c r="E77" s="29" t="s">
        <v>140</v>
      </c>
      <c r="F77" s="29" t="s">
        <v>141</v>
      </c>
      <c r="G77" s="29" t="s">
        <v>142</v>
      </c>
      <c r="H77" s="29" t="s">
        <v>143</v>
      </c>
      <c r="I77" s="29" t="s">
        <v>144</v>
      </c>
      <c r="J77" s="29" t="s">
        <v>145</v>
      </c>
    </row>
    <row r="78" spans="2:10">
      <c r="B78" s="27" t="s">
        <v>146</v>
      </c>
      <c r="C78" s="27">
        <v>-4298072.5634811791</v>
      </c>
      <c r="D78" s="27">
        <v>172811.74763681254</v>
      </c>
      <c r="E78" s="27">
        <v>-24.871414254279546</v>
      </c>
      <c r="F78" s="27">
        <v>7.3033463742461019E-9</v>
      </c>
      <c r="G78" s="27">
        <v>-4696577.1681435276</v>
      </c>
      <c r="H78" s="27">
        <v>-3899567.9588188305</v>
      </c>
      <c r="I78" s="27">
        <v>-4696577.1681435276</v>
      </c>
      <c r="J78" s="27">
        <v>-3899567.9588188305</v>
      </c>
    </row>
    <row r="79" spans="2:10" ht="15.75" thickBot="1">
      <c r="B79" s="28" t="s">
        <v>115</v>
      </c>
      <c r="C79" s="28">
        <v>2153.2099445972663</v>
      </c>
      <c r="D79" s="28">
        <v>85.911792919147231</v>
      </c>
      <c r="E79" s="28">
        <v>25.063031179243129</v>
      </c>
      <c r="F79" s="28">
        <v>6.8732342953081712E-9</v>
      </c>
      <c r="G79" s="28">
        <v>1955.0969948629086</v>
      </c>
      <c r="H79" s="28">
        <v>2351.322894331624</v>
      </c>
      <c r="I79" s="28">
        <v>1955.0969948629086</v>
      </c>
      <c r="J79" s="28">
        <v>2351.322894331624</v>
      </c>
    </row>
    <row r="82" spans="2:7">
      <c r="B82" t="s">
        <v>150</v>
      </c>
    </row>
    <row r="83" spans="2:7" ht="15.75" thickBot="1"/>
    <row r="84" spans="2:7">
      <c r="B84" s="26" t="s">
        <v>124</v>
      </c>
      <c r="C84" s="26"/>
    </row>
    <row r="85" spans="2:7">
      <c r="B85" s="27" t="s">
        <v>125</v>
      </c>
      <c r="C85" s="27">
        <v>0.99498036319509164</v>
      </c>
    </row>
    <row r="86" spans="2:7">
      <c r="B86" s="27" t="s">
        <v>126</v>
      </c>
      <c r="C86" s="27">
        <v>0.98998592314383649</v>
      </c>
    </row>
    <row r="87" spans="2:7">
      <c r="B87" s="27" t="s">
        <v>127</v>
      </c>
      <c r="C87" s="27">
        <v>0.98873416353681609</v>
      </c>
    </row>
    <row r="88" spans="2:7">
      <c r="B88" s="27" t="s">
        <v>128</v>
      </c>
      <c r="C88" s="27">
        <v>16994.272026274924</v>
      </c>
    </row>
    <row r="89" spans="2:7" ht="15.75" thickBot="1">
      <c r="B89" s="28" t="s">
        <v>129</v>
      </c>
      <c r="C89" s="28">
        <v>10</v>
      </c>
    </row>
    <row r="91" spans="2:7" ht="15.75" thickBot="1">
      <c r="B91" t="s">
        <v>130</v>
      </c>
    </row>
    <row r="92" spans="2:7">
      <c r="B92" s="29"/>
      <c r="C92" s="29" t="s">
        <v>131</v>
      </c>
      <c r="D92" s="29" t="s">
        <v>132</v>
      </c>
      <c r="E92" s="29" t="s">
        <v>133</v>
      </c>
      <c r="F92" s="29" t="s">
        <v>134</v>
      </c>
      <c r="G92" s="29" t="s">
        <v>135</v>
      </c>
    </row>
    <row r="93" spans="2:7">
      <c r="B93" s="27" t="s">
        <v>136</v>
      </c>
      <c r="C93" s="27">
        <v>1</v>
      </c>
      <c r="D93" s="27">
        <v>228409002664.77579</v>
      </c>
      <c r="E93" s="27">
        <v>228409002664.77579</v>
      </c>
      <c r="F93" s="27">
        <v>790.87543454153911</v>
      </c>
      <c r="G93" s="27">
        <v>2.7608882377798712E-9</v>
      </c>
    </row>
    <row r="94" spans="2:7">
      <c r="B94" s="27" t="s">
        <v>137</v>
      </c>
      <c r="C94" s="27">
        <v>8</v>
      </c>
      <c r="D94" s="27">
        <v>2310442253.6242433</v>
      </c>
      <c r="E94" s="27">
        <v>288805281.70303041</v>
      </c>
      <c r="F94" s="27"/>
      <c r="G94" s="27"/>
    </row>
    <row r="95" spans="2:7" ht="15.75" thickBot="1">
      <c r="B95" s="28" t="s">
        <v>138</v>
      </c>
      <c r="C95" s="28">
        <v>9</v>
      </c>
      <c r="D95" s="28">
        <v>230719444918.40002</v>
      </c>
      <c r="E95" s="28"/>
      <c r="F95" s="28"/>
      <c r="G95" s="28"/>
    </row>
    <row r="96" spans="2:7" ht="15.75" thickBot="1"/>
    <row r="97" spans="2:10">
      <c r="B97" s="29"/>
      <c r="C97" s="29" t="s">
        <v>139</v>
      </c>
      <c r="D97" s="29" t="s">
        <v>128</v>
      </c>
      <c r="E97" s="29" t="s">
        <v>140</v>
      </c>
      <c r="F97" s="29" t="s">
        <v>141</v>
      </c>
      <c r="G97" s="29" t="s">
        <v>142</v>
      </c>
      <c r="H97" s="29" t="s">
        <v>143</v>
      </c>
      <c r="I97" s="29" t="s">
        <v>144</v>
      </c>
      <c r="J97" s="29" t="s">
        <v>145</v>
      </c>
    </row>
    <row r="98" spans="2:10">
      <c r="B98" s="27" t="s">
        <v>146</v>
      </c>
      <c r="C98" s="27">
        <v>-104731268.65454547</v>
      </c>
      <c r="D98" s="27">
        <v>3763535.9693882661</v>
      </c>
      <c r="E98" s="27">
        <v>-27.827890979760912</v>
      </c>
      <c r="F98" s="27">
        <v>3.0012732164944766E-9</v>
      </c>
      <c r="G98" s="27">
        <v>-113409998.16294444</v>
      </c>
      <c r="H98" s="27">
        <v>-96052539.146146506</v>
      </c>
      <c r="I98" s="27">
        <v>-113409998.16294444</v>
      </c>
      <c r="J98" s="27">
        <v>-96052539.146146506</v>
      </c>
    </row>
    <row r="99" spans="2:10" ht="15.75" thickBot="1">
      <c r="B99" s="28" t="s">
        <v>115</v>
      </c>
      <c r="C99" s="28">
        <v>52617.430303030313</v>
      </c>
      <c r="D99" s="28">
        <v>1871.0077715629227</v>
      </c>
      <c r="E99" s="28">
        <v>28.122507614747644</v>
      </c>
      <c r="F99" s="28">
        <v>2.7608882377798712E-9</v>
      </c>
      <c r="G99" s="28">
        <v>48302.878644807082</v>
      </c>
      <c r="H99" s="28">
        <v>56931.981961253543</v>
      </c>
      <c r="I99" s="28">
        <v>48302.878644807082</v>
      </c>
      <c r="J99" s="28">
        <v>56931.981961253543</v>
      </c>
    </row>
    <row r="102" spans="2:10">
      <c r="B102" s="21" t="s">
        <v>154</v>
      </c>
    </row>
    <row r="103" spans="2:10" ht="15.75" thickBot="1"/>
    <row r="104" spans="2:10">
      <c r="B104" s="26" t="s">
        <v>124</v>
      </c>
      <c r="C104" s="26"/>
    </row>
    <row r="105" spans="2:10">
      <c r="B105" s="27" t="s">
        <v>125</v>
      </c>
      <c r="C105" s="27">
        <v>0.99137620879409816</v>
      </c>
    </row>
    <row r="106" spans="2:10">
      <c r="B106" s="27" t="s">
        <v>126</v>
      </c>
      <c r="C106" s="27">
        <v>0.98282678736295936</v>
      </c>
    </row>
    <row r="107" spans="2:10">
      <c r="B107" s="27" t="s">
        <v>127</v>
      </c>
      <c r="C107" s="27">
        <v>0.97424018104443899</v>
      </c>
    </row>
    <row r="108" spans="2:10">
      <c r="B108" s="27" t="s">
        <v>128</v>
      </c>
      <c r="C108" s="27">
        <v>817.87951435404113</v>
      </c>
    </row>
    <row r="109" spans="2:10" ht="15.75" thickBot="1">
      <c r="B109" s="28" t="s">
        <v>129</v>
      </c>
      <c r="C109" s="28">
        <v>4</v>
      </c>
    </row>
    <row r="111" spans="2:10" ht="15.75" thickBot="1">
      <c r="B111" t="s">
        <v>130</v>
      </c>
    </row>
    <row r="112" spans="2:10">
      <c r="B112" s="29"/>
      <c r="C112" s="29" t="s">
        <v>131</v>
      </c>
      <c r="D112" s="29" t="s">
        <v>132</v>
      </c>
      <c r="E112" s="29" t="s">
        <v>133</v>
      </c>
      <c r="F112" s="29" t="s">
        <v>134</v>
      </c>
      <c r="G112" s="29" t="s">
        <v>135</v>
      </c>
    </row>
    <row r="113" spans="2:10">
      <c r="B113" s="27" t="s">
        <v>136</v>
      </c>
      <c r="C113" s="27">
        <v>1</v>
      </c>
      <c r="D113" s="27">
        <v>76565671.199999988</v>
      </c>
      <c r="E113" s="27">
        <v>76565671.199999988</v>
      </c>
      <c r="F113" s="27">
        <v>114.46044582748837</v>
      </c>
      <c r="G113" s="27">
        <v>8.62379120590177E-3</v>
      </c>
    </row>
    <row r="114" spans="2:10">
      <c r="B114" s="27" t="s">
        <v>137</v>
      </c>
      <c r="C114" s="27">
        <v>2</v>
      </c>
      <c r="D114" s="27">
        <v>1337853.8000000045</v>
      </c>
      <c r="E114" s="27">
        <v>668926.90000000224</v>
      </c>
      <c r="F114" s="27"/>
      <c r="G114" s="27"/>
    </row>
    <row r="115" spans="2:10" ht="15.75" thickBot="1">
      <c r="B115" s="28" t="s">
        <v>138</v>
      </c>
      <c r="C115" s="28">
        <v>3</v>
      </c>
      <c r="D115" s="28">
        <v>77903525</v>
      </c>
      <c r="E115" s="28"/>
      <c r="F115" s="28"/>
      <c r="G115" s="28"/>
    </row>
    <row r="116" spans="2:10" ht="15.75" thickBot="1"/>
    <row r="117" spans="2:10">
      <c r="B117" s="29"/>
      <c r="C117" s="29" t="s">
        <v>139</v>
      </c>
      <c r="D117" s="29" t="s">
        <v>128</v>
      </c>
      <c r="E117" s="29" t="s">
        <v>140</v>
      </c>
      <c r="F117" s="29" t="s">
        <v>141</v>
      </c>
      <c r="G117" s="29" t="s">
        <v>142</v>
      </c>
      <c r="H117" s="29" t="s">
        <v>143</v>
      </c>
      <c r="I117" s="29" t="s">
        <v>144</v>
      </c>
      <c r="J117" s="29" t="s">
        <v>145</v>
      </c>
    </row>
    <row r="118" spans="2:10">
      <c r="B118" s="27" t="s">
        <v>146</v>
      </c>
      <c r="C118" s="27">
        <v>-7748326.9000000022</v>
      </c>
      <c r="D118" s="27">
        <v>736837.4092348133</v>
      </c>
      <c r="E118" s="27">
        <v>-10.515653525309526</v>
      </c>
      <c r="F118" s="27">
        <v>8.9224588707778295E-3</v>
      </c>
      <c r="G118" s="27">
        <v>-10918682.390225694</v>
      </c>
      <c r="H118" s="27">
        <v>-4577971.40977431</v>
      </c>
      <c r="I118" s="27">
        <v>-10918682.390225694</v>
      </c>
      <c r="J118" s="27">
        <v>-4577971.40977431</v>
      </c>
    </row>
    <row r="119" spans="2:10" ht="15.75" thickBot="1">
      <c r="B119" s="28" t="s">
        <v>155</v>
      </c>
      <c r="C119" s="28">
        <v>3913.2000000000012</v>
      </c>
      <c r="D119" s="28">
        <v>365.7668383000302</v>
      </c>
      <c r="E119" s="28">
        <v>10.698618874765494</v>
      </c>
      <c r="F119" s="28">
        <v>8.6237912059017631E-3</v>
      </c>
      <c r="G119" s="28">
        <v>2339.4323147365458</v>
      </c>
      <c r="H119" s="28">
        <v>5486.9676852634566</v>
      </c>
      <c r="I119" s="28">
        <v>2339.4323147365458</v>
      </c>
      <c r="J119" s="28">
        <v>5486.9676852634566</v>
      </c>
    </row>
    <row r="121" spans="2:10">
      <c r="B121" t="s">
        <v>149</v>
      </c>
    </row>
    <row r="122" spans="2:10" ht="15.75" thickBot="1"/>
    <row r="123" spans="2:10">
      <c r="B123" s="26" t="s">
        <v>124</v>
      </c>
      <c r="C123" s="26"/>
    </row>
    <row r="124" spans="2:10">
      <c r="B124" s="27" t="s">
        <v>125</v>
      </c>
      <c r="C124" s="27">
        <v>0.98864606479511929</v>
      </c>
    </row>
    <row r="125" spans="2:10">
      <c r="B125" s="27" t="s">
        <v>126</v>
      </c>
      <c r="C125" s="27">
        <v>0.97742104143487529</v>
      </c>
    </row>
    <row r="126" spans="2:10">
      <c r="B126" s="27" t="s">
        <v>127</v>
      </c>
      <c r="C126" s="27">
        <v>0.95484208286975059</v>
      </c>
    </row>
    <row r="127" spans="2:10">
      <c r="B127" s="27" t="s">
        <v>128</v>
      </c>
      <c r="C127" s="27">
        <v>10214.37222740586</v>
      </c>
    </row>
    <row r="128" spans="2:10" ht="15.75" thickBot="1">
      <c r="B128" s="28" t="s">
        <v>129</v>
      </c>
      <c r="C128" s="28">
        <v>3</v>
      </c>
    </row>
    <row r="130" spans="2:10" ht="15.75" thickBot="1">
      <c r="B130" t="s">
        <v>130</v>
      </c>
    </row>
    <row r="131" spans="2:10">
      <c r="B131" s="29"/>
      <c r="C131" s="29" t="s">
        <v>131</v>
      </c>
      <c r="D131" s="29" t="s">
        <v>132</v>
      </c>
      <c r="E131" s="29" t="s">
        <v>133</v>
      </c>
      <c r="F131" s="29" t="s">
        <v>134</v>
      </c>
      <c r="G131" s="29" t="s">
        <v>135</v>
      </c>
    </row>
    <row r="132" spans="2:10">
      <c r="B132" s="27" t="s">
        <v>136</v>
      </c>
      <c r="C132" s="27">
        <v>1</v>
      </c>
      <c r="D132" s="27">
        <v>4516490882</v>
      </c>
      <c r="E132" s="27">
        <v>4516490882</v>
      </c>
      <c r="F132" s="27">
        <v>43.289022326503243</v>
      </c>
      <c r="G132" s="27">
        <v>9.6024067232128571E-2</v>
      </c>
    </row>
    <row r="133" spans="2:10">
      <c r="B133" s="27" t="s">
        <v>137</v>
      </c>
      <c r="C133" s="27">
        <v>1</v>
      </c>
      <c r="D133" s="27">
        <v>104333400.00000015</v>
      </c>
      <c r="E133" s="27">
        <v>104333400.00000015</v>
      </c>
      <c r="F133" s="27"/>
      <c r="G133" s="27"/>
    </row>
    <row r="134" spans="2:10" ht="15.75" thickBot="1">
      <c r="B134" s="28" t="s">
        <v>138</v>
      </c>
      <c r="C134" s="28">
        <v>2</v>
      </c>
      <c r="D134" s="28">
        <v>4620824282</v>
      </c>
      <c r="E134" s="28"/>
      <c r="F134" s="28"/>
      <c r="G134" s="28"/>
    </row>
    <row r="135" spans="2:10" ht="15.75" thickBot="1"/>
    <row r="136" spans="2:10">
      <c r="B136" s="29"/>
      <c r="C136" s="29" t="s">
        <v>139</v>
      </c>
      <c r="D136" s="29" t="s">
        <v>128</v>
      </c>
      <c r="E136" s="29" t="s">
        <v>140</v>
      </c>
      <c r="F136" s="29" t="s">
        <v>141</v>
      </c>
      <c r="G136" s="29" t="s">
        <v>142</v>
      </c>
      <c r="H136" s="29" t="s">
        <v>143</v>
      </c>
      <c r="I136" s="29" t="s">
        <v>144</v>
      </c>
      <c r="J136" s="29" t="s">
        <v>145</v>
      </c>
    </row>
    <row r="137" spans="2:10">
      <c r="B137" s="27" t="s">
        <v>146</v>
      </c>
      <c r="C137" s="27">
        <v>-94362210.999999985</v>
      </c>
      <c r="D137" s="27">
        <v>14582535.313055143</v>
      </c>
      <c r="E137" s="27">
        <v>-6.4709057083867565</v>
      </c>
      <c r="F137" s="27">
        <v>9.7609715783556553E-2</v>
      </c>
      <c r="G137" s="27">
        <v>-279650890.26017612</v>
      </c>
      <c r="H137" s="27">
        <v>90926468.260176167</v>
      </c>
      <c r="I137" s="27">
        <v>-279650890.26017612</v>
      </c>
      <c r="J137" s="27">
        <v>90926468.260176167</v>
      </c>
    </row>
    <row r="138" spans="2:10" ht="15.75" thickBot="1">
      <c r="B138" s="28" t="s">
        <v>155</v>
      </c>
      <c r="C138" s="28">
        <v>47520.999999999993</v>
      </c>
      <c r="D138" s="28">
        <v>7222.6518675622228</v>
      </c>
      <c r="E138" s="28">
        <v>6.5794393626283414</v>
      </c>
      <c r="F138" s="28">
        <v>9.6024067232128571E-2</v>
      </c>
      <c r="G138" s="28">
        <v>-44251.493367360214</v>
      </c>
      <c r="H138" s="28">
        <v>139293.49336736021</v>
      </c>
      <c r="I138" s="28">
        <v>-44251.493367360214</v>
      </c>
      <c r="J138" s="28">
        <v>139293.49336736021</v>
      </c>
    </row>
  </sheetData>
  <mergeCells count="2">
    <mergeCell ref="G6:G16"/>
    <mergeCell ref="B19:F19"/>
  </mergeCells>
  <printOptions horizontalCentered="1"/>
  <pageMargins left="0.7" right="0.7" top="0.75" bottom="0.75" header="0.3" footer="0.3"/>
  <pageSetup scale="95" orientation="landscape" r:id="rId1"/>
  <headerFooter>
    <oddHeader>&amp;R&amp;"Times New Roman,Regular"Exh. CSH-5
                Dockets UE-170485/UG-170486
                Page &amp;P of &amp;N</oddHeader>
  </headerFooter>
  <colBreaks count="1" manualBreakCount="1">
    <brk id="8" max="13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view="pageBreakPreview" zoomScale="60" zoomScaleNormal="100" workbookViewId="0">
      <selection activeCell="O17" sqref="O17"/>
    </sheetView>
  </sheetViews>
  <sheetFormatPr defaultRowHeight="15"/>
  <cols>
    <col min="2" max="2" width="27" customWidth="1"/>
    <col min="3" max="4" width="18.42578125" customWidth="1"/>
    <col min="5" max="5" width="18.28515625" customWidth="1"/>
    <col min="6" max="6" width="18.42578125" customWidth="1"/>
  </cols>
  <sheetData>
    <row r="1" spans="1:7">
      <c r="A1" s="2" t="s">
        <v>0</v>
      </c>
    </row>
    <row r="2" spans="1:7">
      <c r="A2" s="2" t="s">
        <v>157</v>
      </c>
    </row>
    <row r="3" spans="1:7">
      <c r="A3" s="2" t="s">
        <v>151</v>
      </c>
    </row>
    <row r="6" spans="1:7" ht="45" customHeight="1">
      <c r="B6" s="328" t="s">
        <v>115</v>
      </c>
      <c r="C6" s="328" t="s">
        <v>116</v>
      </c>
      <c r="D6" s="328" t="s">
        <v>117</v>
      </c>
      <c r="E6" s="328" t="s">
        <v>118</v>
      </c>
      <c r="F6" s="328" t="s">
        <v>119</v>
      </c>
      <c r="G6" s="373" t="s">
        <v>120</v>
      </c>
    </row>
    <row r="7" spans="1:7">
      <c r="B7" s="40">
        <v>2007</v>
      </c>
      <c r="C7" s="336">
        <v>21295</v>
      </c>
      <c r="D7" s="336">
        <v>7413</v>
      </c>
      <c r="E7" s="336">
        <v>3541</v>
      </c>
      <c r="F7" s="336">
        <v>145500</v>
      </c>
      <c r="G7" s="374"/>
    </row>
    <row r="8" spans="1:7">
      <c r="B8" s="40">
        <v>2008</v>
      </c>
      <c r="C8" s="336">
        <v>21882</v>
      </c>
      <c r="D8" s="336">
        <v>7752</v>
      </c>
      <c r="E8" s="336">
        <v>2961</v>
      </c>
      <c r="F8" s="336">
        <v>154054</v>
      </c>
      <c r="G8" s="374"/>
    </row>
    <row r="9" spans="1:7">
      <c r="B9" s="40">
        <v>2009</v>
      </c>
      <c r="C9" s="336">
        <v>24672</v>
      </c>
      <c r="D9" s="336">
        <v>8456</v>
      </c>
      <c r="E9" s="336">
        <v>3728</v>
      </c>
      <c r="F9" s="336">
        <v>173806</v>
      </c>
      <c r="G9" s="374"/>
    </row>
    <row r="10" spans="1:7">
      <c r="B10" s="40">
        <v>2010</v>
      </c>
      <c r="C10" s="336">
        <v>26059</v>
      </c>
      <c r="D10" s="336">
        <v>9127</v>
      </c>
      <c r="E10" s="336">
        <v>3834</v>
      </c>
      <c r="F10" s="336">
        <v>177901</v>
      </c>
      <c r="G10" s="374"/>
    </row>
    <row r="11" spans="1:7">
      <c r="B11" s="40">
        <v>2011</v>
      </c>
      <c r="C11" s="336">
        <v>27903.852941999998</v>
      </c>
      <c r="D11" s="336">
        <v>9778</v>
      </c>
      <c r="E11" s="336">
        <v>4316.6743270000006</v>
      </c>
      <c r="F11" s="336">
        <v>183553</v>
      </c>
      <c r="G11" s="374"/>
    </row>
    <row r="12" spans="1:7">
      <c r="B12" s="40">
        <v>2012</v>
      </c>
      <c r="C12" s="336">
        <v>30804</v>
      </c>
      <c r="D12" s="336">
        <v>10692</v>
      </c>
      <c r="E12" s="336">
        <v>4592</v>
      </c>
      <c r="F12" s="336">
        <v>195287</v>
      </c>
      <c r="G12" s="374"/>
    </row>
    <row r="13" spans="1:7">
      <c r="B13" s="40">
        <v>2013</v>
      </c>
      <c r="C13" s="336">
        <v>31100</v>
      </c>
      <c r="D13" s="336">
        <v>12173</v>
      </c>
      <c r="E13" s="336">
        <v>5191</v>
      </c>
      <c r="F13" s="336">
        <v>207759</v>
      </c>
      <c r="G13" s="374"/>
    </row>
    <row r="14" spans="1:7">
      <c r="B14" s="40">
        <v>2014</v>
      </c>
      <c r="C14" s="336">
        <v>31524</v>
      </c>
      <c r="D14" s="336">
        <v>13304</v>
      </c>
      <c r="E14" s="336">
        <v>5523</v>
      </c>
      <c r="F14" s="336">
        <v>225901</v>
      </c>
      <c r="G14" s="374"/>
    </row>
    <row r="15" spans="1:7">
      <c r="B15" s="40">
        <v>2015</v>
      </c>
      <c r="C15" s="336">
        <v>34918</v>
      </c>
      <c r="D15" s="336">
        <v>15176</v>
      </c>
      <c r="E15" s="336">
        <v>5553</v>
      </c>
      <c r="F15" s="336">
        <v>244647</v>
      </c>
      <c r="G15" s="374"/>
    </row>
    <row r="16" spans="1:7">
      <c r="B16" s="40">
        <v>2016</v>
      </c>
      <c r="C16" s="336">
        <v>34606</v>
      </c>
      <c r="D16" s="336">
        <v>16618</v>
      </c>
      <c r="E16" s="336">
        <v>6045</v>
      </c>
      <c r="F16" s="336">
        <v>262930</v>
      </c>
      <c r="G16" s="375"/>
    </row>
    <row r="17" spans="2:7">
      <c r="B17" s="38" t="s">
        <v>121</v>
      </c>
      <c r="C17" s="332">
        <f>C39/C16</f>
        <v>4.6118145050691881E-2</v>
      </c>
      <c r="D17" s="359">
        <f>C59/D16</f>
        <v>6.1672811883426916E-2</v>
      </c>
      <c r="E17" s="359">
        <f>C79/E16</f>
        <v>5.414073807353937E-2</v>
      </c>
      <c r="F17" s="332">
        <f>C99/F16</f>
        <v>4.7317675288618133E-2</v>
      </c>
    </row>
    <row r="18" spans="2:7">
      <c r="B18" s="38" t="s">
        <v>122</v>
      </c>
      <c r="C18" s="334">
        <f>C27</f>
        <v>0.96764331827204497</v>
      </c>
      <c r="D18" s="334">
        <f>C47</f>
        <v>0.95048575274978209</v>
      </c>
      <c r="E18" s="334">
        <f>C67</f>
        <v>0.93467484803343193</v>
      </c>
      <c r="F18" s="334">
        <f>C87</f>
        <v>0.96738718082488928</v>
      </c>
    </row>
    <row r="19" spans="2:7">
      <c r="B19" s="376" t="s">
        <v>185</v>
      </c>
      <c r="C19" s="376"/>
      <c r="D19" s="376"/>
      <c r="E19" s="376"/>
      <c r="F19" s="376"/>
    </row>
    <row r="22" spans="2:7">
      <c r="B22" s="21" t="s">
        <v>123</v>
      </c>
    </row>
    <row r="23" spans="2:7" ht="15.75" thickBot="1"/>
    <row r="24" spans="2:7">
      <c r="B24" s="26" t="s">
        <v>124</v>
      </c>
      <c r="C24" s="26"/>
    </row>
    <row r="25" spans="2:7">
      <c r="B25" s="27" t="s">
        <v>125</v>
      </c>
      <c r="C25" s="27">
        <v>0.98551433532481236</v>
      </c>
    </row>
    <row r="26" spans="2:7">
      <c r="B26" s="27" t="s">
        <v>126</v>
      </c>
      <c r="C26" s="27">
        <v>0.97123850513070664</v>
      </c>
    </row>
    <row r="27" spans="2:7">
      <c r="B27" s="27" t="s">
        <v>127</v>
      </c>
      <c r="C27" s="27">
        <v>0.96764331827204497</v>
      </c>
    </row>
    <row r="28" spans="2:7">
      <c r="B28" s="27" t="s">
        <v>128</v>
      </c>
      <c r="C28" s="27">
        <v>881.95818800304937</v>
      </c>
    </row>
    <row r="29" spans="2:7" ht="15.75" thickBot="1">
      <c r="B29" s="28" t="s">
        <v>129</v>
      </c>
      <c r="C29" s="28">
        <v>10</v>
      </c>
    </row>
    <row r="31" spans="2:7" ht="15.75" thickBot="1">
      <c r="B31" t="s">
        <v>130</v>
      </c>
    </row>
    <row r="32" spans="2:7">
      <c r="B32" s="29"/>
      <c r="C32" s="29" t="s">
        <v>131</v>
      </c>
      <c r="D32" s="29" t="s">
        <v>132</v>
      </c>
      <c r="E32" s="29" t="s">
        <v>133</v>
      </c>
      <c r="F32" s="29" t="s">
        <v>134</v>
      </c>
      <c r="G32" s="29" t="s">
        <v>135</v>
      </c>
    </row>
    <row r="33" spans="2:10">
      <c r="B33" s="27" t="s">
        <v>136</v>
      </c>
      <c r="C33" s="27">
        <v>1</v>
      </c>
      <c r="D33" s="27">
        <v>210135978.80837688</v>
      </c>
      <c r="E33" s="27">
        <v>210135978.80837688</v>
      </c>
      <c r="F33" s="27">
        <v>270.14965933989157</v>
      </c>
      <c r="G33" s="27">
        <v>1.8930513882178124E-7</v>
      </c>
    </row>
    <row r="34" spans="2:10">
      <c r="B34" s="27" t="s">
        <v>137</v>
      </c>
      <c r="C34" s="27">
        <v>8</v>
      </c>
      <c r="D34" s="27">
        <v>6222801.9630849771</v>
      </c>
      <c r="E34" s="27">
        <v>777850.24538562214</v>
      </c>
      <c r="F34" s="27"/>
      <c r="G34" s="27"/>
    </row>
    <row r="35" spans="2:10" ht="15.75" thickBot="1">
      <c r="B35" s="28" t="s">
        <v>138</v>
      </c>
      <c r="C35" s="28">
        <v>9</v>
      </c>
      <c r="D35" s="28">
        <v>216358780.77146184</v>
      </c>
      <c r="E35" s="28"/>
      <c r="F35" s="28"/>
      <c r="G35" s="28"/>
    </row>
    <row r="36" spans="2:10" ht="15.75" thickBot="1"/>
    <row r="37" spans="2:10">
      <c r="B37" s="29"/>
      <c r="C37" s="29" t="s">
        <v>139</v>
      </c>
      <c r="D37" s="29" t="s">
        <v>128</v>
      </c>
      <c r="E37" s="29" t="s">
        <v>140</v>
      </c>
      <c r="F37" s="29" t="s">
        <v>141</v>
      </c>
      <c r="G37" s="29" t="s">
        <v>142</v>
      </c>
      <c r="H37" s="29" t="s">
        <v>143</v>
      </c>
      <c r="I37" s="29" t="s">
        <v>144</v>
      </c>
      <c r="J37" s="29" t="s">
        <v>145</v>
      </c>
    </row>
    <row r="38" spans="2:10">
      <c r="B38" s="27" t="s">
        <v>146</v>
      </c>
      <c r="C38" s="27">
        <v>-3181806.2620219653</v>
      </c>
      <c r="D38" s="27">
        <v>195317.6552025305</v>
      </c>
      <c r="E38" s="27">
        <v>-16.290418081881327</v>
      </c>
      <c r="F38" s="27">
        <v>2.0291468477591721E-7</v>
      </c>
      <c r="G38" s="27">
        <v>-3632209.5825973824</v>
      </c>
      <c r="H38" s="27">
        <v>-2731402.9414465483</v>
      </c>
      <c r="I38" s="27">
        <v>-3632209.5825973824</v>
      </c>
      <c r="J38" s="27">
        <v>-2731402.9414465483</v>
      </c>
    </row>
    <row r="39" spans="2:10" ht="15.75" thickBot="1">
      <c r="B39" s="28" t="s">
        <v>115</v>
      </c>
      <c r="C39" s="28">
        <v>1595.9645276242431</v>
      </c>
      <c r="D39" s="28">
        <v>97.100400734785978</v>
      </c>
      <c r="E39" s="28">
        <v>16.43623008295673</v>
      </c>
      <c r="F39" s="28">
        <v>1.8930513882178058E-7</v>
      </c>
      <c r="G39" s="28">
        <v>1372.050601999845</v>
      </c>
      <c r="H39" s="28">
        <v>1819.8784532486413</v>
      </c>
      <c r="I39" s="28">
        <v>1372.050601999845</v>
      </c>
      <c r="J39" s="28">
        <v>1819.8784532486413</v>
      </c>
    </row>
    <row r="42" spans="2:10">
      <c r="B42" s="21" t="s">
        <v>147</v>
      </c>
    </row>
    <row r="43" spans="2:10" ht="15.75" thickBot="1"/>
    <row r="44" spans="2:10">
      <c r="B44" s="26" t="s">
        <v>124</v>
      </c>
      <c r="C44" s="26"/>
    </row>
    <row r="45" spans="2:10">
      <c r="B45" s="27" t="s">
        <v>125</v>
      </c>
      <c r="C45" s="27">
        <v>0.97774604871489201</v>
      </c>
    </row>
    <row r="46" spans="2:10">
      <c r="B46" s="27" t="s">
        <v>126</v>
      </c>
      <c r="C46" s="27">
        <v>0.95598733577758399</v>
      </c>
    </row>
    <row r="47" spans="2:10">
      <c r="B47" s="27" t="s">
        <v>127</v>
      </c>
      <c r="C47" s="27">
        <v>0.95048575274978209</v>
      </c>
    </row>
    <row r="48" spans="2:10">
      <c r="B48" s="27" t="s">
        <v>128</v>
      </c>
      <c r="C48" s="27">
        <v>706.1829780480748</v>
      </c>
    </row>
    <row r="49" spans="2:10" ht="15.75" thickBot="1">
      <c r="B49" s="28" t="s">
        <v>129</v>
      </c>
      <c r="C49" s="28">
        <v>10</v>
      </c>
    </row>
    <row r="51" spans="2:10" ht="15.75" thickBot="1">
      <c r="B51" t="s">
        <v>130</v>
      </c>
    </row>
    <row r="52" spans="2:10">
      <c r="B52" s="29"/>
      <c r="C52" s="29" t="s">
        <v>131</v>
      </c>
      <c r="D52" s="29" t="s">
        <v>132</v>
      </c>
      <c r="E52" s="29" t="s">
        <v>133</v>
      </c>
      <c r="F52" s="29" t="s">
        <v>134</v>
      </c>
      <c r="G52" s="29" t="s">
        <v>135</v>
      </c>
    </row>
    <row r="53" spans="2:10">
      <c r="B53" s="27" t="s">
        <v>136</v>
      </c>
      <c r="C53" s="27">
        <v>1</v>
      </c>
      <c r="D53" s="27">
        <v>86656063.712121218</v>
      </c>
      <c r="E53" s="27">
        <v>86656063.712121218</v>
      </c>
      <c r="F53" s="27">
        <v>173.7658653784822</v>
      </c>
      <c r="G53" s="27">
        <v>1.0446271815447993E-6</v>
      </c>
    </row>
    <row r="54" spans="2:10">
      <c r="B54" s="27" t="s">
        <v>137</v>
      </c>
      <c r="C54" s="27">
        <v>8</v>
      </c>
      <c r="D54" s="27">
        <v>3989555.1878787819</v>
      </c>
      <c r="E54" s="27">
        <v>498694.39848484774</v>
      </c>
      <c r="F54" s="27"/>
      <c r="G54" s="27"/>
    </row>
    <row r="55" spans="2:10" ht="15.75" thickBot="1">
      <c r="B55" s="28" t="s">
        <v>138</v>
      </c>
      <c r="C55" s="28">
        <v>9</v>
      </c>
      <c r="D55" s="28">
        <v>90645618.900000006</v>
      </c>
      <c r="E55" s="28"/>
      <c r="F55" s="28"/>
      <c r="G55" s="28"/>
    </row>
    <row r="56" spans="2:10" ht="15.75" thickBot="1"/>
    <row r="57" spans="2:10">
      <c r="B57" s="29"/>
      <c r="C57" s="29" t="s">
        <v>139</v>
      </c>
      <c r="D57" s="29" t="s">
        <v>128</v>
      </c>
      <c r="E57" s="29" t="s">
        <v>140</v>
      </c>
      <c r="F57" s="29" t="s">
        <v>141</v>
      </c>
      <c r="G57" s="29" t="s">
        <v>142</v>
      </c>
      <c r="H57" s="29" t="s">
        <v>143</v>
      </c>
      <c r="I57" s="29" t="s">
        <v>144</v>
      </c>
      <c r="J57" s="29" t="s">
        <v>145</v>
      </c>
    </row>
    <row r="58" spans="2:10">
      <c r="B58" s="27" t="s">
        <v>146</v>
      </c>
      <c r="C58" s="27">
        <v>-2050494.7818181831</v>
      </c>
      <c r="D58" s="27">
        <v>156390.6376657089</v>
      </c>
      <c r="E58" s="27">
        <v>-13.111365312041222</v>
      </c>
      <c r="F58" s="27">
        <v>1.08865869581774E-6</v>
      </c>
      <c r="G58" s="27">
        <v>-2411132.2389825243</v>
      </c>
      <c r="H58" s="27">
        <v>-1689857.3246538418</v>
      </c>
      <c r="I58" s="27">
        <v>-2411132.2389825243</v>
      </c>
      <c r="J58" s="27">
        <v>-1689857.3246538418</v>
      </c>
    </row>
    <row r="59" spans="2:10" ht="15.75" thickBot="1">
      <c r="B59" s="28" t="s">
        <v>115</v>
      </c>
      <c r="C59" s="28">
        <v>1024.8787878787884</v>
      </c>
      <c r="D59" s="28">
        <v>77.748187037995464</v>
      </c>
      <c r="E59" s="28">
        <v>13.182028120834909</v>
      </c>
      <c r="F59" s="28">
        <v>1.0446271815447973E-6</v>
      </c>
      <c r="G59" s="28">
        <v>845.59114706454386</v>
      </c>
      <c r="H59" s="28">
        <v>1204.1664286930329</v>
      </c>
      <c r="I59" s="28">
        <v>845.59114706454386</v>
      </c>
      <c r="J59" s="28">
        <v>1204.1664286930329</v>
      </c>
    </row>
    <row r="62" spans="2:10">
      <c r="B62" s="21" t="s">
        <v>148</v>
      </c>
    </row>
    <row r="63" spans="2:10" ht="15.75" thickBot="1"/>
    <row r="64" spans="2:10">
      <c r="B64" s="26" t="s">
        <v>124</v>
      </c>
      <c r="C64" s="26"/>
    </row>
    <row r="65" spans="2:10">
      <c r="B65" s="27" t="s">
        <v>125</v>
      </c>
      <c r="C65" s="27">
        <v>0.97053243029377412</v>
      </c>
    </row>
    <row r="66" spans="2:10">
      <c r="B66" s="27" t="s">
        <v>126</v>
      </c>
      <c r="C66" s="27">
        <v>0.94193319825193944</v>
      </c>
    </row>
    <row r="67" spans="2:10">
      <c r="B67" s="27" t="s">
        <v>127</v>
      </c>
      <c r="C67" s="27">
        <v>0.93467484803343193</v>
      </c>
    </row>
    <row r="68" spans="2:10">
      <c r="B68" s="27" t="s">
        <v>128</v>
      </c>
      <c r="C68" s="27">
        <v>260.94943399735337</v>
      </c>
    </row>
    <row r="69" spans="2:10" ht="15.75" thickBot="1">
      <c r="B69" s="28" t="s">
        <v>129</v>
      </c>
      <c r="C69" s="28">
        <v>10</v>
      </c>
    </row>
    <row r="71" spans="2:10" ht="15.75" thickBot="1">
      <c r="B71" t="s">
        <v>130</v>
      </c>
    </row>
    <row r="72" spans="2:10">
      <c r="B72" s="29"/>
      <c r="C72" s="29" t="s">
        <v>131</v>
      </c>
      <c r="D72" s="29" t="s">
        <v>132</v>
      </c>
      <c r="E72" s="29" t="s">
        <v>133</v>
      </c>
      <c r="F72" s="29" t="s">
        <v>134</v>
      </c>
      <c r="G72" s="29" t="s">
        <v>135</v>
      </c>
    </row>
    <row r="73" spans="2:10">
      <c r="B73" s="27" t="s">
        <v>136</v>
      </c>
      <c r="C73" s="27">
        <v>1</v>
      </c>
      <c r="D73" s="27">
        <v>8836797.4983072989</v>
      </c>
      <c r="E73" s="27">
        <v>8836797.4983072989</v>
      </c>
      <c r="F73" s="27">
        <v>129.77235458412716</v>
      </c>
      <c r="G73" s="27">
        <v>3.183572296619936E-6</v>
      </c>
    </row>
    <row r="74" spans="2:10">
      <c r="B74" s="27" t="s">
        <v>137</v>
      </c>
      <c r="C74" s="27">
        <v>8</v>
      </c>
      <c r="D74" s="27">
        <v>544756.85682831274</v>
      </c>
      <c r="E74" s="27">
        <v>68094.607103539092</v>
      </c>
      <c r="F74" s="27"/>
      <c r="G74" s="27"/>
    </row>
    <row r="75" spans="2:10" ht="15.75" thickBot="1">
      <c r="B75" s="28" t="s">
        <v>138</v>
      </c>
      <c r="C75" s="28">
        <v>9</v>
      </c>
      <c r="D75" s="28">
        <v>9381554.3551356122</v>
      </c>
      <c r="E75" s="28"/>
      <c r="F75" s="28"/>
      <c r="G75" s="28"/>
    </row>
    <row r="76" spans="2:10" ht="15.75" thickBot="1"/>
    <row r="77" spans="2:10">
      <c r="B77" s="29"/>
      <c r="C77" s="29" t="s">
        <v>139</v>
      </c>
      <c r="D77" s="29" t="s">
        <v>128</v>
      </c>
      <c r="E77" s="29" t="s">
        <v>140</v>
      </c>
      <c r="F77" s="29" t="s">
        <v>141</v>
      </c>
      <c r="G77" s="29" t="s">
        <v>142</v>
      </c>
      <c r="H77" s="29" t="s">
        <v>143</v>
      </c>
      <c r="I77" s="29" t="s">
        <v>144</v>
      </c>
      <c r="J77" s="29" t="s">
        <v>145</v>
      </c>
    </row>
    <row r="78" spans="2:10">
      <c r="B78" s="27" t="s">
        <v>146</v>
      </c>
      <c r="C78" s="27">
        <v>-653796.78463541821</v>
      </c>
      <c r="D78" s="27">
        <v>57789.623440305702</v>
      </c>
      <c r="E78" s="27">
        <v>-11.313394095927331</v>
      </c>
      <c r="F78" s="27">
        <v>3.3545725152460541E-6</v>
      </c>
      <c r="G78" s="27">
        <v>-787059.89526065486</v>
      </c>
      <c r="H78" s="27">
        <v>-520533.67401018157</v>
      </c>
      <c r="I78" s="27">
        <v>-787059.89526065486</v>
      </c>
      <c r="J78" s="27">
        <v>-520533.67401018157</v>
      </c>
    </row>
    <row r="79" spans="2:10" ht="15.75" thickBot="1">
      <c r="B79" s="28" t="s">
        <v>115</v>
      </c>
      <c r="C79" s="28">
        <v>327.28076165454547</v>
      </c>
      <c r="D79" s="28">
        <v>28.729587136131894</v>
      </c>
      <c r="E79" s="28">
        <v>11.391766964967601</v>
      </c>
      <c r="F79" s="28">
        <v>3.183572296619936E-6</v>
      </c>
      <c r="G79" s="28">
        <v>261.03021491591687</v>
      </c>
      <c r="H79" s="28">
        <v>393.53130839317407</v>
      </c>
      <c r="I79" s="28">
        <v>261.03021491591687</v>
      </c>
      <c r="J79" s="28">
        <v>393.53130839317407</v>
      </c>
    </row>
    <row r="82" spans="2:7">
      <c r="B82" t="s">
        <v>150</v>
      </c>
    </row>
    <row r="83" spans="2:7" ht="15.75" thickBot="1">
      <c r="B83" t="s">
        <v>5</v>
      </c>
    </row>
    <row r="84" spans="2:7">
      <c r="B84" s="26" t="s">
        <v>124</v>
      </c>
      <c r="C84" s="26"/>
    </row>
    <row r="85" spans="2:7">
      <c r="B85" s="27" t="s">
        <v>125</v>
      </c>
      <c r="C85" s="27">
        <v>0.98539881641896732</v>
      </c>
    </row>
    <row r="86" spans="2:7">
      <c r="B86" s="27" t="s">
        <v>126</v>
      </c>
      <c r="C86" s="27">
        <v>0.97101082739990163</v>
      </c>
    </row>
    <row r="87" spans="2:7">
      <c r="B87" s="27" t="s">
        <v>127</v>
      </c>
      <c r="C87" s="27">
        <v>0.96738718082488928</v>
      </c>
    </row>
    <row r="88" spans="2:7">
      <c r="B88" s="27" t="s">
        <v>128</v>
      </c>
      <c r="C88" s="27">
        <v>6903.2149348230223</v>
      </c>
    </row>
    <row r="89" spans="2:7" ht="15.75" thickBot="1">
      <c r="B89" s="28" t="s">
        <v>129</v>
      </c>
      <c r="C89" s="28">
        <v>10</v>
      </c>
    </row>
    <row r="91" spans="2:7" ht="15.75" thickBot="1">
      <c r="B91" t="s">
        <v>130</v>
      </c>
    </row>
    <row r="92" spans="2:7">
      <c r="B92" s="29"/>
      <c r="C92" s="29" t="s">
        <v>131</v>
      </c>
      <c r="D92" s="29" t="s">
        <v>132</v>
      </c>
      <c r="E92" s="29" t="s">
        <v>133</v>
      </c>
      <c r="F92" s="29" t="s">
        <v>134</v>
      </c>
      <c r="G92" s="29" t="s">
        <v>135</v>
      </c>
    </row>
    <row r="93" spans="2:7">
      <c r="B93" s="27" t="s">
        <v>136</v>
      </c>
      <c r="C93" s="27">
        <v>1</v>
      </c>
      <c r="D93" s="27">
        <v>12769709886.109089</v>
      </c>
      <c r="E93" s="27">
        <v>12769709886.109089</v>
      </c>
      <c r="F93" s="27">
        <v>267.96510291476409</v>
      </c>
      <c r="G93" s="27">
        <v>1.9538913617010973E-7</v>
      </c>
    </row>
    <row r="94" spans="2:7">
      <c r="B94" s="27" t="s">
        <v>137</v>
      </c>
      <c r="C94" s="27">
        <v>8</v>
      </c>
      <c r="D94" s="27">
        <v>381235011.49090904</v>
      </c>
      <c r="E94" s="27">
        <v>47654376.43636363</v>
      </c>
      <c r="F94" s="27"/>
      <c r="G94" s="27"/>
    </row>
    <row r="95" spans="2:7" ht="15.75" thickBot="1">
      <c r="B95" s="28" t="s">
        <v>138</v>
      </c>
      <c r="C95" s="28">
        <v>9</v>
      </c>
      <c r="D95" s="28">
        <v>13150944897.599998</v>
      </c>
      <c r="E95" s="28"/>
      <c r="F95" s="28"/>
      <c r="G95" s="28"/>
    </row>
    <row r="96" spans="2:7" ht="15.75" thickBot="1"/>
    <row r="97" spans="2:10">
      <c r="B97" s="29"/>
      <c r="C97" s="29" t="s">
        <v>139</v>
      </c>
      <c r="D97" s="29" t="s">
        <v>128</v>
      </c>
      <c r="E97" s="29" t="s">
        <v>140</v>
      </c>
      <c r="F97" s="29" t="s">
        <v>141</v>
      </c>
      <c r="G97" s="29" t="s">
        <v>142</v>
      </c>
      <c r="H97" s="29" t="s">
        <v>143</v>
      </c>
      <c r="I97" s="29" t="s">
        <v>144</v>
      </c>
      <c r="J97" s="29" t="s">
        <v>145</v>
      </c>
    </row>
    <row r="98" spans="2:10">
      <c r="B98" s="27" t="s">
        <v>146</v>
      </c>
      <c r="C98" s="27">
        <v>-24828413.145454548</v>
      </c>
      <c r="D98" s="27">
        <v>1528779.677732365</v>
      </c>
      <c r="E98" s="27">
        <v>-16.240674511243157</v>
      </c>
      <c r="F98" s="27">
        <v>2.0780596332508682E-7</v>
      </c>
      <c r="G98" s="27">
        <v>-28353785.404121477</v>
      </c>
      <c r="H98" s="27">
        <v>-21303040.886787619</v>
      </c>
      <c r="I98" s="27">
        <v>-28353785.404121477</v>
      </c>
      <c r="J98" s="27">
        <v>-21303040.886787619</v>
      </c>
    </row>
    <row r="99" spans="2:10" ht="15.75" thickBot="1">
      <c r="B99" s="28" t="s">
        <v>115</v>
      </c>
      <c r="C99" s="28">
        <v>12441.236363636366</v>
      </c>
      <c r="D99" s="28">
        <v>760.01895061192795</v>
      </c>
      <c r="E99" s="28">
        <v>16.369639669667876</v>
      </c>
      <c r="F99" s="28">
        <v>1.9538913617010938E-7</v>
      </c>
      <c r="G99" s="28">
        <v>10688.629520691729</v>
      </c>
      <c r="H99" s="28">
        <v>14193.843206581003</v>
      </c>
      <c r="I99" s="28">
        <v>10688.629520691729</v>
      </c>
      <c r="J99" s="28">
        <v>14193.843206581003</v>
      </c>
    </row>
  </sheetData>
  <mergeCells count="2">
    <mergeCell ref="G6:G16"/>
    <mergeCell ref="B19:F19"/>
  </mergeCells>
  <printOptions horizontalCentered="1"/>
  <pageMargins left="0.7" right="0.7" top="0.75" bottom="0.75" header="0.3" footer="0.3"/>
  <pageSetup scale="95" orientation="landscape" r:id="rId1"/>
  <headerFooter>
    <oddHeader>&amp;R&amp;"Times New Roman,Regular"Exh. CSH-6
                Dockets UE-170485/UG-170486
                Page &amp;P of &amp;N</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K17"/>
  <sheetViews>
    <sheetView workbookViewId="0">
      <selection activeCell="K10" sqref="K10"/>
    </sheetView>
  </sheetViews>
  <sheetFormatPr defaultRowHeight="15"/>
  <cols>
    <col min="2" max="2" width="13.5703125" bestFit="1" customWidth="1"/>
    <col min="5" max="5" width="21.5703125" bestFit="1" customWidth="1"/>
    <col min="9" max="9" width="11.28515625" bestFit="1" customWidth="1"/>
    <col min="10" max="10" width="21.42578125" bestFit="1" customWidth="1"/>
    <col min="11" max="11" width="21.85546875" bestFit="1" customWidth="1"/>
  </cols>
  <sheetData>
    <row r="2" spans="2:11">
      <c r="C2" s="377" t="s">
        <v>136</v>
      </c>
      <c r="D2" s="377"/>
      <c r="E2" s="377"/>
      <c r="F2" s="377"/>
      <c r="G2" s="377"/>
    </row>
    <row r="3" spans="2:11">
      <c r="C3" s="25" t="s">
        <v>195</v>
      </c>
      <c r="D3" s="25" t="s">
        <v>194</v>
      </c>
      <c r="E3" s="25" t="s">
        <v>193</v>
      </c>
      <c r="F3" s="25" t="s">
        <v>192</v>
      </c>
      <c r="G3" s="25" t="s">
        <v>191</v>
      </c>
      <c r="I3" s="25" t="s">
        <v>190</v>
      </c>
      <c r="J3" s="25" t="s">
        <v>189</v>
      </c>
      <c r="K3" s="25" t="s">
        <v>188</v>
      </c>
    </row>
    <row r="4" spans="2:11">
      <c r="B4" s="8" t="s">
        <v>187</v>
      </c>
      <c r="C4" s="35">
        <f>ECI!B88</f>
        <v>2.6422649565558873E-2</v>
      </c>
      <c r="D4" s="35">
        <f>'PPI Util'!E58</f>
        <v>7.0273216061486196E-3</v>
      </c>
      <c r="E4" s="35">
        <f>'PPI Trans'!E58</f>
        <v>3.8468423382672798E-2</v>
      </c>
      <c r="F4" s="35">
        <f>'PPI Distr'!E58</f>
        <v>1.8963523933772437E-2</v>
      </c>
      <c r="G4" s="35">
        <f>'PPI Gen'!E58</f>
        <v>-5.3706802173059923E-4</v>
      </c>
      <c r="I4" s="35">
        <f>SUM(E4*$C$13,F4*$C$14,G4*$C$12)</f>
        <v>1.4511666138802311E-2</v>
      </c>
      <c r="J4" s="35">
        <f>AVERAGE(I4,C4)</f>
        <v>2.0467157852180593E-2</v>
      </c>
      <c r="K4" s="35">
        <f>AVERAGE(C4:D4)</f>
        <v>1.6724985585853745E-2</v>
      </c>
    </row>
    <row r="5" spans="2:11">
      <c r="B5" s="8" t="s">
        <v>186</v>
      </c>
      <c r="C5" s="35">
        <f>ECI!B89</f>
        <v>2.4777923299551346E-2</v>
      </c>
      <c r="D5" s="35">
        <f>'PPI Util'!E59</f>
        <v>1.583868205214228E-2</v>
      </c>
      <c r="E5" s="35">
        <f>'PPI Trans'!E59</f>
        <v>3.1488705027769175E-2</v>
      </c>
      <c r="F5" s="35">
        <f>'PPI Distr'!E59</f>
        <v>2.3822344963402013E-2</v>
      </c>
      <c r="G5" s="35">
        <f>'PPI Gen'!E59</f>
        <v>1.7020471008201071E-2</v>
      </c>
      <c r="I5" s="35">
        <f>E15</f>
        <v>2.2426162393978648E-2</v>
      </c>
      <c r="J5" s="360">
        <f>AVERAGE(I5,C5)</f>
        <v>2.3602042846764995E-2</v>
      </c>
      <c r="K5" s="360">
        <f>AVERAGE(C5:D5)</f>
        <v>2.0308302675846813E-2</v>
      </c>
    </row>
    <row r="7" spans="2:11">
      <c r="C7" s="2"/>
      <c r="D7" s="2"/>
      <c r="E7" s="2"/>
      <c r="F7" s="2"/>
      <c r="G7" s="2"/>
    </row>
    <row r="8" spans="2:11">
      <c r="C8" s="25"/>
      <c r="D8" s="25"/>
      <c r="E8" s="25"/>
      <c r="F8" s="25"/>
      <c r="G8" s="25"/>
    </row>
    <row r="9" spans="2:11">
      <c r="C9" s="24"/>
    </row>
    <row r="10" spans="2:11" ht="75">
      <c r="C10" s="328" t="s">
        <v>411</v>
      </c>
      <c r="D10" s="328" t="s">
        <v>412</v>
      </c>
      <c r="E10" s="328" t="s">
        <v>415</v>
      </c>
    </row>
    <row r="11" spans="2:11">
      <c r="C11" s="328" t="s">
        <v>413</v>
      </c>
      <c r="D11" s="328" t="s">
        <v>414</v>
      </c>
      <c r="E11" s="38" t="s">
        <v>416</v>
      </c>
      <c r="H11" s="38" t="str">
        <f>C3</f>
        <v>ECI</v>
      </c>
      <c r="I11" s="38" t="str">
        <f>I3</f>
        <v>PPI-Custom</v>
      </c>
      <c r="J11" s="38" t="str">
        <f>J3</f>
        <v>Electric O&amp;M Escalator</v>
      </c>
    </row>
    <row r="12" spans="2:11">
      <c r="B12" s="330" t="s">
        <v>45</v>
      </c>
      <c r="C12" s="207">
        <f>'Rate base percentages'!K63</f>
        <v>0.40984434492690724</v>
      </c>
      <c r="D12" s="207">
        <f>G5</f>
        <v>1.7020471008201071E-2</v>
      </c>
      <c r="E12" s="207">
        <f>C12*D12</f>
        <v>6.9757437907035846E-3</v>
      </c>
      <c r="H12" s="40" t="s">
        <v>413</v>
      </c>
      <c r="I12" s="40" t="s">
        <v>414</v>
      </c>
      <c r="J12" s="40" t="s">
        <v>417</v>
      </c>
    </row>
    <row r="13" spans="2:11">
      <c r="B13" s="330" t="s">
        <v>46</v>
      </c>
      <c r="C13" s="207">
        <f>'Rate base percentages'!K64</f>
        <v>0.18151078143186886</v>
      </c>
      <c r="D13" s="207">
        <f>E5</f>
        <v>3.1488705027769175E-2</v>
      </c>
      <c r="E13" s="207">
        <f t="shared" ref="E13:E14" si="0">C13*D13</f>
        <v>5.7155394558680008E-3</v>
      </c>
      <c r="H13" s="331">
        <f>C5</f>
        <v>2.4777923299551346E-2</v>
      </c>
      <c r="I13" s="331">
        <f>I5</f>
        <v>2.2426162393978648E-2</v>
      </c>
      <c r="J13" s="331">
        <f>J5</f>
        <v>2.3602042846764995E-2</v>
      </c>
    </row>
    <row r="14" spans="2:11">
      <c r="B14" s="330" t="s">
        <v>26</v>
      </c>
      <c r="C14" s="207">
        <f>'Rate base percentages'!K65</f>
        <v>0.40864487364122393</v>
      </c>
      <c r="D14" s="207">
        <f>F5</f>
        <v>2.3822344963402013E-2</v>
      </c>
      <c r="E14" s="207">
        <f t="shared" si="0"/>
        <v>9.7348791474070624E-3</v>
      </c>
    </row>
    <row r="15" spans="2:11">
      <c r="B15" s="34" t="s">
        <v>4</v>
      </c>
      <c r="C15" s="329">
        <f>SUM(C12:C14)</f>
        <v>1</v>
      </c>
      <c r="D15" s="34"/>
      <c r="E15" s="207">
        <f>SUM(E12:E14)</f>
        <v>2.2426162393978648E-2</v>
      </c>
      <c r="H15" s="38" t="str">
        <f>H11</f>
        <v>ECI</v>
      </c>
      <c r="I15" s="38" t="str">
        <f>D3</f>
        <v>PPI-Util</v>
      </c>
      <c r="J15" s="38" t="str">
        <f>K3</f>
        <v>Nat Gas O&amp;M Escalator</v>
      </c>
    </row>
    <row r="16" spans="2:11">
      <c r="H16" s="40" t="s">
        <v>413</v>
      </c>
      <c r="I16" s="40" t="s">
        <v>414</v>
      </c>
      <c r="J16" s="40" t="s">
        <v>417</v>
      </c>
    </row>
    <row r="17" spans="8:10">
      <c r="H17" s="332">
        <f>H13</f>
        <v>2.4777923299551346E-2</v>
      </c>
      <c r="I17" s="331">
        <f>D5</f>
        <v>1.583868205214228E-2</v>
      </c>
      <c r="J17" s="331">
        <f>K5</f>
        <v>2.0308302675846813E-2</v>
      </c>
    </row>
  </sheetData>
  <mergeCells count="1">
    <mergeCell ref="C2:G2"/>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23"/>
  <sheetViews>
    <sheetView tabSelected="1" workbookViewId="0">
      <selection activeCell="R19" sqref="R19"/>
    </sheetView>
  </sheetViews>
  <sheetFormatPr defaultRowHeight="15"/>
  <cols>
    <col min="1" max="1" width="2.28515625" customWidth="1"/>
    <col min="2" max="2" width="12" customWidth="1"/>
    <col min="3" max="5" width="12.5703125" bestFit="1" customWidth="1"/>
    <col min="6" max="6" width="2.85546875" customWidth="1"/>
    <col min="16" max="16" width="10.28515625" customWidth="1"/>
    <col min="17" max="17" width="9" bestFit="1" customWidth="1"/>
    <col min="18" max="19" width="10" bestFit="1" customWidth="1"/>
  </cols>
  <sheetData>
    <row r="3" spans="2:19">
      <c r="B3" s="378" t="s">
        <v>183</v>
      </c>
      <c r="C3" s="378"/>
      <c r="D3" s="378"/>
      <c r="E3" s="378"/>
      <c r="P3" s="378" t="s">
        <v>437</v>
      </c>
      <c r="Q3" s="378"/>
      <c r="R3" s="378"/>
      <c r="S3" s="378"/>
    </row>
    <row r="4" spans="2:19">
      <c r="C4" s="38" t="s">
        <v>65</v>
      </c>
      <c r="D4" s="38" t="s">
        <v>179</v>
      </c>
      <c r="E4" s="38" t="s">
        <v>180</v>
      </c>
      <c r="Q4" s="38" t="s">
        <v>65</v>
      </c>
      <c r="R4" s="38" t="s">
        <v>179</v>
      </c>
      <c r="S4" s="38" t="s">
        <v>180</v>
      </c>
    </row>
    <row r="5" spans="2:19">
      <c r="B5" s="32" t="s">
        <v>181</v>
      </c>
      <c r="C5" s="39">
        <f>SUM('CSH-2 Electric Escalation'!F82)</f>
        <v>10034.114766363398</v>
      </c>
      <c r="D5" s="39">
        <f>'CSH-2 Electric Escalation'!O12</f>
        <v>11450.296898569823</v>
      </c>
      <c r="E5" s="39">
        <f>'CSH-2 Electric Escalation'!O17</f>
        <v>11715.53416686162</v>
      </c>
      <c r="P5" s="32" t="s">
        <v>181</v>
      </c>
      <c r="Q5" s="39">
        <f>C5</f>
        <v>10034.114766363398</v>
      </c>
      <c r="R5" s="39">
        <f>C5*2+D5</f>
        <v>31518.526431296617</v>
      </c>
      <c r="S5" s="39">
        <f>(C5*3)+(D5*2)+E5</f>
        <v>64718.472263091462</v>
      </c>
    </row>
    <row r="6" spans="2:19">
      <c r="B6" s="32" t="s">
        <v>158</v>
      </c>
      <c r="C6" s="39">
        <v>61356</v>
      </c>
      <c r="D6" s="39">
        <v>13983</v>
      </c>
      <c r="E6" s="39">
        <v>14432</v>
      </c>
      <c r="P6" s="32" t="s">
        <v>158</v>
      </c>
      <c r="Q6" s="39">
        <f>C6</f>
        <v>61356</v>
      </c>
      <c r="R6" s="39">
        <f>C6*2+D6</f>
        <v>136695</v>
      </c>
      <c r="S6" s="39">
        <f>(C6*3)+(D6*2)+E6</f>
        <v>226466</v>
      </c>
    </row>
    <row r="7" spans="2:19">
      <c r="B7" s="34" t="s">
        <v>182</v>
      </c>
      <c r="C7" s="40" t="s">
        <v>436</v>
      </c>
      <c r="D7" s="40" t="s">
        <v>436</v>
      </c>
      <c r="E7" s="40" t="s">
        <v>436</v>
      </c>
    </row>
    <row r="12" spans="2:19">
      <c r="B12" s="378" t="s">
        <v>184</v>
      </c>
      <c r="C12" s="378"/>
      <c r="D12" s="378"/>
      <c r="E12" s="378"/>
      <c r="P12" s="378" t="s">
        <v>438</v>
      </c>
      <c r="Q12" s="378"/>
      <c r="R12" s="378"/>
      <c r="S12" s="378"/>
    </row>
    <row r="13" spans="2:19">
      <c r="C13" s="38" t="s">
        <v>65</v>
      </c>
      <c r="D13" s="38" t="s">
        <v>179</v>
      </c>
      <c r="E13" s="38" t="s">
        <v>180</v>
      </c>
      <c r="Q13" s="38" t="s">
        <v>65</v>
      </c>
      <c r="R13" s="38" t="s">
        <v>179</v>
      </c>
      <c r="S13" s="38" t="s">
        <v>180</v>
      </c>
    </row>
    <row r="14" spans="2:19">
      <c r="B14" s="32" t="s">
        <v>181</v>
      </c>
      <c r="C14" s="39">
        <f>SUM(,'CSH-3 Natural Gas Escalation'!F91)</f>
        <v>1106.7156674109913</v>
      </c>
      <c r="D14" s="39">
        <f>'CSH-3 Natural Gas Escalation'!O12</f>
        <v>2698.0129387873094</v>
      </c>
      <c r="E14" s="39">
        <f>'CSH-3 Natural Gas Escalation'!O17</f>
        <v>2784.3138747054286</v>
      </c>
      <c r="P14" s="32" t="s">
        <v>181</v>
      </c>
      <c r="Q14" s="39">
        <f>C14</f>
        <v>1106.7156674109913</v>
      </c>
      <c r="R14" s="39">
        <f>(C14*2)+D14</f>
        <v>4911.4442736092915</v>
      </c>
      <c r="S14" s="39">
        <f>(C14*3)+(D14*2)+E14</f>
        <v>11500.486754513022</v>
      </c>
    </row>
    <row r="15" spans="2:19">
      <c r="B15" s="32" t="s">
        <v>158</v>
      </c>
      <c r="C15" s="39">
        <v>8269</v>
      </c>
      <c r="D15" s="39">
        <v>4220</v>
      </c>
      <c r="E15" s="39">
        <v>4417</v>
      </c>
      <c r="P15" s="32" t="s">
        <v>158</v>
      </c>
      <c r="Q15" s="39">
        <f>C15</f>
        <v>8269</v>
      </c>
      <c r="R15" s="39">
        <f>(C15*2)+D15</f>
        <v>20758</v>
      </c>
      <c r="S15" s="39">
        <f>(C15*3)+(D15*2)+E15</f>
        <v>37664</v>
      </c>
    </row>
    <row r="16" spans="2:19">
      <c r="B16" s="34" t="s">
        <v>182</v>
      </c>
      <c r="C16" s="40" t="s">
        <v>436</v>
      </c>
      <c r="D16" s="40" t="s">
        <v>436</v>
      </c>
      <c r="E16" s="40" t="s">
        <v>436</v>
      </c>
    </row>
    <row r="20" spans="2:4">
      <c r="B20" s="379" t="s">
        <v>407</v>
      </c>
      <c r="C20" s="379"/>
      <c r="D20" s="379"/>
    </row>
    <row r="21" spans="2:4">
      <c r="C21" s="38" t="s">
        <v>181</v>
      </c>
      <c r="D21" s="38" t="s">
        <v>158</v>
      </c>
    </row>
    <row r="22" spans="2:4">
      <c r="B22" s="32" t="s">
        <v>353</v>
      </c>
      <c r="C22" s="207">
        <f>'CSH-4 Escalators'!I14</f>
        <v>2.3164226276519345E-2</v>
      </c>
      <c r="D22" s="207">
        <f>'CSH-4 Escalators'!F14</f>
        <v>3.2129111781293712E-2</v>
      </c>
    </row>
    <row r="23" spans="2:4">
      <c r="B23" s="32" t="s">
        <v>354</v>
      </c>
      <c r="C23" s="207">
        <f>'CSH-4 Escalators'!I26</f>
        <v>3.1986850276896413E-2</v>
      </c>
      <c r="D23" s="207">
        <f>'CSH-4 Escalators'!F26</f>
        <v>4.6526291071883823E-2</v>
      </c>
    </row>
  </sheetData>
  <mergeCells count="5">
    <mergeCell ref="B12:E12"/>
    <mergeCell ref="B3:E3"/>
    <mergeCell ref="B20:D20"/>
    <mergeCell ref="P3:S3"/>
    <mergeCell ref="P12:S12"/>
  </mergeCells>
  <pageMargins left="0.7" right="0.7" top="0.75" bottom="0.75" header="0.3" footer="0.3"/>
  <pageSetup scale="89"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AY65"/>
  <sheetViews>
    <sheetView view="pageBreakPreview" zoomScaleNormal="100" zoomScaleSheetLayoutView="100" workbookViewId="0">
      <pane xSplit="6" ySplit="3" topLeftCell="AF25" activePane="bottomRight" state="frozen"/>
      <selection activeCell="C28" sqref="C28"/>
      <selection pane="topRight" activeCell="C28" sqref="C28"/>
      <selection pane="bottomLeft" activeCell="C28" sqref="C28"/>
      <selection pane="bottomRight" activeCell="AX32" sqref="AX32"/>
    </sheetView>
  </sheetViews>
  <sheetFormatPr defaultRowHeight="12.75"/>
  <cols>
    <col min="1" max="1" width="5.7109375" style="121" customWidth="1"/>
    <col min="2" max="3" width="1.7109375" style="134" customWidth="1"/>
    <col min="4" max="4" width="23.28515625" style="134" customWidth="1"/>
    <col min="5" max="5" width="9" style="150" customWidth="1"/>
    <col min="6" max="6" width="1.7109375" style="150" customWidth="1"/>
    <col min="7" max="7" width="7.5703125" style="122" bestFit="1" customWidth="1"/>
    <col min="8" max="8" width="8.42578125" style="122" customWidth="1"/>
    <col min="9" max="9" width="7.5703125" style="122" bestFit="1" customWidth="1"/>
    <col min="10" max="10" width="10" style="122" customWidth="1"/>
    <col min="11" max="11" width="7.5703125" style="122" bestFit="1" customWidth="1"/>
    <col min="12" max="12" width="9.42578125" style="122" customWidth="1"/>
    <col min="13" max="13" width="7.5703125" style="122" bestFit="1" customWidth="1"/>
    <col min="14" max="14" width="8.85546875" style="122" customWidth="1"/>
    <col min="15" max="15" width="7.5703125" style="122" bestFit="1" customWidth="1"/>
    <col min="16" max="16" width="9" style="122" customWidth="1"/>
    <col min="17" max="17" width="7.5703125" style="122" bestFit="1" customWidth="1"/>
    <col min="18" max="18" width="10.140625" style="122" customWidth="1"/>
    <col min="19" max="19" width="7.5703125" style="122" bestFit="1" customWidth="1"/>
    <col min="20" max="20" width="9.5703125" style="122" customWidth="1"/>
    <col min="21" max="21" width="7.5703125" style="122" bestFit="1" customWidth="1"/>
    <col min="22" max="22" width="7.85546875" style="122" bestFit="1" customWidth="1"/>
    <col min="23" max="23" width="9.7109375" style="122" customWidth="1"/>
    <col min="24" max="25" width="6.7109375" style="122" customWidth="1"/>
    <col min="26" max="26" width="9.42578125" style="122" customWidth="1"/>
    <col min="27" max="27" width="6.7109375" style="122" customWidth="1"/>
    <col min="28" max="28" width="6.42578125" style="122" customWidth="1"/>
    <col min="29" max="29" width="9.42578125" style="122" customWidth="1"/>
    <col min="30" max="30" width="7" style="122" customWidth="1"/>
    <col min="31" max="31" width="7.7109375" style="122" customWidth="1"/>
    <col min="32" max="32" width="8.85546875" style="122" customWidth="1"/>
    <col min="33" max="33" width="7" style="122" customWidth="1"/>
    <col min="34" max="34" width="7.28515625" style="122" customWidth="1"/>
    <col min="35" max="35" width="8.85546875" style="122" customWidth="1"/>
    <col min="36" max="36" width="6.85546875" style="122" customWidth="1"/>
    <col min="37" max="37" width="7.5703125" style="122" customWidth="1"/>
    <col min="38" max="38" width="9.28515625" style="122" customWidth="1"/>
    <col min="39" max="40" width="11.28515625" style="122" hidden="1" customWidth="1"/>
    <col min="41" max="41" width="11.28515625" style="122" customWidth="1"/>
    <col min="42" max="42" width="10.28515625" style="122" hidden="1" customWidth="1"/>
    <col min="43" max="43" width="9.5703125" style="122" hidden="1" customWidth="1"/>
    <col min="44" max="44" width="9.5703125" style="150" customWidth="1"/>
    <col min="45" max="46" width="9.5703125" style="122" hidden="1" customWidth="1"/>
    <col min="47" max="47" width="9.5703125" style="150" customWidth="1"/>
    <col min="48" max="49" width="9.5703125" style="150" hidden="1" customWidth="1"/>
    <col min="50" max="50" width="9.5703125" style="150" customWidth="1"/>
    <col min="51" max="51" width="9.140625" style="150"/>
    <col min="52" max="16384" width="9.140625" style="122"/>
  </cols>
  <sheetData>
    <row r="1" spans="1:50">
      <c r="A1" s="261" t="s">
        <v>375</v>
      </c>
    </row>
    <row r="2" spans="1:50">
      <c r="A2" s="261" t="s">
        <v>376</v>
      </c>
    </row>
    <row r="3" spans="1:50">
      <c r="A3" s="261" t="s">
        <v>379</v>
      </c>
      <c r="I3" s="263"/>
      <c r="M3" s="263"/>
    </row>
    <row r="4" spans="1:50">
      <c r="A4" s="261" t="s">
        <v>377</v>
      </c>
      <c r="B4" s="261"/>
      <c r="C4" s="261"/>
      <c r="D4" s="261"/>
      <c r="I4" s="263"/>
      <c r="M4" s="263"/>
    </row>
    <row r="5" spans="1:50">
      <c r="A5" s="261"/>
      <c r="G5" s="264"/>
      <c r="H5" s="263"/>
      <c r="I5" s="264"/>
      <c r="J5" s="263"/>
      <c r="K5" s="264"/>
      <c r="L5" s="263"/>
      <c r="M5" s="264"/>
      <c r="N5" s="263"/>
      <c r="O5" s="264"/>
      <c r="P5" s="263"/>
      <c r="Q5" s="264"/>
      <c r="R5" s="263"/>
      <c r="S5" s="264"/>
      <c r="T5" s="263"/>
      <c r="U5" s="264"/>
      <c r="V5" s="263"/>
      <c r="W5" s="265"/>
      <c r="X5" s="264"/>
      <c r="Y5" s="263"/>
      <c r="Z5" s="263"/>
      <c r="AA5" s="264"/>
      <c r="AD5" s="264"/>
      <c r="AG5" s="264"/>
      <c r="AJ5" s="264"/>
      <c r="AK5" s="263"/>
      <c r="AL5" s="265"/>
      <c r="AM5" s="264"/>
      <c r="AN5" s="263"/>
      <c r="AO5" s="265"/>
      <c r="AP5" s="264"/>
      <c r="AQ5" s="263"/>
      <c r="AR5" s="266" t="s">
        <v>380</v>
      </c>
      <c r="AS5" s="267"/>
      <c r="AT5" s="262"/>
      <c r="AU5" s="209" t="s">
        <v>380</v>
      </c>
      <c r="AV5" s="267"/>
      <c r="AW5" s="262"/>
      <c r="AX5" s="209" t="s">
        <v>380</v>
      </c>
    </row>
    <row r="6" spans="1:50">
      <c r="A6" s="247"/>
      <c r="B6" s="246"/>
      <c r="C6" s="246"/>
      <c r="D6" s="246"/>
      <c r="G6" s="268">
        <v>2000</v>
      </c>
      <c r="H6" s="269"/>
      <c r="I6" s="268">
        <v>2001</v>
      </c>
      <c r="J6" s="269"/>
      <c r="K6" s="268">
        <v>2002</v>
      </c>
      <c r="L6" s="269"/>
      <c r="M6" s="268">
        <v>2003</v>
      </c>
      <c r="N6" s="269"/>
      <c r="O6" s="270" t="s">
        <v>381</v>
      </c>
      <c r="P6" s="271"/>
      <c r="Q6" s="268">
        <v>2005</v>
      </c>
      <c r="R6" s="269"/>
      <c r="S6" s="270" t="s">
        <v>382</v>
      </c>
      <c r="T6" s="271"/>
      <c r="U6" s="268" t="s">
        <v>383</v>
      </c>
      <c r="V6" s="272"/>
      <c r="W6" s="273"/>
      <c r="X6" s="268" t="s">
        <v>384</v>
      </c>
      <c r="Y6" s="273"/>
      <c r="Z6" s="273"/>
      <c r="AA6" s="268" t="s">
        <v>385</v>
      </c>
      <c r="AB6" s="274"/>
      <c r="AC6" s="274"/>
      <c r="AD6" s="268" t="s">
        <v>386</v>
      </c>
      <c r="AE6" s="274"/>
      <c r="AF6" s="274"/>
      <c r="AG6" s="268" t="s">
        <v>387</v>
      </c>
      <c r="AH6" s="274"/>
      <c r="AI6" s="274"/>
      <c r="AJ6" s="380" t="s">
        <v>388</v>
      </c>
      <c r="AK6" s="381"/>
      <c r="AL6" s="382"/>
      <c r="AM6" s="380" t="s">
        <v>389</v>
      </c>
      <c r="AN6" s="381"/>
      <c r="AO6" s="382"/>
      <c r="AP6" s="380" t="s">
        <v>390</v>
      </c>
      <c r="AQ6" s="381"/>
      <c r="AR6" s="382"/>
      <c r="AS6" s="383" t="s">
        <v>391</v>
      </c>
      <c r="AT6" s="384"/>
      <c r="AU6" s="385"/>
      <c r="AV6" s="383" t="s">
        <v>392</v>
      </c>
      <c r="AW6" s="384"/>
      <c r="AX6" s="385"/>
    </row>
    <row r="7" spans="1:50">
      <c r="A7" s="248"/>
      <c r="B7" s="249"/>
      <c r="C7" s="250"/>
      <c r="D7" s="251"/>
      <c r="G7" s="275"/>
      <c r="H7" s="276"/>
      <c r="I7" s="275"/>
      <c r="J7" s="276"/>
      <c r="K7" s="275"/>
      <c r="L7" s="276"/>
      <c r="M7" s="275"/>
      <c r="N7" s="276"/>
      <c r="O7" s="275"/>
      <c r="P7" s="276"/>
      <c r="Q7" s="275"/>
      <c r="R7" s="276"/>
      <c r="S7" s="275"/>
      <c r="T7" s="276"/>
      <c r="U7" s="275"/>
      <c r="V7" s="277" t="s">
        <v>59</v>
      </c>
      <c r="W7" s="278"/>
      <c r="X7" s="275"/>
      <c r="Y7" s="277" t="s">
        <v>59</v>
      </c>
      <c r="Z7" s="278"/>
      <c r="AA7" s="275"/>
      <c r="AB7" s="279" t="s">
        <v>59</v>
      </c>
      <c r="AC7" s="279"/>
      <c r="AD7" s="275"/>
      <c r="AE7" s="279" t="s">
        <v>59</v>
      </c>
      <c r="AF7" s="279"/>
      <c r="AG7" s="275"/>
      <c r="AH7" s="279" t="s">
        <v>59</v>
      </c>
      <c r="AI7" s="279"/>
      <c r="AJ7" s="275"/>
      <c r="AK7" s="277" t="s">
        <v>59</v>
      </c>
      <c r="AL7" s="265"/>
      <c r="AM7" s="275"/>
      <c r="AN7" s="277" t="s">
        <v>59</v>
      </c>
      <c r="AO7" s="265"/>
      <c r="AP7" s="275"/>
      <c r="AQ7" s="277" t="s">
        <v>59</v>
      </c>
      <c r="AR7" s="280"/>
      <c r="AS7" s="281"/>
      <c r="AT7" s="282" t="s">
        <v>59</v>
      </c>
      <c r="AU7" s="280"/>
      <c r="AV7" s="281"/>
      <c r="AW7" s="282" t="s">
        <v>59</v>
      </c>
      <c r="AX7" s="282"/>
    </row>
    <row r="8" spans="1:50">
      <c r="A8" s="252" t="s">
        <v>6</v>
      </c>
      <c r="B8" s="253"/>
      <c r="C8" s="254"/>
      <c r="D8" s="255"/>
      <c r="G8" s="283" t="s">
        <v>59</v>
      </c>
      <c r="H8" s="277" t="s">
        <v>59</v>
      </c>
      <c r="I8" s="283" t="s">
        <v>59</v>
      </c>
      <c r="J8" s="277" t="s">
        <v>59</v>
      </c>
      <c r="K8" s="283" t="s">
        <v>59</v>
      </c>
      <c r="L8" s="277" t="s">
        <v>59</v>
      </c>
      <c r="M8" s="283" t="s">
        <v>59</v>
      </c>
      <c r="N8" s="277" t="s">
        <v>59</v>
      </c>
      <c r="O8" s="283" t="s">
        <v>59</v>
      </c>
      <c r="P8" s="277" t="s">
        <v>59</v>
      </c>
      <c r="Q8" s="283" t="s">
        <v>59</v>
      </c>
      <c r="R8" s="277" t="s">
        <v>59</v>
      </c>
      <c r="S8" s="283" t="s">
        <v>59</v>
      </c>
      <c r="T8" s="277" t="s">
        <v>59</v>
      </c>
      <c r="U8" s="283" t="s">
        <v>59</v>
      </c>
      <c r="V8" s="277" t="s">
        <v>393</v>
      </c>
      <c r="W8" s="277" t="s">
        <v>59</v>
      </c>
      <c r="X8" s="283" t="s">
        <v>59</v>
      </c>
      <c r="Y8" s="277" t="s">
        <v>393</v>
      </c>
      <c r="Z8" s="277" t="s">
        <v>59</v>
      </c>
      <c r="AA8" s="283" t="s">
        <v>59</v>
      </c>
      <c r="AB8" s="277" t="s">
        <v>393</v>
      </c>
      <c r="AC8" s="277" t="s">
        <v>59</v>
      </c>
      <c r="AD8" s="283" t="s">
        <v>59</v>
      </c>
      <c r="AE8" s="277" t="s">
        <v>393</v>
      </c>
      <c r="AF8" s="277" t="s">
        <v>59</v>
      </c>
      <c r="AG8" s="283" t="s">
        <v>59</v>
      </c>
      <c r="AH8" s="277" t="s">
        <v>393</v>
      </c>
      <c r="AI8" s="277" t="s">
        <v>59</v>
      </c>
      <c r="AJ8" s="283" t="s">
        <v>59</v>
      </c>
      <c r="AK8" s="277" t="s">
        <v>393</v>
      </c>
      <c r="AL8" s="278" t="s">
        <v>59</v>
      </c>
      <c r="AM8" s="283" t="s">
        <v>59</v>
      </c>
      <c r="AN8" s="277" t="s">
        <v>393</v>
      </c>
      <c r="AO8" s="278" t="s">
        <v>59</v>
      </c>
      <c r="AP8" s="283" t="s">
        <v>59</v>
      </c>
      <c r="AQ8" s="277" t="s">
        <v>393</v>
      </c>
      <c r="AR8" s="284" t="s">
        <v>59</v>
      </c>
      <c r="AS8" s="285" t="s">
        <v>59</v>
      </c>
      <c r="AT8" s="282" t="s">
        <v>393</v>
      </c>
      <c r="AU8" s="284" t="s">
        <v>59</v>
      </c>
      <c r="AV8" s="285" t="s">
        <v>59</v>
      </c>
      <c r="AW8" s="282" t="s">
        <v>393</v>
      </c>
      <c r="AX8" s="284" t="s">
        <v>59</v>
      </c>
    </row>
    <row r="9" spans="1:50">
      <c r="A9" s="256" t="s">
        <v>7</v>
      </c>
      <c r="B9" s="257"/>
      <c r="C9" s="258"/>
      <c r="D9" s="259" t="s">
        <v>8</v>
      </c>
      <c r="E9" s="286" t="s">
        <v>394</v>
      </c>
      <c r="F9" s="286"/>
      <c r="G9" s="287" t="s">
        <v>395</v>
      </c>
      <c r="H9" s="288" t="s">
        <v>396</v>
      </c>
      <c r="I9" s="287" t="s">
        <v>395</v>
      </c>
      <c r="J9" s="288" t="s">
        <v>396</v>
      </c>
      <c r="K9" s="287" t="s">
        <v>395</v>
      </c>
      <c r="L9" s="288" t="s">
        <v>396</v>
      </c>
      <c r="M9" s="287" t="s">
        <v>395</v>
      </c>
      <c r="N9" s="288" t="s">
        <v>396</v>
      </c>
      <c r="O9" s="287" t="s">
        <v>395</v>
      </c>
      <c r="P9" s="288" t="s">
        <v>396</v>
      </c>
      <c r="Q9" s="287" t="s">
        <v>395</v>
      </c>
      <c r="R9" s="288" t="s">
        <v>396</v>
      </c>
      <c r="S9" s="287" t="s">
        <v>395</v>
      </c>
      <c r="T9" s="288" t="s">
        <v>396</v>
      </c>
      <c r="U9" s="287" t="s">
        <v>395</v>
      </c>
      <c r="V9" s="288" t="s">
        <v>397</v>
      </c>
      <c r="W9" s="288" t="s">
        <v>396</v>
      </c>
      <c r="X9" s="287" t="s">
        <v>395</v>
      </c>
      <c r="Y9" s="288" t="s">
        <v>397</v>
      </c>
      <c r="Z9" s="288" t="s">
        <v>396</v>
      </c>
      <c r="AA9" s="287" t="s">
        <v>395</v>
      </c>
      <c r="AB9" s="288" t="s">
        <v>397</v>
      </c>
      <c r="AC9" s="288" t="s">
        <v>396</v>
      </c>
      <c r="AD9" s="287" t="s">
        <v>395</v>
      </c>
      <c r="AE9" s="288" t="s">
        <v>397</v>
      </c>
      <c r="AF9" s="288" t="s">
        <v>396</v>
      </c>
      <c r="AG9" s="287" t="s">
        <v>395</v>
      </c>
      <c r="AH9" s="288" t="s">
        <v>397</v>
      </c>
      <c r="AI9" s="288" t="s">
        <v>396</v>
      </c>
      <c r="AJ9" s="287" t="s">
        <v>395</v>
      </c>
      <c r="AK9" s="288" t="s">
        <v>397</v>
      </c>
      <c r="AL9" s="289" t="s">
        <v>396</v>
      </c>
      <c r="AM9" s="287" t="s">
        <v>395</v>
      </c>
      <c r="AN9" s="288" t="s">
        <v>397</v>
      </c>
      <c r="AO9" s="289" t="s">
        <v>396</v>
      </c>
      <c r="AP9" s="287" t="s">
        <v>395</v>
      </c>
      <c r="AQ9" s="288" t="s">
        <v>397</v>
      </c>
      <c r="AR9" s="290" t="s">
        <v>396</v>
      </c>
      <c r="AS9" s="291" t="s">
        <v>395</v>
      </c>
      <c r="AT9" s="292" t="s">
        <v>397</v>
      </c>
      <c r="AU9" s="290" t="s">
        <v>396</v>
      </c>
      <c r="AV9" s="291" t="s">
        <v>395</v>
      </c>
      <c r="AW9" s="292" t="s">
        <v>397</v>
      </c>
      <c r="AX9" s="290" t="s">
        <v>396</v>
      </c>
    </row>
    <row r="10" spans="1:50">
      <c r="B10" s="134" t="s">
        <v>70</v>
      </c>
      <c r="G10" s="264"/>
      <c r="H10" s="263"/>
      <c r="I10" s="264"/>
      <c r="J10" s="263"/>
      <c r="K10" s="264"/>
      <c r="L10" s="263"/>
      <c r="M10" s="264"/>
      <c r="N10" s="263"/>
      <c r="O10" s="264"/>
      <c r="P10" s="263"/>
      <c r="Q10" s="264"/>
      <c r="R10" s="263"/>
      <c r="S10" s="264"/>
      <c r="T10" s="263"/>
      <c r="U10" s="264"/>
      <c r="V10" s="263"/>
      <c r="W10" s="263"/>
      <c r="X10" s="264"/>
      <c r="Y10" s="263"/>
      <c r="Z10" s="263"/>
      <c r="AA10" s="264"/>
      <c r="AD10" s="264"/>
      <c r="AG10" s="264"/>
      <c r="AJ10" s="264"/>
      <c r="AK10" s="263"/>
      <c r="AL10" s="265"/>
      <c r="AM10" s="264"/>
      <c r="AN10" s="263"/>
      <c r="AO10" s="265"/>
      <c r="AP10" s="264"/>
      <c r="AQ10" s="263"/>
      <c r="AR10" s="280"/>
      <c r="AS10" s="267"/>
      <c r="AT10" s="262"/>
      <c r="AU10" s="280"/>
      <c r="AV10" s="267"/>
      <c r="AW10" s="262"/>
      <c r="AX10" s="280"/>
    </row>
    <row r="11" spans="1:50">
      <c r="A11" s="121">
        <v>1</v>
      </c>
      <c r="B11" s="260" t="s">
        <v>71</v>
      </c>
      <c r="C11" s="260"/>
      <c r="D11" s="260"/>
      <c r="E11" s="293">
        <f>[8]ROR!N20</f>
        <v>0.95483899999999999</v>
      </c>
      <c r="F11" s="293"/>
      <c r="G11" s="294">
        <f>ROUND(G36/$E11,0)</f>
        <v>0</v>
      </c>
      <c r="H11" s="295">
        <f>ROUND((H21-H13)/$E11,0)</f>
        <v>-60091</v>
      </c>
      <c r="I11" s="294">
        <f>ROUND(I36/$E11,0)</f>
        <v>-994</v>
      </c>
      <c r="J11" s="295">
        <f>ROUND((J21-J13)/$E11,0)</f>
        <v>-111836</v>
      </c>
      <c r="K11" s="294">
        <f>ROUND(K36/$E11,0)-0</f>
        <v>-1776</v>
      </c>
      <c r="L11" s="295">
        <f>ROUND((L21-L13)/$E11,0)+0</f>
        <v>-115438</v>
      </c>
      <c r="M11" s="294">
        <f>ROUND(M36/$E11,0)+1</f>
        <v>-2124</v>
      </c>
      <c r="N11" s="295">
        <f>ROUND((N21-N13)/$E11,0)+0</f>
        <v>-101717</v>
      </c>
      <c r="O11" s="294">
        <f>ROUND(O36/$E11,0)</f>
        <v>0</v>
      </c>
      <c r="P11" s="295">
        <f>ROUND((P21-P13)/$E11,0)-0</f>
        <v>-119780</v>
      </c>
      <c r="Q11" s="294">
        <f>ROUND(Q36/$E11,0)</f>
        <v>-2976</v>
      </c>
      <c r="R11" s="295">
        <f>ROUND((R21-R13)/$E11,0)-1</f>
        <v>-136684</v>
      </c>
      <c r="S11" s="294">
        <f>ROUND(S36/$E11,0)</f>
        <v>0</v>
      </c>
      <c r="T11" s="295">
        <f>ROUND((T21-T13)/$E11,0)+1</f>
        <v>-156886</v>
      </c>
      <c r="U11" s="294">
        <f>ROUND(U36/$E11,0)</f>
        <v>-4016</v>
      </c>
      <c r="V11" s="295">
        <f>ROUND(V41/$E11,0)+0</f>
        <v>-89</v>
      </c>
      <c r="W11" s="295">
        <f>ROUND((W21-W13)/$E11,0)+1</f>
        <v>-163336</v>
      </c>
      <c r="X11" s="294">
        <f>ROUND(X36/$E11,0)</f>
        <v>-4588</v>
      </c>
      <c r="Y11" s="295">
        <f>ROUND(Y41/$E11,0)+0</f>
        <v>-452</v>
      </c>
      <c r="Z11" s="295">
        <f>ROUND((Z21-Z13)/$E11,0)-0</f>
        <v>-154344</v>
      </c>
      <c r="AA11" s="294">
        <f>ROUND(AA36/$E11,0)+0</f>
        <v>-7098</v>
      </c>
      <c r="AB11" s="296">
        <f>ROUND(AB41/$E11,0)+1</f>
        <v>-743</v>
      </c>
      <c r="AC11" s="295">
        <f>ROUND((AC21-AC13)/$E11,0)-1</f>
        <v>-126720</v>
      </c>
      <c r="AD11" s="294">
        <f>ROUND(AD36/$E11,0)-1</f>
        <v>-8815</v>
      </c>
      <c r="AE11" s="296">
        <f>ROUND(AE41/$E11,0)-0</f>
        <v>-517</v>
      </c>
      <c r="AF11" s="295">
        <f>ROUND((AF21-AF13)/$E11,0)-1</f>
        <v>-82715</v>
      </c>
      <c r="AG11" s="294">
        <f>ROUND(AG36/$E11,0)+1</f>
        <v>-9375</v>
      </c>
      <c r="AH11" s="296">
        <f>ROUND(AH41/$E11,0)-0</f>
        <v>-517</v>
      </c>
      <c r="AI11" s="295">
        <f>ROUND((AI21-AI13)/$E11,0)+1</f>
        <v>-88014</v>
      </c>
      <c r="AJ11" s="294">
        <f>ROUND(AJ36/$E11,0)</f>
        <v>-6223</v>
      </c>
      <c r="AK11" s="295">
        <f>ROUND(AK41/$E11,0)+1</f>
        <v>-191</v>
      </c>
      <c r="AL11" s="297">
        <f>ROUND((AL21-AL13)/$E11,0)</f>
        <v>-78343</v>
      </c>
      <c r="AM11" s="294">
        <f>ROUND(AM36/$E11,0)</f>
        <v>0</v>
      </c>
      <c r="AN11" s="295">
        <f>ROUND(AN41/$E11,0)</f>
        <v>0</v>
      </c>
      <c r="AO11" s="297">
        <f>ROUND((AO21-AO13)/$E11,0)+1</f>
        <v>-80432</v>
      </c>
      <c r="AP11" s="294">
        <f>ROUND(AP36/$E11,0)</f>
        <v>0</v>
      </c>
      <c r="AQ11" s="295">
        <f>ROUND(AQ41/$E11,0)</f>
        <v>0</v>
      </c>
      <c r="AR11" s="298">
        <f>ROUND((AR21-AR13)/$E11,0)</f>
        <v>-88169</v>
      </c>
      <c r="AS11" s="299">
        <f>ROUND(AS36/$E11,0)</f>
        <v>0</v>
      </c>
      <c r="AT11" s="300">
        <f>ROUND(AT41/$E11,0)</f>
        <v>0</v>
      </c>
      <c r="AU11" s="298">
        <f>ROUND((AU21-AU13)/$E11,0)</f>
        <v>-83400</v>
      </c>
      <c r="AV11" s="299">
        <f>ROUND(AV36/$E11,0)</f>
        <v>0</v>
      </c>
      <c r="AW11" s="300">
        <f>ROUND(AW41/$E11,0)</f>
        <v>0</v>
      </c>
      <c r="AX11" s="298">
        <f>ROUND((AX21-AX13)/$E11,0)</f>
        <v>-66463</v>
      </c>
    </row>
    <row r="12" spans="1:50">
      <c r="A12" s="121">
        <v>2</v>
      </c>
      <c r="B12" s="245" t="s">
        <v>72</v>
      </c>
      <c r="D12" s="245"/>
      <c r="E12" s="293"/>
      <c r="F12" s="293"/>
      <c r="G12" s="294"/>
      <c r="H12" s="295"/>
      <c r="I12" s="294"/>
      <c r="J12" s="295"/>
      <c r="K12" s="294"/>
      <c r="L12" s="295"/>
      <c r="M12" s="294"/>
      <c r="N12" s="295"/>
      <c r="O12" s="294"/>
      <c r="P12" s="295"/>
      <c r="Q12" s="294"/>
      <c r="R12" s="295"/>
      <c r="S12" s="294"/>
      <c r="T12" s="295"/>
      <c r="U12" s="294"/>
      <c r="V12" s="295"/>
      <c r="W12" s="295"/>
      <c r="X12" s="294"/>
      <c r="Y12" s="295"/>
      <c r="Z12" s="295"/>
      <c r="AA12" s="294"/>
      <c r="AB12" s="296"/>
      <c r="AC12" s="295"/>
      <c r="AD12" s="294"/>
      <c r="AE12" s="296"/>
      <c r="AF12" s="295"/>
      <c r="AG12" s="294"/>
      <c r="AH12" s="296"/>
      <c r="AI12" s="295"/>
      <c r="AJ12" s="294"/>
      <c r="AK12" s="295"/>
      <c r="AL12" s="297"/>
      <c r="AM12" s="294"/>
      <c r="AN12" s="295"/>
      <c r="AO12" s="297"/>
      <c r="AP12" s="294"/>
      <c r="AQ12" s="295"/>
      <c r="AR12" s="298"/>
      <c r="AS12" s="299"/>
      <c r="AT12" s="300"/>
      <c r="AU12" s="298"/>
      <c r="AV12" s="299"/>
      <c r="AW12" s="300"/>
      <c r="AX12" s="298"/>
    </row>
    <row r="13" spans="1:50">
      <c r="A13" s="121">
        <v>3</v>
      </c>
      <c r="B13" s="245" t="s">
        <v>73</v>
      </c>
      <c r="D13" s="245"/>
      <c r="E13" s="293"/>
      <c r="F13" s="293"/>
      <c r="G13" s="301"/>
      <c r="H13" s="302">
        <f>-H61</f>
        <v>-242</v>
      </c>
      <c r="I13" s="301"/>
      <c r="J13" s="302">
        <f>-J61</f>
        <v>-244</v>
      </c>
      <c r="K13" s="301"/>
      <c r="L13" s="302">
        <f>-L61</f>
        <v>-144</v>
      </c>
      <c r="M13" s="301"/>
      <c r="N13" s="302">
        <f>-N61</f>
        <v>0</v>
      </c>
      <c r="O13" s="301"/>
      <c r="P13" s="302">
        <f>-P61</f>
        <v>0</v>
      </c>
      <c r="Q13" s="301"/>
      <c r="R13" s="302">
        <f>-R61</f>
        <v>-28334</v>
      </c>
      <c r="S13" s="301"/>
      <c r="T13" s="302">
        <v>0</v>
      </c>
      <c r="U13" s="301"/>
      <c r="V13" s="302"/>
      <c r="W13" s="302">
        <f>-W61</f>
        <v>-66686</v>
      </c>
      <c r="X13" s="301"/>
      <c r="Y13" s="295"/>
      <c r="Z13" s="302">
        <f>-Z61</f>
        <v>-153018</v>
      </c>
      <c r="AA13" s="301"/>
      <c r="AB13" s="302"/>
      <c r="AC13" s="302">
        <f>-AC61</f>
        <v>-83992</v>
      </c>
      <c r="AD13" s="301"/>
      <c r="AE13" s="302"/>
      <c r="AF13" s="302">
        <f>-AF61</f>
        <v>-115193</v>
      </c>
      <c r="AG13" s="301"/>
      <c r="AH13" s="302"/>
      <c r="AI13" s="302">
        <f>-AI61</f>
        <v>-98794</v>
      </c>
      <c r="AJ13" s="301"/>
      <c r="AK13" s="302"/>
      <c r="AL13" s="303">
        <f>-AL61</f>
        <v>-67822</v>
      </c>
      <c r="AM13" s="301"/>
      <c r="AN13" s="302"/>
      <c r="AO13" s="303">
        <f>-AO61</f>
        <v>0</v>
      </c>
      <c r="AP13" s="301"/>
      <c r="AQ13" s="302"/>
      <c r="AR13" s="304">
        <f>-AR61</f>
        <v>0</v>
      </c>
      <c r="AS13" s="305"/>
      <c r="AT13" s="306"/>
      <c r="AU13" s="304">
        <f>-AU61</f>
        <v>0</v>
      </c>
      <c r="AV13" s="305"/>
      <c r="AW13" s="306"/>
      <c r="AX13" s="304">
        <f>-AX61</f>
        <v>0</v>
      </c>
    </row>
    <row r="14" spans="1:50">
      <c r="A14" s="121">
        <v>4</v>
      </c>
      <c r="B14" s="134" t="s">
        <v>74</v>
      </c>
      <c r="C14" s="245"/>
      <c r="D14" s="245"/>
      <c r="E14" s="293"/>
      <c r="F14" s="293"/>
      <c r="G14" s="294">
        <f t="shared" ref="G14:P14" si="0">SUM(G11:G13)</f>
        <v>0</v>
      </c>
      <c r="H14" s="295">
        <f>SUM(H11:H13)</f>
        <v>-60333</v>
      </c>
      <c r="I14" s="294">
        <f t="shared" si="0"/>
        <v>-994</v>
      </c>
      <c r="J14" s="295">
        <f>SUM(J11:J13)</f>
        <v>-112080</v>
      </c>
      <c r="K14" s="294">
        <f t="shared" si="0"/>
        <v>-1776</v>
      </c>
      <c r="L14" s="295">
        <f t="shared" si="0"/>
        <v>-115582</v>
      </c>
      <c r="M14" s="294">
        <f t="shared" si="0"/>
        <v>-2124</v>
      </c>
      <c r="N14" s="295">
        <f t="shared" si="0"/>
        <v>-101717</v>
      </c>
      <c r="O14" s="294">
        <f t="shared" si="0"/>
        <v>0</v>
      </c>
      <c r="P14" s="295">
        <f t="shared" si="0"/>
        <v>-119780</v>
      </c>
      <c r="Q14" s="294">
        <f t="shared" ref="Q14:AX14" si="1">SUM(Q11:Q13)</f>
        <v>-2976</v>
      </c>
      <c r="R14" s="295">
        <f t="shared" si="1"/>
        <v>-165018</v>
      </c>
      <c r="S14" s="294">
        <f t="shared" si="1"/>
        <v>0</v>
      </c>
      <c r="T14" s="295">
        <f t="shared" si="1"/>
        <v>-156886</v>
      </c>
      <c r="U14" s="294">
        <f t="shared" si="1"/>
        <v>-4016</v>
      </c>
      <c r="V14" s="295">
        <f t="shared" si="1"/>
        <v>-89</v>
      </c>
      <c r="W14" s="295">
        <f t="shared" si="1"/>
        <v>-230022</v>
      </c>
      <c r="X14" s="294">
        <f t="shared" si="1"/>
        <v>-4588</v>
      </c>
      <c r="Y14" s="307">
        <f t="shared" si="1"/>
        <v>-452</v>
      </c>
      <c r="Z14" s="295">
        <f t="shared" si="1"/>
        <v>-307362</v>
      </c>
      <c r="AA14" s="294">
        <f t="shared" si="1"/>
        <v>-7098</v>
      </c>
      <c r="AB14" s="296">
        <f t="shared" si="1"/>
        <v>-743</v>
      </c>
      <c r="AC14" s="295">
        <f t="shared" si="1"/>
        <v>-210712</v>
      </c>
      <c r="AD14" s="294">
        <f t="shared" si="1"/>
        <v>-8815</v>
      </c>
      <c r="AE14" s="296">
        <f t="shared" si="1"/>
        <v>-517</v>
      </c>
      <c r="AF14" s="295">
        <f t="shared" si="1"/>
        <v>-197908</v>
      </c>
      <c r="AG14" s="294">
        <f t="shared" si="1"/>
        <v>-9375</v>
      </c>
      <c r="AH14" s="296">
        <f t="shared" si="1"/>
        <v>-517</v>
      </c>
      <c r="AI14" s="295">
        <f t="shared" si="1"/>
        <v>-186808</v>
      </c>
      <c r="AJ14" s="294">
        <f t="shared" si="1"/>
        <v>-6223</v>
      </c>
      <c r="AK14" s="295">
        <f t="shared" si="1"/>
        <v>-191</v>
      </c>
      <c r="AL14" s="297">
        <f t="shared" si="1"/>
        <v>-146165</v>
      </c>
      <c r="AM14" s="294">
        <f t="shared" si="1"/>
        <v>0</v>
      </c>
      <c r="AN14" s="295">
        <f t="shared" si="1"/>
        <v>0</v>
      </c>
      <c r="AO14" s="297">
        <f t="shared" si="1"/>
        <v>-80432</v>
      </c>
      <c r="AP14" s="294">
        <f t="shared" si="1"/>
        <v>0</v>
      </c>
      <c r="AQ14" s="295">
        <f t="shared" si="1"/>
        <v>0</v>
      </c>
      <c r="AR14" s="298">
        <f t="shared" si="1"/>
        <v>-88169</v>
      </c>
      <c r="AS14" s="299">
        <f t="shared" si="1"/>
        <v>0</v>
      </c>
      <c r="AT14" s="300">
        <f t="shared" si="1"/>
        <v>0</v>
      </c>
      <c r="AU14" s="298">
        <f t="shared" si="1"/>
        <v>-83400</v>
      </c>
      <c r="AV14" s="299">
        <f t="shared" si="1"/>
        <v>0</v>
      </c>
      <c r="AW14" s="300">
        <f t="shared" si="1"/>
        <v>0</v>
      </c>
      <c r="AX14" s="298">
        <f t="shared" si="1"/>
        <v>-66463</v>
      </c>
    </row>
    <row r="15" spans="1:50">
      <c r="C15" s="245"/>
      <c r="D15" s="245"/>
      <c r="E15" s="293"/>
      <c r="F15" s="293"/>
      <c r="G15" s="294"/>
      <c r="H15" s="295"/>
      <c r="I15" s="294"/>
      <c r="J15" s="295"/>
      <c r="K15" s="294"/>
      <c r="L15" s="295"/>
      <c r="M15" s="294"/>
      <c r="N15" s="295"/>
      <c r="O15" s="294"/>
      <c r="P15" s="295"/>
      <c r="Q15" s="294"/>
      <c r="R15" s="295"/>
      <c r="S15" s="294"/>
      <c r="T15" s="295"/>
      <c r="U15" s="294"/>
      <c r="V15" s="295"/>
      <c r="W15" s="295"/>
      <c r="X15" s="294"/>
      <c r="Y15" s="295"/>
      <c r="Z15" s="295"/>
      <c r="AA15" s="294"/>
      <c r="AB15" s="296"/>
      <c r="AC15" s="295"/>
      <c r="AD15" s="294"/>
      <c r="AE15" s="296"/>
      <c r="AF15" s="295"/>
      <c r="AG15" s="294"/>
      <c r="AH15" s="296"/>
      <c r="AI15" s="295"/>
      <c r="AJ15" s="294"/>
      <c r="AK15" s="295"/>
      <c r="AL15" s="297"/>
      <c r="AM15" s="294"/>
      <c r="AN15" s="295"/>
      <c r="AO15" s="297"/>
      <c r="AP15" s="294"/>
      <c r="AQ15" s="295"/>
      <c r="AR15" s="298"/>
      <c r="AS15" s="299"/>
      <c r="AT15" s="300"/>
      <c r="AU15" s="298"/>
      <c r="AV15" s="299"/>
      <c r="AW15" s="300"/>
      <c r="AX15" s="298"/>
    </row>
    <row r="16" spans="1:50">
      <c r="B16" s="134" t="s">
        <v>75</v>
      </c>
      <c r="C16" s="245"/>
      <c r="D16" s="245"/>
      <c r="E16" s="293"/>
      <c r="F16" s="293"/>
      <c r="G16" s="294"/>
      <c r="H16" s="295"/>
      <c r="I16" s="294"/>
      <c r="J16" s="295"/>
      <c r="K16" s="294"/>
      <c r="L16" s="295"/>
      <c r="M16" s="294"/>
      <c r="N16" s="295"/>
      <c r="O16" s="294"/>
      <c r="P16" s="295"/>
      <c r="Q16" s="294"/>
      <c r="R16" s="295"/>
      <c r="S16" s="294"/>
      <c r="T16" s="295"/>
      <c r="U16" s="294"/>
      <c r="V16" s="295"/>
      <c r="W16" s="295"/>
      <c r="X16" s="294"/>
      <c r="Y16" s="295"/>
      <c r="Z16" s="295"/>
      <c r="AA16" s="294"/>
      <c r="AB16" s="296"/>
      <c r="AC16" s="295"/>
      <c r="AD16" s="294"/>
      <c r="AE16" s="296"/>
      <c r="AF16" s="295"/>
      <c r="AG16" s="294"/>
      <c r="AH16" s="296"/>
      <c r="AI16" s="295"/>
      <c r="AJ16" s="294"/>
      <c r="AK16" s="295"/>
      <c r="AL16" s="297"/>
      <c r="AM16" s="294"/>
      <c r="AN16" s="295"/>
      <c r="AO16" s="297"/>
      <c r="AP16" s="294"/>
      <c r="AQ16" s="295"/>
      <c r="AR16" s="298"/>
      <c r="AS16" s="299"/>
      <c r="AT16" s="300"/>
      <c r="AU16" s="298"/>
      <c r="AV16" s="299"/>
      <c r="AW16" s="300"/>
      <c r="AX16" s="298"/>
    </row>
    <row r="17" spans="1:50">
      <c r="B17" s="245" t="s">
        <v>76</v>
      </c>
      <c r="D17" s="245"/>
      <c r="E17" s="293"/>
      <c r="F17" s="293"/>
      <c r="G17" s="294"/>
      <c r="H17" s="295"/>
      <c r="I17" s="294"/>
      <c r="J17" s="295"/>
      <c r="K17" s="294"/>
      <c r="L17" s="295"/>
      <c r="M17" s="294"/>
      <c r="N17" s="295"/>
      <c r="O17" s="294"/>
      <c r="P17" s="295"/>
      <c r="Q17" s="294"/>
      <c r="R17" s="295"/>
      <c r="S17" s="294"/>
      <c r="T17" s="295"/>
      <c r="U17" s="294"/>
      <c r="V17" s="295"/>
      <c r="W17" s="295"/>
      <c r="X17" s="294"/>
      <c r="Y17" s="295"/>
      <c r="Z17" s="295"/>
      <c r="AA17" s="294"/>
      <c r="AB17" s="296"/>
      <c r="AC17" s="295"/>
      <c r="AD17" s="294"/>
      <c r="AE17" s="296"/>
      <c r="AF17" s="295"/>
      <c r="AG17" s="294"/>
      <c r="AH17" s="296"/>
      <c r="AI17" s="295"/>
      <c r="AJ17" s="294"/>
      <c r="AK17" s="295"/>
      <c r="AL17" s="297"/>
      <c r="AM17" s="294"/>
      <c r="AN17" s="295"/>
      <c r="AO17" s="297"/>
      <c r="AP17" s="294"/>
      <c r="AQ17" s="295"/>
      <c r="AR17" s="298"/>
      <c r="AS17" s="299"/>
      <c r="AT17" s="300"/>
      <c r="AU17" s="298"/>
      <c r="AV17" s="299"/>
      <c r="AW17" s="300"/>
      <c r="AX17" s="298"/>
    </row>
    <row r="18" spans="1:50">
      <c r="A18" s="121">
        <v>5</v>
      </c>
      <c r="C18" s="245" t="s">
        <v>77</v>
      </c>
      <c r="D18" s="245"/>
      <c r="E18" s="293"/>
      <c r="F18" s="293"/>
      <c r="G18" s="294"/>
      <c r="H18" s="295">
        <f>-'[9]Cost Trends'!F19</f>
        <v>-59659</v>
      </c>
      <c r="I18" s="294"/>
      <c r="J18" s="295">
        <f>-'[9]Cost Trends'!G19</f>
        <v>-106139</v>
      </c>
      <c r="K18" s="294"/>
      <c r="L18" s="295">
        <f>-'[9]Cost Trends'!H19</f>
        <v>-109325</v>
      </c>
      <c r="M18" s="294"/>
      <c r="N18" s="295">
        <f>-'[9]Cost Trends'!I19</f>
        <v>-96222</v>
      </c>
      <c r="O18" s="294"/>
      <c r="P18" s="295">
        <f>-'[9]Cost Trends'!J19</f>
        <v>-114371</v>
      </c>
      <c r="Q18" s="294"/>
      <c r="R18" s="295">
        <f>-'[9]Cost Trends'!K19</f>
        <v>-167251</v>
      </c>
      <c r="S18" s="294"/>
      <c r="T18" s="295">
        <f>-'[9]Cost Trends'!L19</f>
        <v>-149802</v>
      </c>
      <c r="U18" s="294"/>
      <c r="V18" s="295"/>
      <c r="W18" s="295">
        <f>-'[9]Cost Trends'!M19</f>
        <v>-222364</v>
      </c>
      <c r="X18" s="294"/>
      <c r="Y18" s="295"/>
      <c r="Z18" s="295">
        <f>-'[9]Cost Trends'!N19</f>
        <v>-310276</v>
      </c>
      <c r="AA18" s="294"/>
      <c r="AB18" s="296"/>
      <c r="AC18" s="295">
        <f>-'[9]Cost Trends'!O19</f>
        <v>-194267</v>
      </c>
      <c r="AD18" s="294"/>
      <c r="AE18" s="296"/>
      <c r="AF18" s="295">
        <f>-'[9]Cost Trends'!P19</f>
        <v>-197494</v>
      </c>
      <c r="AG18" s="294"/>
      <c r="AH18" s="296"/>
      <c r="AI18" s="295">
        <f>-'[9]Cost Trends'!Q19</f>
        <v>-188167</v>
      </c>
      <c r="AJ18" s="294"/>
      <c r="AK18" s="295"/>
      <c r="AL18" s="297">
        <f>-'[9]Cost Trends'!R19</f>
        <v>-139073</v>
      </c>
      <c r="AM18" s="294"/>
      <c r="AN18" s="295"/>
      <c r="AO18" s="297">
        <f>-'[9]Cost Trends'!S19</f>
        <v>-76801</v>
      </c>
      <c r="AP18" s="294"/>
      <c r="AQ18" s="295"/>
      <c r="AR18" s="298">
        <f>-'[9]Cost Trends'!T19</f>
        <v>-84187</v>
      </c>
      <c r="AS18" s="299"/>
      <c r="AT18" s="300"/>
      <c r="AU18" s="298">
        <f>-'[9]Cost Trends'!U19</f>
        <v>-79634</v>
      </c>
      <c r="AV18" s="299"/>
      <c r="AW18" s="300"/>
      <c r="AX18" s="298">
        <f>-'[9]Cost Trends'!V19</f>
        <v>-63460</v>
      </c>
    </row>
    <row r="19" spans="1:50">
      <c r="A19" s="121">
        <v>6</v>
      </c>
      <c r="C19" s="245" t="s">
        <v>78</v>
      </c>
      <c r="D19" s="245"/>
      <c r="E19" s="293"/>
      <c r="F19" s="293"/>
      <c r="G19" s="294"/>
      <c r="H19" s="295">
        <f>-'[9]Cost Trends'!F20+H63</f>
        <v>2078</v>
      </c>
      <c r="I19" s="294"/>
      <c r="J19" s="295">
        <f>-'[9]Cost Trends'!G20+J63</f>
        <v>-756</v>
      </c>
      <c r="K19" s="294"/>
      <c r="L19" s="295">
        <f>-'[9]Cost Trends'!H20+L63</f>
        <v>-916</v>
      </c>
      <c r="M19" s="294"/>
      <c r="N19" s="295">
        <f>-'[9]Cost Trends'!I20+N63</f>
        <v>-901</v>
      </c>
      <c r="O19" s="294"/>
      <c r="P19" s="295">
        <f>-'[9]Cost Trends'!J20+P63</f>
        <v>0</v>
      </c>
      <c r="Q19" s="294"/>
      <c r="R19" s="295">
        <f>-'[9]Cost Trends'!K20+R63</f>
        <v>0</v>
      </c>
      <c r="S19" s="294"/>
      <c r="T19" s="295">
        <f>-'[9]Cost Trends'!L20+T63</f>
        <v>0</v>
      </c>
      <c r="U19" s="294"/>
      <c r="V19" s="295"/>
      <c r="W19" s="295">
        <f>-'[9]Cost Trends'!M20+W63</f>
        <v>0</v>
      </c>
      <c r="X19" s="294"/>
      <c r="Y19" s="295"/>
      <c r="Z19" s="295">
        <f>-'[9]Cost Trends'!N20+Z63</f>
        <v>9886</v>
      </c>
      <c r="AA19" s="294"/>
      <c r="AB19" s="296"/>
      <c r="AC19" s="295">
        <f>-'[9]Cost Trends'!O20+AC63</f>
        <v>-1</v>
      </c>
      <c r="AD19" s="294"/>
      <c r="AE19" s="296"/>
      <c r="AF19" s="295">
        <f>-'[9]Cost Trends'!P20+AF63</f>
        <v>0</v>
      </c>
      <c r="AG19" s="294"/>
      <c r="AH19" s="296"/>
      <c r="AI19" s="295">
        <f>-'[9]Cost Trends'!Q20+AI63</f>
        <v>967</v>
      </c>
      <c r="AJ19" s="294"/>
      <c r="AK19" s="295"/>
      <c r="AL19" s="297">
        <f>-'[9]Cost Trends'!R20+AL63</f>
        <v>798</v>
      </c>
      <c r="AM19" s="294"/>
      <c r="AN19" s="295"/>
      <c r="AO19" s="297">
        <f>-'[9]Cost Trends'!S20+AO63</f>
        <v>0</v>
      </c>
      <c r="AP19" s="294"/>
      <c r="AQ19" s="295"/>
      <c r="AR19" s="298">
        <f>-'[9]Cost Trends'!T20+AR63</f>
        <v>0</v>
      </c>
      <c r="AS19" s="299"/>
      <c r="AT19" s="300"/>
      <c r="AU19" s="298">
        <f>-'[9]Cost Trends'!U20+AU63</f>
        <v>0</v>
      </c>
      <c r="AV19" s="299"/>
      <c r="AW19" s="300"/>
      <c r="AX19" s="298">
        <f>-'[9]Cost Trends'!V20+AX63</f>
        <v>0</v>
      </c>
    </row>
    <row r="20" spans="1:50">
      <c r="A20" s="121">
        <v>7</v>
      </c>
      <c r="C20" s="245" t="s">
        <v>79</v>
      </c>
      <c r="D20" s="245"/>
      <c r="E20" s="293"/>
      <c r="F20" s="293"/>
      <c r="G20" s="301"/>
      <c r="H20" s="295">
        <f>-'[9]Cost Trends'!F21</f>
        <v>-38</v>
      </c>
      <c r="I20" s="301"/>
      <c r="J20" s="295">
        <f>-'[9]Cost Trends'!G21</f>
        <v>-134</v>
      </c>
      <c r="K20" s="301"/>
      <c r="L20" s="295">
        <f>-'[9]Cost Trends'!H21</f>
        <v>-128</v>
      </c>
      <c r="M20" s="301"/>
      <c r="N20" s="295">
        <f>-'[9]Cost Trends'!I21</f>
        <v>0</v>
      </c>
      <c r="O20" s="301"/>
      <c r="P20" s="295">
        <f>-'[9]Cost Trends'!J21</f>
        <v>0</v>
      </c>
      <c r="Q20" s="301"/>
      <c r="R20" s="295">
        <f>-'[9]Cost Trends'!K21</f>
        <v>8407</v>
      </c>
      <c r="S20" s="301"/>
      <c r="T20" s="295">
        <f>-'[9]Cost Trends'!L21</f>
        <v>0</v>
      </c>
      <c r="U20" s="301"/>
      <c r="V20" s="302"/>
      <c r="W20" s="295">
        <f>-'[9]Cost Trends'!M21</f>
        <v>-283</v>
      </c>
      <c r="X20" s="301"/>
      <c r="Y20" s="295"/>
      <c r="Z20" s="295">
        <f>-'[9]Cost Trends'!N21</f>
        <v>-2</v>
      </c>
      <c r="AA20" s="301"/>
      <c r="AB20" s="302"/>
      <c r="AC20" s="295">
        <f>-'[9]Cost Trends'!O21</f>
        <v>-10720</v>
      </c>
      <c r="AD20" s="301"/>
      <c r="AE20" s="302"/>
      <c r="AF20" s="295">
        <f>-'[9]Cost Trends'!P21</f>
        <v>3322</v>
      </c>
      <c r="AG20" s="301"/>
      <c r="AH20" s="302"/>
      <c r="AI20" s="295">
        <f>-'[9]Cost Trends'!Q21</f>
        <v>4366</v>
      </c>
      <c r="AJ20" s="301"/>
      <c r="AK20" s="302"/>
      <c r="AL20" s="297">
        <f>-'[9]Cost Trends'!R21</f>
        <v>-4352</v>
      </c>
      <c r="AM20" s="301"/>
      <c r="AN20" s="302"/>
      <c r="AO20" s="297">
        <f>-'[9]Cost Trends'!S21</f>
        <v>0</v>
      </c>
      <c r="AP20" s="301"/>
      <c r="AQ20" s="302"/>
      <c r="AR20" s="298">
        <f>-'[9]Cost Trends'!T21</f>
        <v>0</v>
      </c>
      <c r="AS20" s="305"/>
      <c r="AT20" s="306"/>
      <c r="AU20" s="298">
        <f>-'[9]Cost Trends'!U21</f>
        <v>0</v>
      </c>
      <c r="AV20" s="305"/>
      <c r="AW20" s="306"/>
      <c r="AX20" s="298">
        <f>-'[9]Cost Trends'!V21</f>
        <v>-1</v>
      </c>
    </row>
    <row r="21" spans="1:50">
      <c r="A21" s="121">
        <v>8</v>
      </c>
      <c r="B21" s="245" t="s">
        <v>80</v>
      </c>
      <c r="C21" s="245"/>
      <c r="E21" s="293"/>
      <c r="F21" s="293"/>
      <c r="G21" s="294">
        <f t="shared" ref="G21:P21" si="2">SUM(G18:G20)</f>
        <v>0</v>
      </c>
      <c r="H21" s="308">
        <f>SUM(H18:H20)</f>
        <v>-57619</v>
      </c>
      <c r="I21" s="294">
        <f t="shared" si="2"/>
        <v>0</v>
      </c>
      <c r="J21" s="308">
        <f>SUM(J18:J20)</f>
        <v>-107029</v>
      </c>
      <c r="K21" s="294">
        <f t="shared" si="2"/>
        <v>0</v>
      </c>
      <c r="L21" s="308">
        <f t="shared" si="2"/>
        <v>-110369</v>
      </c>
      <c r="M21" s="294">
        <f t="shared" si="2"/>
        <v>0</v>
      </c>
      <c r="N21" s="308">
        <f t="shared" si="2"/>
        <v>-97123</v>
      </c>
      <c r="O21" s="294">
        <f t="shared" si="2"/>
        <v>0</v>
      </c>
      <c r="P21" s="308">
        <f t="shared" si="2"/>
        <v>-114371</v>
      </c>
      <c r="Q21" s="294">
        <f t="shared" ref="Q21:AX21" si="3">SUM(Q18:Q20)</f>
        <v>0</v>
      </c>
      <c r="R21" s="308">
        <f t="shared" si="3"/>
        <v>-158844</v>
      </c>
      <c r="S21" s="294">
        <f t="shared" si="3"/>
        <v>0</v>
      </c>
      <c r="T21" s="308">
        <f t="shared" si="3"/>
        <v>-149802</v>
      </c>
      <c r="U21" s="294">
        <f t="shared" si="3"/>
        <v>0</v>
      </c>
      <c r="V21" s="295">
        <f t="shared" si="3"/>
        <v>0</v>
      </c>
      <c r="W21" s="308">
        <f t="shared" si="3"/>
        <v>-222647</v>
      </c>
      <c r="X21" s="294">
        <f t="shared" si="3"/>
        <v>0</v>
      </c>
      <c r="Y21" s="307">
        <f t="shared" si="3"/>
        <v>0</v>
      </c>
      <c r="Z21" s="308">
        <f t="shared" si="3"/>
        <v>-300392</v>
      </c>
      <c r="AA21" s="294">
        <f t="shared" si="3"/>
        <v>0</v>
      </c>
      <c r="AB21" s="296">
        <f t="shared" si="3"/>
        <v>0</v>
      </c>
      <c r="AC21" s="308">
        <f t="shared" si="3"/>
        <v>-204988</v>
      </c>
      <c r="AD21" s="294">
        <f t="shared" si="3"/>
        <v>0</v>
      </c>
      <c r="AE21" s="296">
        <f t="shared" si="3"/>
        <v>0</v>
      </c>
      <c r="AF21" s="308">
        <f t="shared" si="3"/>
        <v>-194172</v>
      </c>
      <c r="AG21" s="294">
        <f t="shared" si="3"/>
        <v>0</v>
      </c>
      <c r="AH21" s="296">
        <f t="shared" si="3"/>
        <v>0</v>
      </c>
      <c r="AI21" s="308">
        <f t="shared" si="3"/>
        <v>-182834</v>
      </c>
      <c r="AJ21" s="294">
        <f t="shared" si="3"/>
        <v>0</v>
      </c>
      <c r="AK21" s="295">
        <f t="shared" si="3"/>
        <v>0</v>
      </c>
      <c r="AL21" s="308">
        <f t="shared" si="3"/>
        <v>-142627</v>
      </c>
      <c r="AM21" s="294">
        <f t="shared" si="3"/>
        <v>0</v>
      </c>
      <c r="AN21" s="295">
        <f t="shared" si="3"/>
        <v>0</v>
      </c>
      <c r="AO21" s="308">
        <f t="shared" si="3"/>
        <v>-76801</v>
      </c>
      <c r="AP21" s="294">
        <f t="shared" si="3"/>
        <v>0</v>
      </c>
      <c r="AQ21" s="295">
        <f t="shared" si="3"/>
        <v>0</v>
      </c>
      <c r="AR21" s="309">
        <f t="shared" si="3"/>
        <v>-84187</v>
      </c>
      <c r="AS21" s="299">
        <f t="shared" si="3"/>
        <v>0</v>
      </c>
      <c r="AT21" s="300">
        <f t="shared" si="3"/>
        <v>0</v>
      </c>
      <c r="AU21" s="309">
        <f t="shared" si="3"/>
        <v>-79634</v>
      </c>
      <c r="AV21" s="299">
        <f t="shared" si="3"/>
        <v>0</v>
      </c>
      <c r="AW21" s="300">
        <f t="shared" si="3"/>
        <v>0</v>
      </c>
      <c r="AX21" s="309">
        <f t="shared" si="3"/>
        <v>-63461</v>
      </c>
    </row>
    <row r="22" spans="1:50">
      <c r="B22" s="245"/>
      <c r="C22" s="245"/>
      <c r="E22" s="293"/>
      <c r="F22" s="293"/>
      <c r="G22" s="294"/>
      <c r="H22" s="295"/>
      <c r="I22" s="294"/>
      <c r="J22" s="295"/>
      <c r="K22" s="294"/>
      <c r="L22" s="295"/>
      <c r="M22" s="294"/>
      <c r="N22" s="295"/>
      <c r="O22" s="294"/>
      <c r="P22" s="295"/>
      <c r="Q22" s="294"/>
      <c r="R22" s="295"/>
      <c r="S22" s="294"/>
      <c r="T22" s="295"/>
      <c r="U22" s="294"/>
      <c r="V22" s="295"/>
      <c r="W22" s="295"/>
      <c r="X22" s="294"/>
      <c r="Y22" s="295"/>
      <c r="Z22" s="295"/>
      <c r="AA22" s="294"/>
      <c r="AB22" s="296"/>
      <c r="AC22" s="295"/>
      <c r="AD22" s="294"/>
      <c r="AE22" s="296"/>
      <c r="AF22" s="295"/>
      <c r="AG22" s="294"/>
      <c r="AH22" s="296"/>
      <c r="AI22" s="295"/>
      <c r="AJ22" s="294"/>
      <c r="AK22" s="295"/>
      <c r="AL22" s="297"/>
      <c r="AM22" s="294"/>
      <c r="AN22" s="295"/>
      <c r="AO22" s="297"/>
      <c r="AP22" s="294"/>
      <c r="AQ22" s="295"/>
      <c r="AR22" s="298"/>
      <c r="AS22" s="299"/>
      <c r="AT22" s="300"/>
      <c r="AU22" s="298"/>
      <c r="AV22" s="299"/>
      <c r="AW22" s="300"/>
      <c r="AX22" s="298"/>
    </row>
    <row r="23" spans="1:50">
      <c r="B23" s="245" t="s">
        <v>81</v>
      </c>
      <c r="D23" s="245"/>
      <c r="E23" s="293"/>
      <c r="F23" s="293"/>
      <c r="G23" s="294"/>
      <c r="H23" s="295"/>
      <c r="I23" s="294"/>
      <c r="J23" s="295"/>
      <c r="K23" s="294"/>
      <c r="L23" s="295"/>
      <c r="M23" s="294"/>
      <c r="N23" s="295"/>
      <c r="O23" s="294"/>
      <c r="P23" s="295"/>
      <c r="Q23" s="294"/>
      <c r="R23" s="295"/>
      <c r="S23" s="294"/>
      <c r="T23" s="295"/>
      <c r="U23" s="294"/>
      <c r="V23" s="295"/>
      <c r="W23" s="295"/>
      <c r="X23" s="294"/>
      <c r="Y23" s="295"/>
      <c r="Z23" s="295"/>
      <c r="AA23" s="294"/>
      <c r="AB23" s="296"/>
      <c r="AC23" s="295"/>
      <c r="AD23" s="294"/>
      <c r="AE23" s="296"/>
      <c r="AF23" s="295"/>
      <c r="AG23" s="294"/>
      <c r="AH23" s="296"/>
      <c r="AI23" s="295"/>
      <c r="AJ23" s="294"/>
      <c r="AK23" s="295"/>
      <c r="AL23" s="297"/>
      <c r="AM23" s="294"/>
      <c r="AN23" s="295"/>
      <c r="AO23" s="297"/>
      <c r="AP23" s="294"/>
      <c r="AQ23" s="295"/>
      <c r="AR23" s="298"/>
      <c r="AS23" s="299"/>
      <c r="AT23" s="300"/>
      <c r="AU23" s="298"/>
      <c r="AV23" s="299"/>
      <c r="AW23" s="300"/>
      <c r="AX23" s="298"/>
    </row>
    <row r="24" spans="1:50">
      <c r="A24" s="121">
        <v>9</v>
      </c>
      <c r="C24" s="245" t="s">
        <v>82</v>
      </c>
      <c r="D24" s="245"/>
      <c r="E24" s="293"/>
      <c r="F24" s="293"/>
      <c r="G24" s="294"/>
      <c r="H24" s="295"/>
      <c r="I24" s="294"/>
      <c r="J24" s="295"/>
      <c r="K24" s="294"/>
      <c r="L24" s="295"/>
      <c r="M24" s="294"/>
      <c r="N24" s="295"/>
      <c r="O24" s="294"/>
      <c r="P24" s="295"/>
      <c r="Q24" s="294"/>
      <c r="R24" s="295"/>
      <c r="S24" s="294"/>
      <c r="T24" s="295"/>
      <c r="U24" s="294"/>
      <c r="V24" s="295"/>
      <c r="W24" s="295"/>
      <c r="X24" s="294"/>
      <c r="Y24" s="295"/>
      <c r="Z24" s="295"/>
      <c r="AA24" s="294"/>
      <c r="AB24" s="296"/>
      <c r="AC24" s="295"/>
      <c r="AD24" s="294"/>
      <c r="AE24" s="296"/>
      <c r="AF24" s="295"/>
      <c r="AG24" s="294"/>
      <c r="AH24" s="296"/>
      <c r="AI24" s="295"/>
      <c r="AJ24" s="294"/>
      <c r="AK24" s="295"/>
      <c r="AL24" s="297"/>
      <c r="AM24" s="294"/>
      <c r="AN24" s="295"/>
      <c r="AO24" s="297"/>
      <c r="AP24" s="294"/>
      <c r="AQ24" s="295"/>
      <c r="AR24" s="298"/>
      <c r="AS24" s="299"/>
      <c r="AT24" s="300"/>
      <c r="AU24" s="298"/>
      <c r="AV24" s="299"/>
      <c r="AW24" s="300"/>
      <c r="AX24" s="298"/>
    </row>
    <row r="25" spans="1:50">
      <c r="A25" s="121">
        <v>10</v>
      </c>
      <c r="C25" s="245" t="s">
        <v>27</v>
      </c>
      <c r="D25" s="245"/>
      <c r="E25" s="293"/>
      <c r="F25" s="293"/>
      <c r="G25" s="294"/>
      <c r="H25" s="295"/>
      <c r="I25" s="294"/>
      <c r="J25" s="295"/>
      <c r="K25" s="294"/>
      <c r="L25" s="295"/>
      <c r="M25" s="294"/>
      <c r="N25" s="295"/>
      <c r="O25" s="294"/>
      <c r="P25" s="295"/>
      <c r="Q25" s="294"/>
      <c r="R25" s="295"/>
      <c r="S25" s="294"/>
      <c r="T25" s="295"/>
      <c r="U25" s="294"/>
      <c r="V25" s="295"/>
      <c r="W25" s="295"/>
      <c r="X25" s="294"/>
      <c r="Y25" s="295"/>
      <c r="Z25" s="295"/>
      <c r="AA25" s="294"/>
      <c r="AB25" s="296"/>
      <c r="AC25" s="295"/>
      <c r="AD25" s="294"/>
      <c r="AE25" s="296"/>
      <c r="AF25" s="295"/>
      <c r="AG25" s="294"/>
      <c r="AH25" s="296"/>
      <c r="AI25" s="295"/>
      <c r="AJ25" s="294"/>
      <c r="AK25" s="295"/>
      <c r="AL25" s="297"/>
      <c r="AM25" s="294"/>
      <c r="AN25" s="295"/>
      <c r="AO25" s="297"/>
      <c r="AP25" s="294"/>
      <c r="AQ25" s="295"/>
      <c r="AR25" s="298"/>
      <c r="AS25" s="299"/>
      <c r="AT25" s="300"/>
      <c r="AU25" s="298"/>
      <c r="AV25" s="299"/>
      <c r="AW25" s="300"/>
      <c r="AX25" s="298"/>
    </row>
    <row r="26" spans="1:50">
      <c r="A26" s="121">
        <v>11</v>
      </c>
      <c r="C26" s="245" t="s">
        <v>83</v>
      </c>
      <c r="D26" s="245"/>
      <c r="E26" s="293"/>
      <c r="F26" s="293"/>
      <c r="G26" s="301"/>
      <c r="H26" s="302"/>
      <c r="I26" s="301"/>
      <c r="J26" s="302"/>
      <c r="K26" s="301"/>
      <c r="L26" s="302"/>
      <c r="M26" s="301"/>
      <c r="N26" s="302"/>
      <c r="O26" s="301"/>
      <c r="P26" s="302"/>
      <c r="Q26" s="301"/>
      <c r="R26" s="302"/>
      <c r="S26" s="301"/>
      <c r="T26" s="302"/>
      <c r="U26" s="301"/>
      <c r="V26" s="302"/>
      <c r="W26" s="302"/>
      <c r="X26" s="301"/>
      <c r="Y26" s="295"/>
      <c r="Z26" s="302"/>
      <c r="AA26" s="301"/>
      <c r="AB26" s="302"/>
      <c r="AC26" s="302"/>
      <c r="AD26" s="301"/>
      <c r="AE26" s="302"/>
      <c r="AF26" s="302"/>
      <c r="AG26" s="301"/>
      <c r="AH26" s="302"/>
      <c r="AI26" s="302"/>
      <c r="AJ26" s="301"/>
      <c r="AK26" s="302"/>
      <c r="AL26" s="303"/>
      <c r="AM26" s="301"/>
      <c r="AN26" s="302"/>
      <c r="AO26" s="303"/>
      <c r="AP26" s="301"/>
      <c r="AQ26" s="302"/>
      <c r="AR26" s="304"/>
      <c r="AS26" s="305"/>
      <c r="AT26" s="306"/>
      <c r="AU26" s="304"/>
      <c r="AV26" s="305"/>
      <c r="AW26" s="306"/>
      <c r="AX26" s="304"/>
    </row>
    <row r="27" spans="1:50">
      <c r="A27" s="121">
        <v>12</v>
      </c>
      <c r="B27" s="245" t="s">
        <v>84</v>
      </c>
      <c r="C27" s="245"/>
      <c r="E27" s="293"/>
      <c r="F27" s="293"/>
      <c r="G27" s="294">
        <f t="shared" ref="G27:AX27" si="4">SUM(G24:G26)</f>
        <v>0</v>
      </c>
      <c r="H27" s="295">
        <f>SUM(H24:H26)</f>
        <v>0</v>
      </c>
      <c r="I27" s="294">
        <f t="shared" si="4"/>
        <v>0</v>
      </c>
      <c r="J27" s="295">
        <f>SUM(J24:J26)</f>
        <v>0</v>
      </c>
      <c r="K27" s="294">
        <f t="shared" si="4"/>
        <v>0</v>
      </c>
      <c r="L27" s="295">
        <f t="shared" si="4"/>
        <v>0</v>
      </c>
      <c r="M27" s="294">
        <f t="shared" si="4"/>
        <v>0</v>
      </c>
      <c r="N27" s="295">
        <f t="shared" si="4"/>
        <v>0</v>
      </c>
      <c r="O27" s="294">
        <f t="shared" si="4"/>
        <v>0</v>
      </c>
      <c r="P27" s="295">
        <f t="shared" si="4"/>
        <v>0</v>
      </c>
      <c r="Q27" s="294">
        <f t="shared" si="4"/>
        <v>0</v>
      </c>
      <c r="R27" s="295">
        <f t="shared" si="4"/>
        <v>0</v>
      </c>
      <c r="S27" s="294">
        <f t="shared" si="4"/>
        <v>0</v>
      </c>
      <c r="T27" s="295">
        <f t="shared" si="4"/>
        <v>0</v>
      </c>
      <c r="U27" s="294">
        <f t="shared" si="4"/>
        <v>0</v>
      </c>
      <c r="V27" s="295">
        <f t="shared" si="4"/>
        <v>0</v>
      </c>
      <c r="W27" s="295">
        <f t="shared" si="4"/>
        <v>0</v>
      </c>
      <c r="X27" s="294">
        <f t="shared" si="4"/>
        <v>0</v>
      </c>
      <c r="Y27" s="307">
        <f t="shared" si="4"/>
        <v>0</v>
      </c>
      <c r="Z27" s="295">
        <f t="shared" si="4"/>
        <v>0</v>
      </c>
      <c r="AA27" s="294">
        <f t="shared" si="4"/>
        <v>0</v>
      </c>
      <c r="AB27" s="296">
        <f t="shared" si="4"/>
        <v>0</v>
      </c>
      <c r="AC27" s="295">
        <f t="shared" si="4"/>
        <v>0</v>
      </c>
      <c r="AD27" s="294">
        <f t="shared" si="4"/>
        <v>0</v>
      </c>
      <c r="AE27" s="296">
        <f t="shared" si="4"/>
        <v>0</v>
      </c>
      <c r="AF27" s="295">
        <f t="shared" si="4"/>
        <v>0</v>
      </c>
      <c r="AG27" s="294">
        <f t="shared" si="4"/>
        <v>0</v>
      </c>
      <c r="AH27" s="296">
        <f t="shared" si="4"/>
        <v>0</v>
      </c>
      <c r="AI27" s="295">
        <f t="shared" si="4"/>
        <v>0</v>
      </c>
      <c r="AJ27" s="294">
        <f t="shared" si="4"/>
        <v>0</v>
      </c>
      <c r="AK27" s="295">
        <f t="shared" si="4"/>
        <v>0</v>
      </c>
      <c r="AL27" s="297">
        <f t="shared" si="4"/>
        <v>0</v>
      </c>
      <c r="AM27" s="294">
        <f t="shared" si="4"/>
        <v>0</v>
      </c>
      <c r="AN27" s="295">
        <f t="shared" si="4"/>
        <v>0</v>
      </c>
      <c r="AO27" s="297">
        <f t="shared" si="4"/>
        <v>0</v>
      </c>
      <c r="AP27" s="294">
        <f t="shared" si="4"/>
        <v>0</v>
      </c>
      <c r="AQ27" s="295">
        <f t="shared" si="4"/>
        <v>0</v>
      </c>
      <c r="AR27" s="298">
        <f t="shared" si="4"/>
        <v>0</v>
      </c>
      <c r="AS27" s="299">
        <f t="shared" si="4"/>
        <v>0</v>
      </c>
      <c r="AT27" s="300">
        <f t="shared" si="4"/>
        <v>0</v>
      </c>
      <c r="AU27" s="298">
        <f t="shared" si="4"/>
        <v>0</v>
      </c>
      <c r="AV27" s="299">
        <f t="shared" si="4"/>
        <v>0</v>
      </c>
      <c r="AW27" s="300">
        <f t="shared" si="4"/>
        <v>0</v>
      </c>
      <c r="AX27" s="298">
        <f t="shared" si="4"/>
        <v>0</v>
      </c>
    </row>
    <row r="28" spans="1:50">
      <c r="B28" s="245"/>
      <c r="C28" s="245"/>
      <c r="E28" s="293"/>
      <c r="F28" s="293"/>
      <c r="G28" s="294"/>
      <c r="H28" s="295"/>
      <c r="I28" s="294"/>
      <c r="J28" s="295"/>
      <c r="K28" s="294"/>
      <c r="L28" s="295"/>
      <c r="M28" s="294"/>
      <c r="N28" s="295"/>
      <c r="O28" s="294"/>
      <c r="P28" s="295"/>
      <c r="Q28" s="294"/>
      <c r="R28" s="295"/>
      <c r="S28" s="294"/>
      <c r="T28" s="295"/>
      <c r="U28" s="294"/>
      <c r="V28" s="295"/>
      <c r="W28" s="295"/>
      <c r="X28" s="294"/>
      <c r="Y28" s="295"/>
      <c r="Z28" s="295"/>
      <c r="AA28" s="294"/>
      <c r="AB28" s="296"/>
      <c r="AC28" s="295"/>
      <c r="AD28" s="294"/>
      <c r="AE28" s="296"/>
      <c r="AF28" s="295"/>
      <c r="AG28" s="294"/>
      <c r="AH28" s="296"/>
      <c r="AI28" s="295"/>
      <c r="AJ28" s="294"/>
      <c r="AK28" s="295"/>
      <c r="AL28" s="297"/>
      <c r="AM28" s="294"/>
      <c r="AN28" s="295"/>
      <c r="AO28" s="297"/>
      <c r="AP28" s="294"/>
      <c r="AQ28" s="295"/>
      <c r="AR28" s="298"/>
      <c r="AS28" s="299"/>
      <c r="AT28" s="300"/>
      <c r="AU28" s="298"/>
      <c r="AV28" s="299"/>
      <c r="AW28" s="300"/>
      <c r="AX28" s="298"/>
    </row>
    <row r="29" spans="1:50">
      <c r="B29" s="245" t="s">
        <v>85</v>
      </c>
      <c r="D29" s="245"/>
      <c r="E29" s="293"/>
      <c r="F29" s="293"/>
      <c r="G29" s="294"/>
      <c r="H29" s="295"/>
      <c r="I29" s="294"/>
      <c r="J29" s="295"/>
      <c r="K29" s="294"/>
      <c r="L29" s="295"/>
      <c r="M29" s="294"/>
      <c r="N29" s="295"/>
      <c r="O29" s="294"/>
      <c r="P29" s="295"/>
      <c r="Q29" s="294"/>
      <c r="R29" s="295"/>
      <c r="S29" s="294"/>
      <c r="T29" s="295"/>
      <c r="U29" s="294"/>
      <c r="V29" s="295"/>
      <c r="W29" s="295"/>
      <c r="X29" s="294"/>
      <c r="Y29" s="295"/>
      <c r="Z29" s="295"/>
      <c r="AA29" s="294"/>
      <c r="AB29" s="296"/>
      <c r="AC29" s="295"/>
      <c r="AD29" s="294"/>
      <c r="AE29" s="296"/>
      <c r="AF29" s="295"/>
      <c r="AG29" s="294"/>
      <c r="AH29" s="296"/>
      <c r="AI29" s="295"/>
      <c r="AJ29" s="294"/>
      <c r="AK29" s="295"/>
      <c r="AL29" s="297"/>
      <c r="AM29" s="294"/>
      <c r="AN29" s="295"/>
      <c r="AO29" s="297"/>
      <c r="AP29" s="294"/>
      <c r="AQ29" s="295"/>
      <c r="AR29" s="298"/>
      <c r="AS29" s="299"/>
      <c r="AT29" s="300"/>
      <c r="AU29" s="298"/>
      <c r="AV29" s="299"/>
      <c r="AW29" s="300"/>
      <c r="AX29" s="298"/>
    </row>
    <row r="30" spans="1:50">
      <c r="A30" s="121">
        <v>13</v>
      </c>
      <c r="C30" s="245" t="s">
        <v>82</v>
      </c>
      <c r="D30" s="245"/>
      <c r="E30" s="293"/>
      <c r="F30" s="293"/>
      <c r="G30" s="294"/>
      <c r="H30" s="295"/>
      <c r="I30" s="294"/>
      <c r="J30" s="295"/>
      <c r="K30" s="294"/>
      <c r="L30" s="295"/>
      <c r="M30" s="294"/>
      <c r="N30" s="295"/>
      <c r="O30" s="294"/>
      <c r="P30" s="295"/>
      <c r="Q30" s="294"/>
      <c r="R30" s="295"/>
      <c r="S30" s="294"/>
      <c r="T30" s="295"/>
      <c r="U30" s="294"/>
      <c r="V30" s="295"/>
      <c r="W30" s="295"/>
      <c r="X30" s="294"/>
      <c r="Y30" s="295"/>
      <c r="Z30" s="295"/>
      <c r="AA30" s="294"/>
      <c r="AB30" s="296"/>
      <c r="AC30" s="295"/>
      <c r="AD30" s="294"/>
      <c r="AE30" s="296"/>
      <c r="AF30" s="295"/>
      <c r="AG30" s="294"/>
      <c r="AH30" s="296"/>
      <c r="AI30" s="295"/>
      <c r="AJ30" s="294"/>
      <c r="AK30" s="295"/>
      <c r="AL30" s="297"/>
      <c r="AM30" s="294"/>
      <c r="AN30" s="295"/>
      <c r="AO30" s="297"/>
      <c r="AP30" s="294"/>
      <c r="AQ30" s="295"/>
      <c r="AR30" s="298"/>
      <c r="AS30" s="299"/>
      <c r="AT30" s="300"/>
      <c r="AU30" s="298"/>
      <c r="AV30" s="299"/>
      <c r="AW30" s="300"/>
      <c r="AX30" s="298"/>
    </row>
    <row r="31" spans="1:50">
      <c r="A31" s="121">
        <v>14</v>
      </c>
      <c r="C31" s="245" t="s">
        <v>27</v>
      </c>
      <c r="D31" s="245"/>
      <c r="E31" s="293"/>
      <c r="F31" s="293"/>
      <c r="G31" s="294"/>
      <c r="H31" s="295"/>
      <c r="I31" s="294"/>
      <c r="J31" s="295"/>
      <c r="K31" s="294"/>
      <c r="L31" s="295"/>
      <c r="M31" s="294"/>
      <c r="N31" s="295"/>
      <c r="O31" s="294"/>
      <c r="P31" s="295"/>
      <c r="Q31" s="294"/>
      <c r="R31" s="295"/>
      <c r="S31" s="294"/>
      <c r="T31" s="295"/>
      <c r="U31" s="294"/>
      <c r="V31" s="295"/>
      <c r="W31" s="295"/>
      <c r="X31" s="294"/>
      <c r="Y31" s="295"/>
      <c r="Z31" s="295"/>
      <c r="AA31" s="294"/>
      <c r="AB31" s="296"/>
      <c r="AC31" s="295"/>
      <c r="AD31" s="294"/>
      <c r="AE31" s="296"/>
      <c r="AF31" s="295"/>
      <c r="AG31" s="294"/>
      <c r="AH31" s="296"/>
      <c r="AI31" s="295"/>
      <c r="AJ31" s="294"/>
      <c r="AK31" s="295"/>
      <c r="AL31" s="297"/>
      <c r="AM31" s="294"/>
      <c r="AN31" s="295"/>
      <c r="AO31" s="297"/>
      <c r="AP31" s="294"/>
      <c r="AQ31" s="295"/>
      <c r="AR31" s="298"/>
      <c r="AS31" s="299"/>
      <c r="AT31" s="300"/>
      <c r="AU31" s="298"/>
      <c r="AV31" s="299"/>
      <c r="AW31" s="300"/>
      <c r="AX31" s="298"/>
    </row>
    <row r="32" spans="1:50">
      <c r="A32" s="121">
        <v>15</v>
      </c>
      <c r="C32" s="245" t="s">
        <v>83</v>
      </c>
      <c r="D32" s="245"/>
      <c r="E32" s="293">
        <f>[8]ROR!N16</f>
        <v>3.8334E-2</v>
      </c>
      <c r="F32" s="293"/>
      <c r="G32" s="301">
        <f>ROUND(G11*$E32,0)</f>
        <v>0</v>
      </c>
      <c r="H32" s="302">
        <f>ROUND(H11*$E32,0)</f>
        <v>-2304</v>
      </c>
      <c r="I32" s="301">
        <f t="shared" ref="I32:AT32" si="5">ROUND(I11*$E32,0)</f>
        <v>-38</v>
      </c>
      <c r="J32" s="302">
        <f t="shared" si="5"/>
        <v>-4287</v>
      </c>
      <c r="K32" s="301">
        <f t="shared" si="5"/>
        <v>-68</v>
      </c>
      <c r="L32" s="302">
        <f t="shared" si="5"/>
        <v>-4425</v>
      </c>
      <c r="M32" s="301">
        <f t="shared" si="5"/>
        <v>-81</v>
      </c>
      <c r="N32" s="302">
        <f t="shared" si="5"/>
        <v>-3899</v>
      </c>
      <c r="O32" s="301">
        <f t="shared" si="5"/>
        <v>0</v>
      </c>
      <c r="P32" s="302">
        <f t="shared" si="5"/>
        <v>-4592</v>
      </c>
      <c r="Q32" s="301">
        <f t="shared" si="5"/>
        <v>-114</v>
      </c>
      <c r="R32" s="302">
        <f t="shared" si="5"/>
        <v>-5240</v>
      </c>
      <c r="S32" s="301">
        <f t="shared" si="5"/>
        <v>0</v>
      </c>
      <c r="T32" s="302">
        <f t="shared" si="5"/>
        <v>-6014</v>
      </c>
      <c r="U32" s="301">
        <f t="shared" si="5"/>
        <v>-154</v>
      </c>
      <c r="V32" s="302">
        <f t="shared" si="5"/>
        <v>-3</v>
      </c>
      <c r="W32" s="302">
        <f t="shared" si="5"/>
        <v>-6261</v>
      </c>
      <c r="X32" s="301">
        <f t="shared" si="5"/>
        <v>-176</v>
      </c>
      <c r="Y32" s="295">
        <f t="shared" si="5"/>
        <v>-17</v>
      </c>
      <c r="Z32" s="302">
        <f t="shared" si="5"/>
        <v>-5917</v>
      </c>
      <c r="AA32" s="301">
        <f t="shared" si="5"/>
        <v>-272</v>
      </c>
      <c r="AB32" s="302">
        <f t="shared" si="5"/>
        <v>-28</v>
      </c>
      <c r="AC32" s="302">
        <f t="shared" si="5"/>
        <v>-4858</v>
      </c>
      <c r="AD32" s="301">
        <f t="shared" si="5"/>
        <v>-338</v>
      </c>
      <c r="AE32" s="302">
        <f t="shared" si="5"/>
        <v>-20</v>
      </c>
      <c r="AF32" s="302">
        <f t="shared" si="5"/>
        <v>-3171</v>
      </c>
      <c r="AG32" s="301">
        <f t="shared" si="5"/>
        <v>-359</v>
      </c>
      <c r="AH32" s="302">
        <f t="shared" si="5"/>
        <v>-20</v>
      </c>
      <c r="AI32" s="302">
        <f t="shared" si="5"/>
        <v>-3374</v>
      </c>
      <c r="AJ32" s="301">
        <f t="shared" si="5"/>
        <v>-239</v>
      </c>
      <c r="AK32" s="302">
        <f t="shared" si="5"/>
        <v>-7</v>
      </c>
      <c r="AL32" s="303">
        <f t="shared" si="5"/>
        <v>-3003</v>
      </c>
      <c r="AM32" s="301">
        <f t="shared" si="5"/>
        <v>0</v>
      </c>
      <c r="AN32" s="302">
        <f t="shared" si="5"/>
        <v>0</v>
      </c>
      <c r="AO32" s="303">
        <f t="shared" si="5"/>
        <v>-3083</v>
      </c>
      <c r="AP32" s="301">
        <f t="shared" si="5"/>
        <v>0</v>
      </c>
      <c r="AQ32" s="302">
        <f t="shared" si="5"/>
        <v>0</v>
      </c>
      <c r="AR32" s="304">
        <f t="shared" si="5"/>
        <v>-3380</v>
      </c>
      <c r="AS32" s="305">
        <f t="shared" si="5"/>
        <v>0</v>
      </c>
      <c r="AT32" s="306">
        <f t="shared" si="5"/>
        <v>0</v>
      </c>
      <c r="AU32" s="304">
        <f>ROUND(AU11*$E32,0)</f>
        <v>-3197</v>
      </c>
      <c r="AV32" s="305">
        <f>ROUND(AV11*$E32,0)</f>
        <v>0</v>
      </c>
      <c r="AW32" s="306">
        <f>ROUND(AW11*$E32,0)</f>
        <v>0</v>
      </c>
      <c r="AX32" s="320">
        <f>ROUND(AX11*$E32,0)</f>
        <v>-2548</v>
      </c>
    </row>
    <row r="33" spans="1:50">
      <c r="A33" s="121">
        <v>16</v>
      </c>
      <c r="B33" s="245" t="s">
        <v>86</v>
      </c>
      <c r="C33" s="245"/>
      <c r="E33" s="293"/>
      <c r="F33" s="293"/>
      <c r="G33" s="294">
        <f t="shared" ref="G33:AX33" si="6">SUM(G30:G32)</f>
        <v>0</v>
      </c>
      <c r="H33" s="295">
        <f>SUM(H30:H32)</f>
        <v>-2304</v>
      </c>
      <c r="I33" s="294">
        <f t="shared" si="6"/>
        <v>-38</v>
      </c>
      <c r="J33" s="295">
        <f>SUM(J30:J32)</f>
        <v>-4287</v>
      </c>
      <c r="K33" s="294">
        <f t="shared" si="6"/>
        <v>-68</v>
      </c>
      <c r="L33" s="295">
        <f t="shared" si="6"/>
        <v>-4425</v>
      </c>
      <c r="M33" s="294">
        <f t="shared" si="6"/>
        <v>-81</v>
      </c>
      <c r="N33" s="295">
        <f t="shared" si="6"/>
        <v>-3899</v>
      </c>
      <c r="O33" s="294">
        <f t="shared" si="6"/>
        <v>0</v>
      </c>
      <c r="P33" s="295">
        <f t="shared" si="6"/>
        <v>-4592</v>
      </c>
      <c r="Q33" s="294">
        <f t="shared" si="6"/>
        <v>-114</v>
      </c>
      <c r="R33" s="295">
        <f t="shared" si="6"/>
        <v>-5240</v>
      </c>
      <c r="S33" s="294">
        <f t="shared" si="6"/>
        <v>0</v>
      </c>
      <c r="T33" s="295">
        <f t="shared" si="6"/>
        <v>-6014</v>
      </c>
      <c r="U33" s="294">
        <f t="shared" si="6"/>
        <v>-154</v>
      </c>
      <c r="V33" s="295">
        <f t="shared" si="6"/>
        <v>-3</v>
      </c>
      <c r="W33" s="295">
        <f t="shared" si="6"/>
        <v>-6261</v>
      </c>
      <c r="X33" s="294">
        <f t="shared" si="6"/>
        <v>-176</v>
      </c>
      <c r="Y33" s="307">
        <f t="shared" si="6"/>
        <v>-17</v>
      </c>
      <c r="Z33" s="295">
        <f t="shared" si="6"/>
        <v>-5917</v>
      </c>
      <c r="AA33" s="294">
        <f t="shared" si="6"/>
        <v>-272</v>
      </c>
      <c r="AB33" s="296">
        <f t="shared" si="6"/>
        <v>-28</v>
      </c>
      <c r="AC33" s="295">
        <f t="shared" si="6"/>
        <v>-4858</v>
      </c>
      <c r="AD33" s="294">
        <f t="shared" si="6"/>
        <v>-338</v>
      </c>
      <c r="AE33" s="296">
        <f t="shared" si="6"/>
        <v>-20</v>
      </c>
      <c r="AF33" s="295">
        <f t="shared" si="6"/>
        <v>-3171</v>
      </c>
      <c r="AG33" s="294">
        <f t="shared" si="6"/>
        <v>-359</v>
      </c>
      <c r="AH33" s="296">
        <f t="shared" si="6"/>
        <v>-20</v>
      </c>
      <c r="AI33" s="295">
        <f t="shared" si="6"/>
        <v>-3374</v>
      </c>
      <c r="AJ33" s="294">
        <f t="shared" si="6"/>
        <v>-239</v>
      </c>
      <c r="AK33" s="295">
        <f t="shared" si="6"/>
        <v>-7</v>
      </c>
      <c r="AL33" s="297">
        <f t="shared" si="6"/>
        <v>-3003</v>
      </c>
      <c r="AM33" s="294">
        <f t="shared" si="6"/>
        <v>0</v>
      </c>
      <c r="AN33" s="295">
        <f t="shared" si="6"/>
        <v>0</v>
      </c>
      <c r="AO33" s="297">
        <f t="shared" si="6"/>
        <v>-3083</v>
      </c>
      <c r="AP33" s="294">
        <f t="shared" si="6"/>
        <v>0</v>
      </c>
      <c r="AQ33" s="295">
        <f t="shared" si="6"/>
        <v>0</v>
      </c>
      <c r="AR33" s="298">
        <f t="shared" si="6"/>
        <v>-3380</v>
      </c>
      <c r="AS33" s="299">
        <f t="shared" si="6"/>
        <v>0</v>
      </c>
      <c r="AT33" s="300">
        <f t="shared" si="6"/>
        <v>0</v>
      </c>
      <c r="AU33" s="298">
        <f t="shared" si="6"/>
        <v>-3197</v>
      </c>
      <c r="AV33" s="299">
        <f t="shared" si="6"/>
        <v>0</v>
      </c>
      <c r="AW33" s="300">
        <f t="shared" si="6"/>
        <v>0</v>
      </c>
      <c r="AX33" s="298">
        <f t="shared" si="6"/>
        <v>-2548</v>
      </c>
    </row>
    <row r="34" spans="1:50">
      <c r="C34" s="245"/>
      <c r="D34" s="245"/>
      <c r="E34" s="293"/>
      <c r="F34" s="293"/>
      <c r="G34" s="294"/>
      <c r="H34" s="295"/>
      <c r="I34" s="294"/>
      <c r="J34" s="295"/>
      <c r="K34" s="294"/>
      <c r="L34" s="295"/>
      <c r="M34" s="294"/>
      <c r="N34" s="295"/>
      <c r="O34" s="294"/>
      <c r="P34" s="295"/>
      <c r="Q34" s="294"/>
      <c r="R34" s="295"/>
      <c r="S34" s="294"/>
      <c r="T34" s="295"/>
      <c r="U34" s="294"/>
      <c r="V34" s="295"/>
      <c r="W34" s="295"/>
      <c r="X34" s="294"/>
      <c r="Y34" s="295"/>
      <c r="Z34" s="295"/>
      <c r="AA34" s="294"/>
      <c r="AB34" s="296"/>
      <c r="AC34" s="295"/>
      <c r="AD34" s="294"/>
      <c r="AE34" s="296"/>
      <c r="AF34" s="295"/>
      <c r="AG34" s="294"/>
      <c r="AH34" s="296"/>
      <c r="AI34" s="295"/>
      <c r="AJ34" s="294"/>
      <c r="AK34" s="295"/>
      <c r="AL34" s="297"/>
      <c r="AM34" s="294"/>
      <c r="AN34" s="295"/>
      <c r="AO34" s="297"/>
      <c r="AP34" s="294"/>
      <c r="AQ34" s="295"/>
      <c r="AR34" s="298"/>
      <c r="AS34" s="299"/>
      <c r="AT34" s="300"/>
      <c r="AU34" s="298"/>
      <c r="AV34" s="299"/>
      <c r="AW34" s="300"/>
      <c r="AX34" s="298"/>
    </row>
    <row r="35" spans="1:50">
      <c r="A35" s="121">
        <v>17</v>
      </c>
      <c r="B35" s="134" t="s">
        <v>87</v>
      </c>
      <c r="C35" s="245"/>
      <c r="D35" s="245"/>
      <c r="E35" s="293">
        <f>[8]ROR!N12</f>
        <v>4.8269999999999997E-3</v>
      </c>
      <c r="F35" s="293"/>
      <c r="G35" s="294">
        <f>ROUND(G11*$E35,0)</f>
        <v>0</v>
      </c>
      <c r="H35" s="295">
        <f>ROUND(H11*$E35,0)</f>
        <v>-290</v>
      </c>
      <c r="I35" s="294">
        <f t="shared" ref="I35:AW35" si="7">ROUND(I11*$E35,0)</f>
        <v>-5</v>
      </c>
      <c r="J35" s="295">
        <f t="shared" si="7"/>
        <v>-540</v>
      </c>
      <c r="K35" s="294">
        <f t="shared" si="7"/>
        <v>-9</v>
      </c>
      <c r="L35" s="295">
        <f t="shared" si="7"/>
        <v>-557</v>
      </c>
      <c r="M35" s="294">
        <f t="shared" si="7"/>
        <v>-10</v>
      </c>
      <c r="N35" s="295">
        <f t="shared" si="7"/>
        <v>-491</v>
      </c>
      <c r="O35" s="294">
        <f t="shared" si="7"/>
        <v>0</v>
      </c>
      <c r="P35" s="295">
        <f t="shared" si="7"/>
        <v>-578</v>
      </c>
      <c r="Q35" s="294">
        <f t="shared" si="7"/>
        <v>-14</v>
      </c>
      <c r="R35" s="295">
        <f t="shared" si="7"/>
        <v>-660</v>
      </c>
      <c r="S35" s="294">
        <f t="shared" si="7"/>
        <v>0</v>
      </c>
      <c r="T35" s="295">
        <f t="shared" si="7"/>
        <v>-757</v>
      </c>
      <c r="U35" s="294">
        <f t="shared" si="7"/>
        <v>-19</v>
      </c>
      <c r="V35" s="295">
        <f t="shared" si="7"/>
        <v>0</v>
      </c>
      <c r="W35" s="295">
        <f t="shared" si="7"/>
        <v>-788</v>
      </c>
      <c r="X35" s="294">
        <f t="shared" si="7"/>
        <v>-22</v>
      </c>
      <c r="Y35" s="295">
        <f t="shared" si="7"/>
        <v>-2</v>
      </c>
      <c r="Z35" s="295">
        <f t="shared" si="7"/>
        <v>-745</v>
      </c>
      <c r="AA35" s="294">
        <f t="shared" si="7"/>
        <v>-34</v>
      </c>
      <c r="AB35" s="296">
        <f t="shared" si="7"/>
        <v>-4</v>
      </c>
      <c r="AC35" s="295">
        <f t="shared" si="7"/>
        <v>-612</v>
      </c>
      <c r="AD35" s="294">
        <f t="shared" si="7"/>
        <v>-43</v>
      </c>
      <c r="AE35" s="296">
        <f t="shared" si="7"/>
        <v>-2</v>
      </c>
      <c r="AF35" s="295">
        <f t="shared" si="7"/>
        <v>-399</v>
      </c>
      <c r="AG35" s="294">
        <f t="shared" si="7"/>
        <v>-45</v>
      </c>
      <c r="AH35" s="296">
        <f t="shared" si="7"/>
        <v>-2</v>
      </c>
      <c r="AI35" s="295">
        <f t="shared" si="7"/>
        <v>-425</v>
      </c>
      <c r="AJ35" s="294">
        <f t="shared" si="7"/>
        <v>-30</v>
      </c>
      <c r="AK35" s="295">
        <f t="shared" si="7"/>
        <v>-1</v>
      </c>
      <c r="AL35" s="297">
        <f t="shared" si="7"/>
        <v>-378</v>
      </c>
      <c r="AM35" s="294">
        <f t="shared" si="7"/>
        <v>0</v>
      </c>
      <c r="AN35" s="295">
        <f t="shared" si="7"/>
        <v>0</v>
      </c>
      <c r="AO35" s="297">
        <f t="shared" si="7"/>
        <v>-388</v>
      </c>
      <c r="AP35" s="294">
        <f t="shared" si="7"/>
        <v>0</v>
      </c>
      <c r="AQ35" s="295">
        <f t="shared" si="7"/>
        <v>0</v>
      </c>
      <c r="AR35" s="298">
        <f t="shared" si="7"/>
        <v>-426</v>
      </c>
      <c r="AS35" s="299">
        <f t="shared" si="7"/>
        <v>0</v>
      </c>
      <c r="AT35" s="300">
        <f t="shared" si="7"/>
        <v>0</v>
      </c>
      <c r="AU35" s="298">
        <f t="shared" si="7"/>
        <v>-403</v>
      </c>
      <c r="AV35" s="299">
        <f t="shared" si="7"/>
        <v>0</v>
      </c>
      <c r="AW35" s="300">
        <f t="shared" si="7"/>
        <v>0</v>
      </c>
      <c r="AX35" s="298">
        <f>ROUND(AX11*$E35,0)</f>
        <v>-321</v>
      </c>
    </row>
    <row r="36" spans="1:50">
      <c r="A36" s="121">
        <v>18</v>
      </c>
      <c r="B36" s="134" t="s">
        <v>88</v>
      </c>
      <c r="C36" s="245"/>
      <c r="D36" s="245"/>
      <c r="E36" s="293"/>
      <c r="F36" s="293"/>
      <c r="G36" s="294">
        <v>0</v>
      </c>
      <c r="H36" s="295"/>
      <c r="I36" s="294">
        <v>-949</v>
      </c>
      <c r="J36" s="295"/>
      <c r="K36" s="294">
        <v>-1696</v>
      </c>
      <c r="L36" s="295"/>
      <c r="M36" s="294">
        <v>-2029</v>
      </c>
      <c r="N36" s="295"/>
      <c r="O36" s="294">
        <v>0</v>
      </c>
      <c r="P36" s="295"/>
      <c r="Q36" s="294">
        <v>-2842</v>
      </c>
      <c r="R36" s="295"/>
      <c r="S36" s="294">
        <v>0</v>
      </c>
      <c r="T36" s="295"/>
      <c r="U36" s="294">
        <v>-3835</v>
      </c>
      <c r="V36" s="295"/>
      <c r="W36" s="295"/>
      <c r="X36" s="294">
        <v>-4381</v>
      </c>
      <c r="Y36" s="295"/>
      <c r="Z36" s="295"/>
      <c r="AA36" s="294">
        <v>-6777</v>
      </c>
      <c r="AB36" s="296"/>
      <c r="AC36" s="295"/>
      <c r="AD36" s="294">
        <v>-8416</v>
      </c>
      <c r="AE36" s="296"/>
      <c r="AF36" s="295"/>
      <c r="AG36" s="294">
        <v>-8953</v>
      </c>
      <c r="AH36" s="296"/>
      <c r="AI36" s="295"/>
      <c r="AJ36" s="294">
        <f>-6212+270</f>
        <v>-5942</v>
      </c>
      <c r="AK36" s="295"/>
      <c r="AL36" s="297"/>
      <c r="AM36" s="294">
        <v>0</v>
      </c>
      <c r="AN36" s="295"/>
      <c r="AO36" s="297"/>
      <c r="AP36" s="294">
        <v>0</v>
      </c>
      <c r="AQ36" s="295"/>
      <c r="AR36" s="298"/>
      <c r="AS36" s="299">
        <v>0</v>
      </c>
      <c r="AT36" s="300"/>
      <c r="AU36" s="298"/>
      <c r="AV36" s="299">
        <v>0</v>
      </c>
      <c r="AW36" s="300"/>
      <c r="AX36" s="298"/>
    </row>
    <row r="37" spans="1:50">
      <c r="A37" s="121">
        <v>19</v>
      </c>
      <c r="B37" s="134" t="s">
        <v>89</v>
      </c>
      <c r="C37" s="245"/>
      <c r="D37" s="245"/>
      <c r="E37" s="293"/>
      <c r="F37" s="293"/>
      <c r="G37" s="294"/>
      <c r="H37" s="295"/>
      <c r="I37" s="294"/>
      <c r="J37" s="295"/>
      <c r="K37" s="294"/>
      <c r="L37" s="295"/>
      <c r="M37" s="294"/>
      <c r="N37" s="295"/>
      <c r="O37" s="294"/>
      <c r="P37" s="295"/>
      <c r="Q37" s="294"/>
      <c r="R37" s="295"/>
      <c r="S37" s="294"/>
      <c r="T37" s="295"/>
      <c r="U37" s="294"/>
      <c r="V37" s="295"/>
      <c r="W37" s="295"/>
      <c r="X37" s="294"/>
      <c r="Y37" s="295"/>
      <c r="Z37" s="295"/>
      <c r="AA37" s="294"/>
      <c r="AB37" s="296"/>
      <c r="AC37" s="295"/>
      <c r="AD37" s="294"/>
      <c r="AE37" s="296"/>
      <c r="AF37" s="295"/>
      <c r="AG37" s="294"/>
      <c r="AH37" s="296"/>
      <c r="AI37" s="295"/>
      <c r="AJ37" s="294"/>
      <c r="AK37" s="295"/>
      <c r="AL37" s="297"/>
      <c r="AM37" s="294"/>
      <c r="AN37" s="295"/>
      <c r="AO37" s="297"/>
      <c r="AP37" s="294"/>
      <c r="AQ37" s="295"/>
      <c r="AR37" s="298"/>
      <c r="AS37" s="299"/>
      <c r="AT37" s="300"/>
      <c r="AU37" s="298"/>
      <c r="AV37" s="299"/>
      <c r="AW37" s="300"/>
      <c r="AX37" s="298"/>
    </row>
    <row r="38" spans="1:50">
      <c r="C38" s="245"/>
      <c r="D38" s="245"/>
      <c r="E38" s="293"/>
      <c r="F38" s="293"/>
      <c r="G38" s="294"/>
      <c r="H38" s="295"/>
      <c r="I38" s="294"/>
      <c r="J38" s="295"/>
      <c r="K38" s="294"/>
      <c r="L38" s="295"/>
      <c r="M38" s="294"/>
      <c r="N38" s="295"/>
      <c r="O38" s="294"/>
      <c r="P38" s="295"/>
      <c r="Q38" s="294"/>
      <c r="R38" s="295"/>
      <c r="S38" s="294"/>
      <c r="T38" s="295"/>
      <c r="U38" s="294"/>
      <c r="V38" s="295"/>
      <c r="W38" s="295"/>
      <c r="X38" s="294"/>
      <c r="Y38" s="295"/>
      <c r="Z38" s="295"/>
      <c r="AA38" s="294"/>
      <c r="AB38" s="296"/>
      <c r="AC38" s="295"/>
      <c r="AD38" s="294"/>
      <c r="AE38" s="296"/>
      <c r="AF38" s="295"/>
      <c r="AG38" s="294"/>
      <c r="AH38" s="296"/>
      <c r="AI38" s="295"/>
      <c r="AJ38" s="294"/>
      <c r="AK38" s="295"/>
      <c r="AL38" s="297"/>
      <c r="AM38" s="294"/>
      <c r="AN38" s="295"/>
      <c r="AO38" s="297"/>
      <c r="AP38" s="294"/>
      <c r="AQ38" s="295"/>
      <c r="AR38" s="298"/>
      <c r="AS38" s="299"/>
      <c r="AT38" s="300"/>
      <c r="AU38" s="298"/>
      <c r="AV38" s="299"/>
      <c r="AW38" s="300"/>
      <c r="AX38" s="298"/>
    </row>
    <row r="39" spans="1:50">
      <c r="B39" s="134" t="s">
        <v>90</v>
      </c>
      <c r="C39" s="245"/>
      <c r="D39" s="245"/>
      <c r="E39" s="293"/>
      <c r="F39" s="293"/>
      <c r="G39" s="294"/>
      <c r="H39" s="295"/>
      <c r="I39" s="294"/>
      <c r="J39" s="295"/>
      <c r="K39" s="294"/>
      <c r="L39" s="295"/>
      <c r="M39" s="294"/>
      <c r="N39" s="295"/>
      <c r="O39" s="294"/>
      <c r="P39" s="295"/>
      <c r="Q39" s="294"/>
      <c r="R39" s="295"/>
      <c r="S39" s="294"/>
      <c r="T39" s="295"/>
      <c r="U39" s="294"/>
      <c r="V39" s="295"/>
      <c r="W39" s="295"/>
      <c r="X39" s="294"/>
      <c r="Y39" s="295"/>
      <c r="Z39" s="295"/>
      <c r="AA39" s="294"/>
      <c r="AB39" s="296"/>
      <c r="AC39" s="295"/>
      <c r="AD39" s="294"/>
      <c r="AE39" s="296"/>
      <c r="AF39" s="295"/>
      <c r="AG39" s="294"/>
      <c r="AH39" s="296"/>
      <c r="AI39" s="295"/>
      <c r="AJ39" s="294"/>
      <c r="AK39" s="295"/>
      <c r="AL39" s="297"/>
      <c r="AM39" s="294"/>
      <c r="AN39" s="295"/>
      <c r="AO39" s="297"/>
      <c r="AP39" s="294"/>
      <c r="AQ39" s="295"/>
      <c r="AR39" s="298"/>
      <c r="AS39" s="299"/>
      <c r="AT39" s="300"/>
      <c r="AU39" s="298"/>
      <c r="AV39" s="299"/>
      <c r="AW39" s="300"/>
      <c r="AX39" s="298"/>
    </row>
    <row r="40" spans="1:50">
      <c r="A40" s="121">
        <v>20</v>
      </c>
      <c r="C40" s="245" t="s">
        <v>82</v>
      </c>
      <c r="D40" s="245"/>
      <c r="E40" s="293">
        <f>[8]ROR!N14</f>
        <v>2E-3</v>
      </c>
      <c r="F40" s="293"/>
      <c r="G40" s="294">
        <f>ROUND(G11*$E40,0)</f>
        <v>0</v>
      </c>
      <c r="H40" s="295">
        <f>ROUND(H11*$E40,0)</f>
        <v>-120</v>
      </c>
      <c r="I40" s="294">
        <f t="shared" ref="I40:AT40" si="8">ROUND(I11*$E40,0)</f>
        <v>-2</v>
      </c>
      <c r="J40" s="295">
        <f t="shared" si="8"/>
        <v>-224</v>
      </c>
      <c r="K40" s="294">
        <f t="shared" si="8"/>
        <v>-4</v>
      </c>
      <c r="L40" s="295">
        <f t="shared" si="8"/>
        <v>-231</v>
      </c>
      <c r="M40" s="294">
        <f t="shared" si="8"/>
        <v>-4</v>
      </c>
      <c r="N40" s="295">
        <f t="shared" si="8"/>
        <v>-203</v>
      </c>
      <c r="O40" s="294">
        <f t="shared" si="8"/>
        <v>0</v>
      </c>
      <c r="P40" s="295">
        <f t="shared" si="8"/>
        <v>-240</v>
      </c>
      <c r="Q40" s="294">
        <f t="shared" si="8"/>
        <v>-6</v>
      </c>
      <c r="R40" s="295">
        <f t="shared" si="8"/>
        <v>-273</v>
      </c>
      <c r="S40" s="294">
        <f t="shared" si="8"/>
        <v>0</v>
      </c>
      <c r="T40" s="295">
        <f t="shared" si="8"/>
        <v>-314</v>
      </c>
      <c r="U40" s="294">
        <f t="shared" si="8"/>
        <v>-8</v>
      </c>
      <c r="V40" s="295">
        <f t="shared" si="8"/>
        <v>0</v>
      </c>
      <c r="W40" s="295">
        <f t="shared" si="8"/>
        <v>-327</v>
      </c>
      <c r="X40" s="294">
        <f t="shared" si="8"/>
        <v>-9</v>
      </c>
      <c r="Y40" s="295">
        <f t="shared" si="8"/>
        <v>-1</v>
      </c>
      <c r="Z40" s="295">
        <f t="shared" si="8"/>
        <v>-309</v>
      </c>
      <c r="AA40" s="294">
        <f t="shared" si="8"/>
        <v>-14</v>
      </c>
      <c r="AB40" s="296">
        <f t="shared" si="8"/>
        <v>-1</v>
      </c>
      <c r="AC40" s="295">
        <f t="shared" si="8"/>
        <v>-253</v>
      </c>
      <c r="AD40" s="294">
        <f t="shared" si="8"/>
        <v>-18</v>
      </c>
      <c r="AE40" s="296">
        <f t="shared" si="8"/>
        <v>-1</v>
      </c>
      <c r="AF40" s="295">
        <f t="shared" si="8"/>
        <v>-165</v>
      </c>
      <c r="AG40" s="294">
        <f t="shared" si="8"/>
        <v>-19</v>
      </c>
      <c r="AH40" s="296">
        <f t="shared" si="8"/>
        <v>-1</v>
      </c>
      <c r="AI40" s="295">
        <f t="shared" si="8"/>
        <v>-176</v>
      </c>
      <c r="AJ40" s="294">
        <f t="shared" si="8"/>
        <v>-12</v>
      </c>
      <c r="AK40" s="295">
        <f t="shared" si="8"/>
        <v>0</v>
      </c>
      <c r="AL40" s="297">
        <f t="shared" si="8"/>
        <v>-157</v>
      </c>
      <c r="AM40" s="294">
        <f t="shared" si="8"/>
        <v>0</v>
      </c>
      <c r="AN40" s="295">
        <f t="shared" si="8"/>
        <v>0</v>
      </c>
      <c r="AO40" s="297">
        <f t="shared" si="8"/>
        <v>-161</v>
      </c>
      <c r="AP40" s="294">
        <f t="shared" si="8"/>
        <v>0</v>
      </c>
      <c r="AQ40" s="295">
        <f t="shared" si="8"/>
        <v>0</v>
      </c>
      <c r="AR40" s="298">
        <f t="shared" si="8"/>
        <v>-176</v>
      </c>
      <c r="AS40" s="299">
        <f t="shared" si="8"/>
        <v>0</v>
      </c>
      <c r="AT40" s="300">
        <f t="shared" si="8"/>
        <v>0</v>
      </c>
      <c r="AU40" s="298">
        <f>ROUND(AU11*$E40,0)</f>
        <v>-167</v>
      </c>
      <c r="AV40" s="299">
        <f>ROUND(AV11*$E40,0)</f>
        <v>0</v>
      </c>
      <c r="AW40" s="300">
        <f>ROUND(AW11*$E40,0)</f>
        <v>0</v>
      </c>
      <c r="AX40" s="298">
        <f>ROUND(AX11*$E40,0)</f>
        <v>-133</v>
      </c>
    </row>
    <row r="41" spans="1:50">
      <c r="A41" s="121">
        <v>21</v>
      </c>
      <c r="C41" s="245" t="s">
        <v>27</v>
      </c>
      <c r="D41" s="245"/>
      <c r="G41" s="294"/>
      <c r="H41" s="295"/>
      <c r="I41" s="294"/>
      <c r="J41" s="295"/>
      <c r="K41" s="294"/>
      <c r="L41" s="295"/>
      <c r="M41" s="294"/>
      <c r="N41" s="295"/>
      <c r="O41" s="294"/>
      <c r="P41" s="295"/>
      <c r="Q41" s="294"/>
      <c r="R41" s="295"/>
      <c r="S41" s="294"/>
      <c r="T41" s="295"/>
      <c r="U41" s="294"/>
      <c r="V41" s="295">
        <v>-85</v>
      </c>
      <c r="W41" s="295"/>
      <c r="X41" s="294"/>
      <c r="Y41" s="295">
        <v>-432</v>
      </c>
      <c r="Z41" s="295"/>
      <c r="AA41" s="294"/>
      <c r="AB41" s="296">
        <v>-710</v>
      </c>
      <c r="AC41" s="295"/>
      <c r="AD41" s="294"/>
      <c r="AE41" s="296">
        <v>-494</v>
      </c>
      <c r="AF41" s="295"/>
      <c r="AG41" s="294"/>
      <c r="AH41" s="296">
        <v>-494</v>
      </c>
      <c r="AI41" s="295"/>
      <c r="AJ41" s="294"/>
      <c r="AK41" s="295">
        <f>-184+1</f>
        <v>-183</v>
      </c>
      <c r="AL41" s="297"/>
      <c r="AM41" s="294"/>
      <c r="AN41" s="295">
        <v>0</v>
      </c>
      <c r="AO41" s="297"/>
      <c r="AP41" s="294"/>
      <c r="AQ41" s="295">
        <v>0</v>
      </c>
      <c r="AR41" s="298"/>
      <c r="AS41" s="299"/>
      <c r="AT41" s="300">
        <v>0</v>
      </c>
      <c r="AU41" s="298"/>
      <c r="AV41" s="299"/>
      <c r="AW41" s="300">
        <v>0</v>
      </c>
      <c r="AX41" s="298"/>
    </row>
    <row r="42" spans="1:50">
      <c r="A42" s="121">
        <v>22</v>
      </c>
      <c r="C42" s="123" t="s">
        <v>91</v>
      </c>
      <c r="D42" s="245"/>
      <c r="G42" s="294"/>
      <c r="H42" s="295"/>
      <c r="I42" s="294"/>
      <c r="J42" s="295"/>
      <c r="K42" s="294"/>
      <c r="L42" s="295"/>
      <c r="M42" s="294"/>
      <c r="N42" s="295"/>
      <c r="O42" s="294"/>
      <c r="P42" s="295"/>
      <c r="Q42" s="294"/>
      <c r="R42" s="295"/>
      <c r="S42" s="294"/>
      <c r="T42" s="295"/>
      <c r="U42" s="294"/>
      <c r="V42" s="295"/>
      <c r="W42" s="295"/>
      <c r="X42" s="294"/>
      <c r="Y42" s="295"/>
      <c r="Z42" s="295"/>
      <c r="AA42" s="294"/>
      <c r="AB42" s="296"/>
      <c r="AC42" s="295"/>
      <c r="AD42" s="294"/>
      <c r="AE42" s="296"/>
      <c r="AF42" s="295"/>
      <c r="AG42" s="294"/>
      <c r="AH42" s="296"/>
      <c r="AI42" s="295"/>
      <c r="AJ42" s="294"/>
      <c r="AK42" s="295"/>
      <c r="AL42" s="297"/>
      <c r="AM42" s="294"/>
      <c r="AN42" s="295"/>
      <c r="AO42" s="297"/>
      <c r="AP42" s="294"/>
      <c r="AQ42" s="295"/>
      <c r="AR42" s="298"/>
      <c r="AS42" s="299"/>
      <c r="AT42" s="300"/>
      <c r="AU42" s="298"/>
      <c r="AV42" s="299"/>
      <c r="AW42" s="300"/>
      <c r="AX42" s="298"/>
    </row>
    <row r="43" spans="1:50">
      <c r="A43" s="121">
        <v>23</v>
      </c>
      <c r="C43" s="245" t="s">
        <v>83</v>
      </c>
      <c r="D43" s="245"/>
      <c r="G43" s="301"/>
      <c r="H43" s="302"/>
      <c r="I43" s="301"/>
      <c r="J43" s="302"/>
      <c r="K43" s="301"/>
      <c r="L43" s="302"/>
      <c r="M43" s="301"/>
      <c r="N43" s="302"/>
      <c r="O43" s="301"/>
      <c r="P43" s="302"/>
      <c r="Q43" s="301"/>
      <c r="R43" s="302"/>
      <c r="S43" s="301"/>
      <c r="T43" s="302"/>
      <c r="U43" s="301"/>
      <c r="V43" s="302"/>
      <c r="W43" s="302"/>
      <c r="X43" s="301"/>
      <c r="Y43" s="295"/>
      <c r="Z43" s="302"/>
      <c r="AA43" s="301"/>
      <c r="AB43" s="302"/>
      <c r="AC43" s="302"/>
      <c r="AD43" s="301"/>
      <c r="AE43" s="302"/>
      <c r="AF43" s="302"/>
      <c r="AG43" s="301"/>
      <c r="AH43" s="302"/>
      <c r="AI43" s="302"/>
      <c r="AJ43" s="301"/>
      <c r="AK43" s="302"/>
      <c r="AL43" s="303"/>
      <c r="AM43" s="301"/>
      <c r="AN43" s="302"/>
      <c r="AO43" s="303"/>
      <c r="AP43" s="301"/>
      <c r="AQ43" s="302"/>
      <c r="AR43" s="304"/>
      <c r="AS43" s="305"/>
      <c r="AT43" s="306"/>
      <c r="AU43" s="304"/>
      <c r="AV43" s="305"/>
      <c r="AW43" s="306"/>
      <c r="AX43" s="304"/>
    </row>
    <row r="44" spans="1:50">
      <c r="A44" s="121">
        <v>24</v>
      </c>
      <c r="B44" s="245" t="s">
        <v>92</v>
      </c>
      <c r="C44" s="245"/>
      <c r="G44" s="310">
        <f t="shared" ref="G44:AX44" si="9">SUM(G40:G43)</f>
        <v>0</v>
      </c>
      <c r="H44" s="311">
        <f>SUM(H40:H43)</f>
        <v>-120</v>
      </c>
      <c r="I44" s="310">
        <f t="shared" si="9"/>
        <v>-2</v>
      </c>
      <c r="J44" s="311">
        <f>SUM(J40:J43)</f>
        <v>-224</v>
      </c>
      <c r="K44" s="310">
        <f t="shared" si="9"/>
        <v>-4</v>
      </c>
      <c r="L44" s="311">
        <f t="shared" si="9"/>
        <v>-231</v>
      </c>
      <c r="M44" s="310">
        <f t="shared" si="9"/>
        <v>-4</v>
      </c>
      <c r="N44" s="311">
        <f t="shared" si="9"/>
        <v>-203</v>
      </c>
      <c r="O44" s="310">
        <f t="shared" si="9"/>
        <v>0</v>
      </c>
      <c r="P44" s="311">
        <f t="shared" si="9"/>
        <v>-240</v>
      </c>
      <c r="Q44" s="310">
        <f t="shared" si="9"/>
        <v>-6</v>
      </c>
      <c r="R44" s="311">
        <f t="shared" si="9"/>
        <v>-273</v>
      </c>
      <c r="S44" s="310">
        <f t="shared" si="9"/>
        <v>0</v>
      </c>
      <c r="T44" s="311">
        <f t="shared" si="9"/>
        <v>-314</v>
      </c>
      <c r="U44" s="310">
        <f t="shared" si="9"/>
        <v>-8</v>
      </c>
      <c r="V44" s="311">
        <f t="shared" si="9"/>
        <v>-85</v>
      </c>
      <c r="W44" s="311">
        <f t="shared" si="9"/>
        <v>-327</v>
      </c>
      <c r="X44" s="310">
        <f t="shared" si="9"/>
        <v>-9</v>
      </c>
      <c r="Y44" s="307">
        <f t="shared" si="9"/>
        <v>-433</v>
      </c>
      <c r="Z44" s="311">
        <f t="shared" si="9"/>
        <v>-309</v>
      </c>
      <c r="AA44" s="310">
        <f t="shared" si="9"/>
        <v>-14</v>
      </c>
      <c r="AB44" s="311">
        <f t="shared" si="9"/>
        <v>-711</v>
      </c>
      <c r="AC44" s="311">
        <f t="shared" si="9"/>
        <v>-253</v>
      </c>
      <c r="AD44" s="310">
        <f t="shared" si="9"/>
        <v>-18</v>
      </c>
      <c r="AE44" s="311">
        <f t="shared" si="9"/>
        <v>-495</v>
      </c>
      <c r="AF44" s="311">
        <f t="shared" si="9"/>
        <v>-165</v>
      </c>
      <c r="AG44" s="310">
        <f t="shared" si="9"/>
        <v>-19</v>
      </c>
      <c r="AH44" s="311">
        <f t="shared" si="9"/>
        <v>-495</v>
      </c>
      <c r="AI44" s="311">
        <f t="shared" si="9"/>
        <v>-176</v>
      </c>
      <c r="AJ44" s="310">
        <f t="shared" si="9"/>
        <v>-12</v>
      </c>
      <c r="AK44" s="311">
        <f t="shared" si="9"/>
        <v>-183</v>
      </c>
      <c r="AL44" s="312">
        <f t="shared" si="9"/>
        <v>-157</v>
      </c>
      <c r="AM44" s="310">
        <f t="shared" si="9"/>
        <v>0</v>
      </c>
      <c r="AN44" s="311">
        <f t="shared" si="9"/>
        <v>0</v>
      </c>
      <c r="AO44" s="312">
        <f t="shared" si="9"/>
        <v>-161</v>
      </c>
      <c r="AP44" s="310">
        <f t="shared" si="9"/>
        <v>0</v>
      </c>
      <c r="AQ44" s="311">
        <f t="shared" si="9"/>
        <v>0</v>
      </c>
      <c r="AR44" s="313">
        <f t="shared" si="9"/>
        <v>-176</v>
      </c>
      <c r="AS44" s="314">
        <f t="shared" si="9"/>
        <v>0</v>
      </c>
      <c r="AT44" s="315">
        <f t="shared" si="9"/>
        <v>0</v>
      </c>
      <c r="AU44" s="313">
        <f t="shared" si="9"/>
        <v>-167</v>
      </c>
      <c r="AV44" s="314">
        <f t="shared" si="9"/>
        <v>0</v>
      </c>
      <c r="AW44" s="315">
        <f t="shared" si="9"/>
        <v>0</v>
      </c>
      <c r="AX44" s="313">
        <f t="shared" si="9"/>
        <v>-133</v>
      </c>
    </row>
    <row r="45" spans="1:50">
      <c r="A45" s="121">
        <v>25</v>
      </c>
      <c r="B45" s="134" t="s">
        <v>93</v>
      </c>
      <c r="C45" s="245"/>
      <c r="D45" s="245"/>
      <c r="G45" s="310">
        <f t="shared" ref="G45:AT45" si="10">G21+G27+G33+G35+G36+G37+G44</f>
        <v>0</v>
      </c>
      <c r="H45" s="311">
        <f>H21+H27+H33+H35+H36+H37+H44</f>
        <v>-60333</v>
      </c>
      <c r="I45" s="310">
        <f t="shared" si="10"/>
        <v>-994</v>
      </c>
      <c r="J45" s="311">
        <f>J21+J27+J33+J35+J36+J37+J44</f>
        <v>-112080</v>
      </c>
      <c r="K45" s="310">
        <f t="shared" si="10"/>
        <v>-1777</v>
      </c>
      <c r="L45" s="311">
        <f t="shared" si="10"/>
        <v>-115582</v>
      </c>
      <c r="M45" s="310">
        <f t="shared" si="10"/>
        <v>-2124</v>
      </c>
      <c r="N45" s="311">
        <f t="shared" si="10"/>
        <v>-101716</v>
      </c>
      <c r="O45" s="310">
        <f t="shared" si="10"/>
        <v>0</v>
      </c>
      <c r="P45" s="311">
        <f t="shared" si="10"/>
        <v>-119781</v>
      </c>
      <c r="Q45" s="310">
        <f t="shared" si="10"/>
        <v>-2976</v>
      </c>
      <c r="R45" s="311">
        <f t="shared" si="10"/>
        <v>-165017</v>
      </c>
      <c r="S45" s="310">
        <f t="shared" si="10"/>
        <v>0</v>
      </c>
      <c r="T45" s="311">
        <f t="shared" si="10"/>
        <v>-156887</v>
      </c>
      <c r="U45" s="310">
        <f t="shared" si="10"/>
        <v>-4016</v>
      </c>
      <c r="V45" s="311">
        <f t="shared" si="10"/>
        <v>-88</v>
      </c>
      <c r="W45" s="311">
        <f t="shared" si="10"/>
        <v>-230023</v>
      </c>
      <c r="X45" s="310">
        <f t="shared" si="10"/>
        <v>-4588</v>
      </c>
      <c r="Y45" s="307">
        <f t="shared" si="10"/>
        <v>-452</v>
      </c>
      <c r="Z45" s="311">
        <f t="shared" si="10"/>
        <v>-307363</v>
      </c>
      <c r="AA45" s="310">
        <f t="shared" si="10"/>
        <v>-7097</v>
      </c>
      <c r="AB45" s="311">
        <f t="shared" si="10"/>
        <v>-743</v>
      </c>
      <c r="AC45" s="311">
        <f t="shared" si="10"/>
        <v>-210711</v>
      </c>
      <c r="AD45" s="310">
        <f t="shared" si="10"/>
        <v>-8815</v>
      </c>
      <c r="AE45" s="311">
        <f t="shared" si="10"/>
        <v>-517</v>
      </c>
      <c r="AF45" s="311">
        <f t="shared" si="10"/>
        <v>-197907</v>
      </c>
      <c r="AG45" s="310">
        <f t="shared" si="10"/>
        <v>-9376</v>
      </c>
      <c r="AH45" s="311">
        <f t="shared" si="10"/>
        <v>-517</v>
      </c>
      <c r="AI45" s="311">
        <f t="shared" si="10"/>
        <v>-186809</v>
      </c>
      <c r="AJ45" s="310">
        <f t="shared" si="10"/>
        <v>-6223</v>
      </c>
      <c r="AK45" s="311">
        <f t="shared" si="10"/>
        <v>-191</v>
      </c>
      <c r="AL45" s="312">
        <f t="shared" si="10"/>
        <v>-146165</v>
      </c>
      <c r="AM45" s="310">
        <f t="shared" si="10"/>
        <v>0</v>
      </c>
      <c r="AN45" s="311">
        <f t="shared" si="10"/>
        <v>0</v>
      </c>
      <c r="AO45" s="312">
        <f t="shared" si="10"/>
        <v>-80433</v>
      </c>
      <c r="AP45" s="310">
        <f t="shared" si="10"/>
        <v>0</v>
      </c>
      <c r="AQ45" s="311">
        <f t="shared" si="10"/>
        <v>0</v>
      </c>
      <c r="AR45" s="313">
        <f t="shared" si="10"/>
        <v>-88169</v>
      </c>
      <c r="AS45" s="314">
        <f t="shared" si="10"/>
        <v>0</v>
      </c>
      <c r="AT45" s="315">
        <f t="shared" si="10"/>
        <v>0</v>
      </c>
      <c r="AU45" s="313">
        <f>AU21+AU27+AU33+AU35+AU36+AU37+AU44</f>
        <v>-83401</v>
      </c>
      <c r="AV45" s="314">
        <f>AV21+AV27+AV33+AV35+AV36+AV37+AV44</f>
        <v>0</v>
      </c>
      <c r="AW45" s="315">
        <f>AW21+AW27+AW33+AW35+AW36+AW37+AW44</f>
        <v>0</v>
      </c>
      <c r="AX45" s="313">
        <f>AX21+AX27+AX33+AX35+AX36+AX37+AX44</f>
        <v>-66463</v>
      </c>
    </row>
    <row r="46" spans="1:50">
      <c r="C46" s="245"/>
      <c r="D46" s="245"/>
      <c r="G46" s="294"/>
      <c r="H46" s="295"/>
      <c r="I46" s="294"/>
      <c r="J46" s="295"/>
      <c r="K46" s="294"/>
      <c r="L46" s="295"/>
      <c r="M46" s="294"/>
      <c r="N46" s="295"/>
      <c r="O46" s="294"/>
      <c r="P46" s="295"/>
      <c r="Q46" s="294"/>
      <c r="R46" s="295"/>
      <c r="S46" s="294"/>
      <c r="T46" s="295"/>
      <c r="U46" s="294"/>
      <c r="V46" s="295"/>
      <c r="W46" s="295"/>
      <c r="X46" s="294"/>
      <c r="Y46" s="307"/>
      <c r="Z46" s="295"/>
      <c r="AA46" s="294"/>
      <c r="AB46" s="296"/>
      <c r="AC46" s="295"/>
      <c r="AD46" s="294"/>
      <c r="AE46" s="296"/>
      <c r="AF46" s="295"/>
      <c r="AG46" s="294"/>
      <c r="AH46" s="296"/>
      <c r="AI46" s="295"/>
      <c r="AJ46" s="294"/>
      <c r="AK46" s="295"/>
      <c r="AL46" s="297"/>
      <c r="AM46" s="294"/>
      <c r="AN46" s="295"/>
      <c r="AO46" s="297"/>
      <c r="AP46" s="294"/>
      <c r="AQ46" s="295"/>
      <c r="AR46" s="298"/>
      <c r="AS46" s="299"/>
      <c r="AT46" s="300"/>
      <c r="AU46" s="298"/>
      <c r="AV46" s="299"/>
      <c r="AW46" s="300"/>
      <c r="AX46" s="298"/>
    </row>
    <row r="47" spans="1:50">
      <c r="A47" s="121">
        <v>26</v>
      </c>
      <c r="B47" s="134" t="s">
        <v>94</v>
      </c>
      <c r="C47" s="245"/>
      <c r="D47" s="245"/>
      <c r="G47" s="294">
        <f>G14-G45</f>
        <v>0</v>
      </c>
      <c r="H47" s="295">
        <f>H14-H45</f>
        <v>0</v>
      </c>
      <c r="I47" s="294">
        <f t="shared" ref="I47:AX47" si="11">I14-I45</f>
        <v>0</v>
      </c>
      <c r="J47" s="295">
        <f t="shared" si="11"/>
        <v>0</v>
      </c>
      <c r="K47" s="294">
        <f t="shared" si="11"/>
        <v>1</v>
      </c>
      <c r="L47" s="295">
        <f t="shared" si="11"/>
        <v>0</v>
      </c>
      <c r="M47" s="294">
        <f t="shared" si="11"/>
        <v>0</v>
      </c>
      <c r="N47" s="295">
        <f t="shared" si="11"/>
        <v>-1</v>
      </c>
      <c r="O47" s="294">
        <f t="shared" si="11"/>
        <v>0</v>
      </c>
      <c r="P47" s="295">
        <f t="shared" si="11"/>
        <v>1</v>
      </c>
      <c r="Q47" s="294">
        <f t="shared" si="11"/>
        <v>0</v>
      </c>
      <c r="R47" s="295">
        <f t="shared" si="11"/>
        <v>-1</v>
      </c>
      <c r="S47" s="294">
        <f t="shared" si="11"/>
        <v>0</v>
      </c>
      <c r="T47" s="295">
        <f t="shared" si="11"/>
        <v>1</v>
      </c>
      <c r="U47" s="294">
        <f t="shared" si="11"/>
        <v>0</v>
      </c>
      <c r="V47" s="295">
        <f t="shared" si="11"/>
        <v>-1</v>
      </c>
      <c r="W47" s="295">
        <f t="shared" si="11"/>
        <v>1</v>
      </c>
      <c r="X47" s="294">
        <f t="shared" si="11"/>
        <v>0</v>
      </c>
      <c r="Y47" s="295">
        <f t="shared" si="11"/>
        <v>0</v>
      </c>
      <c r="Z47" s="295">
        <f t="shared" si="11"/>
        <v>1</v>
      </c>
      <c r="AA47" s="294">
        <f t="shared" si="11"/>
        <v>-1</v>
      </c>
      <c r="AB47" s="296">
        <f t="shared" si="11"/>
        <v>0</v>
      </c>
      <c r="AC47" s="295">
        <f t="shared" si="11"/>
        <v>-1</v>
      </c>
      <c r="AD47" s="294">
        <f t="shared" si="11"/>
        <v>0</v>
      </c>
      <c r="AE47" s="296">
        <f t="shared" si="11"/>
        <v>0</v>
      </c>
      <c r="AF47" s="295">
        <f t="shared" si="11"/>
        <v>-1</v>
      </c>
      <c r="AG47" s="294">
        <f t="shared" si="11"/>
        <v>1</v>
      </c>
      <c r="AH47" s="296">
        <f t="shared" si="11"/>
        <v>0</v>
      </c>
      <c r="AI47" s="295">
        <f t="shared" si="11"/>
        <v>1</v>
      </c>
      <c r="AJ47" s="294">
        <f t="shared" si="11"/>
        <v>0</v>
      </c>
      <c r="AK47" s="295">
        <f t="shared" si="11"/>
        <v>0</v>
      </c>
      <c r="AL47" s="297">
        <f t="shared" si="11"/>
        <v>0</v>
      </c>
      <c r="AM47" s="294">
        <f t="shared" si="11"/>
        <v>0</v>
      </c>
      <c r="AN47" s="295">
        <f t="shared" si="11"/>
        <v>0</v>
      </c>
      <c r="AO47" s="297">
        <f t="shared" si="11"/>
        <v>1</v>
      </c>
      <c r="AP47" s="294">
        <f t="shared" si="11"/>
        <v>0</v>
      </c>
      <c r="AQ47" s="295">
        <f t="shared" si="11"/>
        <v>0</v>
      </c>
      <c r="AR47" s="298">
        <f t="shared" si="11"/>
        <v>0</v>
      </c>
      <c r="AS47" s="299">
        <f t="shared" si="11"/>
        <v>0</v>
      </c>
      <c r="AT47" s="300">
        <f t="shared" si="11"/>
        <v>0</v>
      </c>
      <c r="AU47" s="298">
        <f t="shared" si="11"/>
        <v>1</v>
      </c>
      <c r="AV47" s="299">
        <f t="shared" si="11"/>
        <v>0</v>
      </c>
      <c r="AW47" s="300">
        <f t="shared" si="11"/>
        <v>0</v>
      </c>
      <c r="AX47" s="298">
        <f t="shared" si="11"/>
        <v>0</v>
      </c>
    </row>
    <row r="48" spans="1:50">
      <c r="C48" s="245"/>
      <c r="D48" s="245"/>
      <c r="G48" s="294"/>
      <c r="H48" s="295"/>
      <c r="I48" s="294"/>
      <c r="J48" s="295"/>
      <c r="K48" s="294"/>
      <c r="L48" s="295"/>
      <c r="M48" s="294"/>
      <c r="N48" s="295"/>
      <c r="O48" s="294"/>
      <c r="P48" s="295"/>
      <c r="Q48" s="294"/>
      <c r="R48" s="295"/>
      <c r="S48" s="294"/>
      <c r="T48" s="295"/>
      <c r="U48" s="294"/>
      <c r="V48" s="295"/>
      <c r="W48" s="295"/>
      <c r="X48" s="294"/>
      <c r="Y48" s="295"/>
      <c r="Z48" s="295"/>
      <c r="AA48" s="294"/>
      <c r="AB48" s="296"/>
      <c r="AC48" s="295"/>
      <c r="AD48" s="294"/>
      <c r="AE48" s="296"/>
      <c r="AF48" s="295"/>
      <c r="AG48" s="294"/>
      <c r="AH48" s="296"/>
      <c r="AI48" s="295"/>
      <c r="AJ48" s="294"/>
      <c r="AK48" s="295"/>
      <c r="AL48" s="297"/>
      <c r="AM48" s="294"/>
      <c r="AN48" s="295"/>
      <c r="AO48" s="297"/>
      <c r="AP48" s="294"/>
      <c r="AQ48" s="295"/>
      <c r="AR48" s="298"/>
      <c r="AS48" s="299"/>
      <c r="AT48" s="300"/>
      <c r="AU48" s="298"/>
      <c r="AV48" s="299"/>
      <c r="AW48" s="300"/>
      <c r="AX48" s="298"/>
    </row>
    <row r="49" spans="1:50">
      <c r="B49" s="134" t="s">
        <v>95</v>
      </c>
      <c r="C49" s="245"/>
      <c r="D49" s="245"/>
      <c r="G49" s="294"/>
      <c r="H49" s="295"/>
      <c r="I49" s="294"/>
      <c r="J49" s="295"/>
      <c r="K49" s="294"/>
      <c r="L49" s="295"/>
      <c r="M49" s="294"/>
      <c r="N49" s="295"/>
      <c r="O49" s="294"/>
      <c r="P49" s="295"/>
      <c r="Q49" s="294"/>
      <c r="R49" s="295"/>
      <c r="S49" s="294"/>
      <c r="T49" s="295"/>
      <c r="U49" s="294"/>
      <c r="V49" s="295"/>
      <c r="W49" s="295"/>
      <c r="X49" s="294"/>
      <c r="Y49" s="295"/>
      <c r="Z49" s="295"/>
      <c r="AA49" s="294"/>
      <c r="AB49" s="296"/>
      <c r="AC49" s="295"/>
      <c r="AD49" s="294"/>
      <c r="AE49" s="296"/>
      <c r="AF49" s="295"/>
      <c r="AG49" s="294"/>
      <c r="AH49" s="296"/>
      <c r="AI49" s="295"/>
      <c r="AJ49" s="294"/>
      <c r="AK49" s="295"/>
      <c r="AL49" s="297"/>
      <c r="AM49" s="294"/>
      <c r="AN49" s="295"/>
      <c r="AO49" s="297"/>
      <c r="AP49" s="294"/>
      <c r="AQ49" s="295"/>
      <c r="AR49" s="298"/>
      <c r="AS49" s="299"/>
      <c r="AT49" s="300"/>
      <c r="AU49" s="298"/>
      <c r="AV49" s="299"/>
      <c r="AW49" s="300"/>
      <c r="AX49" s="298"/>
    </row>
    <row r="50" spans="1:50">
      <c r="A50" s="121">
        <v>27</v>
      </c>
      <c r="B50" s="245" t="s">
        <v>96</v>
      </c>
      <c r="D50" s="245"/>
      <c r="G50" s="294"/>
      <c r="H50" s="295"/>
      <c r="I50" s="294"/>
      <c r="J50" s="295"/>
      <c r="K50" s="294"/>
      <c r="L50" s="295"/>
      <c r="M50" s="294"/>
      <c r="N50" s="295"/>
      <c r="O50" s="294"/>
      <c r="P50" s="295"/>
      <c r="Q50" s="294"/>
      <c r="R50" s="295"/>
      <c r="S50" s="294"/>
      <c r="T50" s="295"/>
      <c r="U50" s="294"/>
      <c r="V50" s="295"/>
      <c r="W50" s="295"/>
      <c r="X50" s="294"/>
      <c r="Y50" s="295"/>
      <c r="Z50" s="295"/>
      <c r="AA50" s="294"/>
      <c r="AB50" s="296"/>
      <c r="AC50" s="295"/>
      <c r="AD50" s="294"/>
      <c r="AE50" s="296"/>
      <c r="AF50" s="295"/>
      <c r="AG50" s="294"/>
      <c r="AH50" s="296"/>
      <c r="AI50" s="295"/>
      <c r="AJ50" s="294"/>
      <c r="AK50" s="295"/>
      <c r="AL50" s="297"/>
      <c r="AM50" s="294"/>
      <c r="AN50" s="295"/>
      <c r="AO50" s="297"/>
      <c r="AP50" s="294"/>
      <c r="AQ50" s="295"/>
      <c r="AR50" s="298"/>
      <c r="AS50" s="299"/>
      <c r="AT50" s="300"/>
      <c r="AU50" s="298"/>
      <c r="AV50" s="299"/>
      <c r="AW50" s="300"/>
      <c r="AX50" s="298"/>
    </row>
    <row r="51" spans="1:50">
      <c r="A51" s="121">
        <v>28</v>
      </c>
      <c r="B51" s="245" t="s">
        <v>38</v>
      </c>
      <c r="D51" s="245"/>
      <c r="G51" s="294"/>
      <c r="H51" s="295"/>
      <c r="I51" s="294"/>
      <c r="J51" s="295"/>
      <c r="K51" s="294"/>
      <c r="L51" s="295"/>
      <c r="M51" s="294"/>
      <c r="N51" s="295"/>
      <c r="O51" s="294"/>
      <c r="P51" s="295"/>
      <c r="Q51" s="294"/>
      <c r="R51" s="295"/>
      <c r="S51" s="294"/>
      <c r="T51" s="295"/>
      <c r="U51" s="294"/>
      <c r="V51" s="295"/>
      <c r="W51" s="295"/>
      <c r="X51" s="294"/>
      <c r="Y51" s="295"/>
      <c r="Z51" s="295"/>
      <c r="AA51" s="294"/>
      <c r="AB51" s="296"/>
      <c r="AC51" s="295"/>
      <c r="AD51" s="294"/>
      <c r="AE51" s="296"/>
      <c r="AF51" s="295"/>
      <c r="AG51" s="294"/>
      <c r="AH51" s="296"/>
      <c r="AI51" s="295"/>
      <c r="AJ51" s="294"/>
      <c r="AK51" s="295"/>
      <c r="AL51" s="297"/>
      <c r="AM51" s="294"/>
      <c r="AN51" s="295"/>
      <c r="AO51" s="297"/>
      <c r="AP51" s="294"/>
      <c r="AQ51" s="295"/>
      <c r="AR51" s="298"/>
      <c r="AS51" s="299"/>
      <c r="AT51" s="300"/>
      <c r="AU51" s="298"/>
      <c r="AV51" s="299"/>
      <c r="AW51" s="300"/>
      <c r="AX51" s="298"/>
    </row>
    <row r="52" spans="1:50">
      <c r="A52" s="121">
        <v>29</v>
      </c>
      <c r="B52" s="245" t="s">
        <v>97</v>
      </c>
      <c r="D52" s="245"/>
      <c r="G52" s="294"/>
      <c r="H52" s="295"/>
      <c r="I52" s="294"/>
      <c r="J52" s="295"/>
      <c r="K52" s="294"/>
      <c r="L52" s="295"/>
      <c r="M52" s="294"/>
      <c r="N52" s="295"/>
      <c r="O52" s="294"/>
      <c r="P52" s="295"/>
      <c r="Q52" s="294"/>
      <c r="R52" s="295"/>
      <c r="S52" s="294"/>
      <c r="T52" s="295"/>
      <c r="U52" s="294"/>
      <c r="V52" s="295"/>
      <c r="W52" s="295"/>
      <c r="X52" s="294"/>
      <c r="Y52" s="295"/>
      <c r="Z52" s="295"/>
      <c r="AA52" s="294"/>
      <c r="AB52" s="296"/>
      <c r="AC52" s="295"/>
      <c r="AD52" s="294"/>
      <c r="AE52" s="296"/>
      <c r="AF52" s="295"/>
      <c r="AG52" s="294"/>
      <c r="AH52" s="296"/>
      <c r="AI52" s="295"/>
      <c r="AJ52" s="294"/>
      <c r="AK52" s="295"/>
      <c r="AL52" s="297"/>
      <c r="AM52" s="294"/>
      <c r="AN52" s="295"/>
      <c r="AO52" s="297"/>
      <c r="AP52" s="294"/>
      <c r="AQ52" s="295"/>
      <c r="AR52" s="298"/>
      <c r="AS52" s="299"/>
      <c r="AT52" s="300"/>
      <c r="AU52" s="298"/>
      <c r="AV52" s="299"/>
      <c r="AW52" s="300"/>
      <c r="AX52" s="298"/>
    </row>
    <row r="53" spans="1:50">
      <c r="A53" s="121">
        <v>30</v>
      </c>
      <c r="B53" s="245" t="s">
        <v>98</v>
      </c>
      <c r="D53" s="245"/>
      <c r="G53" s="301"/>
      <c r="H53" s="302"/>
      <c r="I53" s="301"/>
      <c r="J53" s="302"/>
      <c r="K53" s="301"/>
      <c r="L53" s="302"/>
      <c r="M53" s="301"/>
      <c r="N53" s="302"/>
      <c r="O53" s="301"/>
      <c r="P53" s="302"/>
      <c r="Q53" s="301"/>
      <c r="R53" s="302"/>
      <c r="S53" s="301"/>
      <c r="T53" s="302"/>
      <c r="U53" s="301"/>
      <c r="V53" s="302"/>
      <c r="W53" s="302"/>
      <c r="X53" s="301"/>
      <c r="Y53" s="295"/>
      <c r="Z53" s="302"/>
      <c r="AA53" s="301"/>
      <c r="AB53" s="302"/>
      <c r="AC53" s="302"/>
      <c r="AD53" s="301"/>
      <c r="AE53" s="302"/>
      <c r="AF53" s="302"/>
      <c r="AG53" s="301"/>
      <c r="AH53" s="302"/>
      <c r="AI53" s="302"/>
      <c r="AJ53" s="301"/>
      <c r="AK53" s="302"/>
      <c r="AL53" s="303"/>
      <c r="AM53" s="301"/>
      <c r="AN53" s="302"/>
      <c r="AO53" s="303"/>
      <c r="AP53" s="301"/>
      <c r="AQ53" s="302"/>
      <c r="AR53" s="304"/>
      <c r="AS53" s="305"/>
      <c r="AT53" s="306"/>
      <c r="AU53" s="304"/>
      <c r="AV53" s="305"/>
      <c r="AW53" s="306"/>
      <c r="AX53" s="304"/>
    </row>
    <row r="54" spans="1:50">
      <c r="G54" s="294"/>
      <c r="H54" s="295"/>
      <c r="I54" s="294"/>
      <c r="J54" s="295"/>
      <c r="K54" s="294"/>
      <c r="L54" s="295"/>
      <c r="M54" s="294"/>
      <c r="N54" s="295"/>
      <c r="O54" s="294"/>
      <c r="P54" s="295"/>
      <c r="Q54" s="294"/>
      <c r="R54" s="295"/>
      <c r="S54" s="294"/>
      <c r="T54" s="295"/>
      <c r="U54" s="294"/>
      <c r="V54" s="295"/>
      <c r="W54" s="295"/>
      <c r="X54" s="294"/>
      <c r="Y54" s="307"/>
      <c r="Z54" s="295"/>
      <c r="AA54" s="294"/>
      <c r="AB54" s="296"/>
      <c r="AC54" s="295"/>
      <c r="AD54" s="294"/>
      <c r="AE54" s="296"/>
      <c r="AF54" s="295"/>
      <c r="AG54" s="294"/>
      <c r="AH54" s="296"/>
      <c r="AI54" s="295"/>
      <c r="AJ54" s="294"/>
      <c r="AK54" s="295"/>
      <c r="AL54" s="297"/>
      <c r="AM54" s="294"/>
      <c r="AN54" s="295"/>
      <c r="AO54" s="297"/>
      <c r="AP54" s="294"/>
      <c r="AQ54" s="295"/>
      <c r="AR54" s="298"/>
      <c r="AS54" s="299"/>
      <c r="AT54" s="300"/>
      <c r="AU54" s="298"/>
      <c r="AV54" s="299"/>
      <c r="AW54" s="300"/>
      <c r="AX54" s="298"/>
    </row>
    <row r="55" spans="1:50">
      <c r="A55" s="121">
        <v>31</v>
      </c>
      <c r="B55" s="260" t="s">
        <v>99</v>
      </c>
      <c r="C55" s="260"/>
      <c r="D55" s="260"/>
      <c r="G55" s="294">
        <f>G47-G50-G51-G52-G53</f>
        <v>0</v>
      </c>
      <c r="H55" s="295">
        <f>H47-H50-H51-H52-H53</f>
        <v>0</v>
      </c>
      <c r="I55" s="294">
        <f t="shared" ref="I55:AT55" si="12">I47-I50-I51-I52-I53</f>
        <v>0</v>
      </c>
      <c r="J55" s="295">
        <f t="shared" si="12"/>
        <v>0</v>
      </c>
      <c r="K55" s="294">
        <f t="shared" si="12"/>
        <v>1</v>
      </c>
      <c r="L55" s="295">
        <f t="shared" si="12"/>
        <v>0</v>
      </c>
      <c r="M55" s="294">
        <f t="shared" si="12"/>
        <v>0</v>
      </c>
      <c r="N55" s="295">
        <f t="shared" si="12"/>
        <v>-1</v>
      </c>
      <c r="O55" s="294">
        <f t="shared" si="12"/>
        <v>0</v>
      </c>
      <c r="P55" s="295">
        <f t="shared" si="12"/>
        <v>1</v>
      </c>
      <c r="Q55" s="294">
        <f t="shared" si="12"/>
        <v>0</v>
      </c>
      <c r="R55" s="295">
        <f t="shared" si="12"/>
        <v>-1</v>
      </c>
      <c r="S55" s="294">
        <f t="shared" si="12"/>
        <v>0</v>
      </c>
      <c r="T55" s="295">
        <f t="shared" si="12"/>
        <v>1</v>
      </c>
      <c r="U55" s="294">
        <f t="shared" si="12"/>
        <v>0</v>
      </c>
      <c r="V55" s="295">
        <f t="shared" si="12"/>
        <v>-1</v>
      </c>
      <c r="W55" s="295">
        <f t="shared" si="12"/>
        <v>1</v>
      </c>
      <c r="X55" s="294">
        <f t="shared" si="12"/>
        <v>0</v>
      </c>
      <c r="Y55" s="295">
        <f t="shared" si="12"/>
        <v>0</v>
      </c>
      <c r="Z55" s="295">
        <f t="shared" si="12"/>
        <v>1</v>
      </c>
      <c r="AA55" s="294">
        <f t="shared" si="12"/>
        <v>-1</v>
      </c>
      <c r="AB55" s="296">
        <f t="shared" si="12"/>
        <v>0</v>
      </c>
      <c r="AC55" s="295">
        <f t="shared" si="12"/>
        <v>-1</v>
      </c>
      <c r="AD55" s="294">
        <f t="shared" si="12"/>
        <v>0</v>
      </c>
      <c r="AE55" s="296">
        <f t="shared" si="12"/>
        <v>0</v>
      </c>
      <c r="AF55" s="295">
        <f t="shared" si="12"/>
        <v>-1</v>
      </c>
      <c r="AG55" s="294">
        <f t="shared" si="12"/>
        <v>1</v>
      </c>
      <c r="AH55" s="296">
        <f t="shared" si="12"/>
        <v>0</v>
      </c>
      <c r="AI55" s="295">
        <f t="shared" si="12"/>
        <v>1</v>
      </c>
      <c r="AJ55" s="294">
        <f t="shared" si="12"/>
        <v>0</v>
      </c>
      <c r="AK55" s="295">
        <f t="shared" si="12"/>
        <v>0</v>
      </c>
      <c r="AL55" s="297">
        <f t="shared" si="12"/>
        <v>0</v>
      </c>
      <c r="AM55" s="294">
        <f t="shared" si="12"/>
        <v>0</v>
      </c>
      <c r="AN55" s="295">
        <f t="shared" si="12"/>
        <v>0</v>
      </c>
      <c r="AO55" s="297">
        <f t="shared" si="12"/>
        <v>1</v>
      </c>
      <c r="AP55" s="294">
        <f t="shared" si="12"/>
        <v>0</v>
      </c>
      <c r="AQ55" s="295">
        <f t="shared" si="12"/>
        <v>0</v>
      </c>
      <c r="AR55" s="298">
        <f t="shared" si="12"/>
        <v>0</v>
      </c>
      <c r="AS55" s="299">
        <f t="shared" si="12"/>
        <v>0</v>
      </c>
      <c r="AT55" s="300">
        <f t="shared" si="12"/>
        <v>0</v>
      </c>
      <c r="AU55" s="298">
        <f>AU47-AU50-AU51-AU52-AU53</f>
        <v>1</v>
      </c>
      <c r="AV55" s="299">
        <f>AV47-AV50-AV51-AV52-AV53</f>
        <v>0</v>
      </c>
      <c r="AW55" s="300">
        <f>AW47-AW50-AW51-AW52-AW53</f>
        <v>0</v>
      </c>
      <c r="AX55" s="298">
        <f>AX47-AX50-AX51-AX52-AX53</f>
        <v>0</v>
      </c>
    </row>
    <row r="56" spans="1:50">
      <c r="G56" s="264"/>
      <c r="H56" s="263"/>
      <c r="I56" s="264"/>
      <c r="J56" s="263"/>
      <c r="K56" s="264"/>
      <c r="L56" s="263"/>
      <c r="M56" s="264"/>
      <c r="N56" s="263"/>
      <c r="O56" s="264"/>
      <c r="P56" s="263"/>
      <c r="Q56" s="264"/>
      <c r="R56" s="263"/>
      <c r="S56" s="264"/>
      <c r="T56" s="263"/>
      <c r="U56" s="264"/>
      <c r="V56" s="263"/>
      <c r="W56" s="263"/>
      <c r="X56" s="264"/>
      <c r="Y56" s="263"/>
      <c r="Z56" s="263"/>
      <c r="AA56" s="264"/>
      <c r="AC56" s="263"/>
      <c r="AD56" s="264"/>
      <c r="AF56" s="263"/>
      <c r="AG56" s="264"/>
      <c r="AI56" s="263"/>
      <c r="AJ56" s="264"/>
      <c r="AK56" s="263"/>
      <c r="AL56" s="263"/>
      <c r="AM56" s="264"/>
      <c r="AN56" s="263"/>
      <c r="AO56" s="263"/>
      <c r="AP56" s="264"/>
      <c r="AQ56" s="263"/>
      <c r="AR56" s="262"/>
      <c r="AS56" s="267"/>
      <c r="AT56" s="262"/>
      <c r="AU56" s="262"/>
      <c r="AV56" s="267"/>
      <c r="AW56" s="262"/>
      <c r="AX56" s="262"/>
    </row>
    <row r="57" spans="1:50">
      <c r="B57" s="127" t="s">
        <v>398</v>
      </c>
      <c r="C57" s="127"/>
      <c r="D57" s="127"/>
      <c r="K57" s="263"/>
      <c r="S57" s="263"/>
      <c r="AS57" s="150"/>
      <c r="AT57" s="150"/>
    </row>
    <row r="58" spans="1:50">
      <c r="B58" s="134" t="s">
        <v>399</v>
      </c>
      <c r="C58" s="134" t="s">
        <v>400</v>
      </c>
      <c r="K58" s="263"/>
      <c r="S58" s="263"/>
      <c r="AS58" s="150"/>
      <c r="AT58" s="150"/>
    </row>
    <row r="59" spans="1:50">
      <c r="B59" s="134" t="s">
        <v>401</v>
      </c>
      <c r="D59" s="134" t="s">
        <v>402</v>
      </c>
      <c r="K59" s="263"/>
      <c r="S59" s="263"/>
      <c r="AS59" s="150"/>
      <c r="AT59" s="150"/>
    </row>
    <row r="60" spans="1:50" ht="6" customHeight="1">
      <c r="K60" s="263"/>
      <c r="S60" s="263"/>
      <c r="AS60" s="150"/>
      <c r="AT60" s="150"/>
    </row>
    <row r="61" spans="1:50" ht="15">
      <c r="D61" s="134" t="s">
        <v>403</v>
      </c>
      <c r="G61" s="316"/>
      <c r="H61" s="316">
        <v>242</v>
      </c>
      <c r="I61" s="316"/>
      <c r="J61" s="316">
        <v>244</v>
      </c>
      <c r="K61" s="316"/>
      <c r="L61" s="316">
        <v>144</v>
      </c>
      <c r="M61" s="316"/>
      <c r="N61" s="316">
        <v>0</v>
      </c>
      <c r="O61" s="316"/>
      <c r="P61" s="316">
        <v>0</v>
      </c>
      <c r="Q61" s="316"/>
      <c r="R61" s="316">
        <f>27855+479</f>
        <v>28334</v>
      </c>
      <c r="S61" s="316"/>
      <c r="T61" s="316">
        <f>36725+0</f>
        <v>36725</v>
      </c>
      <c r="U61" s="316"/>
      <c r="V61" s="316"/>
      <c r="W61" s="316">
        <f>66526+160</f>
        <v>66686</v>
      </c>
      <c r="X61" s="316"/>
      <c r="Y61" s="316"/>
      <c r="Z61" s="316">
        <f>149894+3124</f>
        <v>153018</v>
      </c>
      <c r="AA61" s="316"/>
      <c r="AB61" s="316"/>
      <c r="AC61" s="316">
        <f>78622+5370</f>
        <v>83992</v>
      </c>
      <c r="AD61" s="316"/>
      <c r="AE61" s="316"/>
      <c r="AF61" s="316">
        <f>109009+6184</f>
        <v>115193</v>
      </c>
      <c r="AG61" s="316"/>
      <c r="AH61" s="316"/>
      <c r="AI61" s="316">
        <f>94024+4770</f>
        <v>98794</v>
      </c>
      <c r="AJ61" s="316"/>
      <c r="AK61" s="316"/>
      <c r="AL61" s="316">
        <f>63689+4133</f>
        <v>67822</v>
      </c>
      <c r="AM61" s="316"/>
      <c r="AN61" s="316"/>
      <c r="AO61" s="316">
        <v>0</v>
      </c>
      <c r="AP61" s="316"/>
      <c r="AQ61" s="316"/>
      <c r="AR61" s="317">
        <v>0</v>
      </c>
      <c r="AS61" s="317"/>
      <c r="AT61" s="317"/>
      <c r="AU61" s="317">
        <v>0</v>
      </c>
      <c r="AV61" s="317"/>
      <c r="AW61" s="317"/>
      <c r="AX61" s="317">
        <v>0</v>
      </c>
    </row>
    <row r="62" spans="1:50" ht="15">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316"/>
      <c r="AP62" s="316"/>
      <c r="AQ62" s="316"/>
      <c r="AR62" s="317"/>
      <c r="AS62" s="317"/>
      <c r="AT62" s="317"/>
      <c r="AU62" s="317"/>
      <c r="AV62" s="317"/>
      <c r="AW62" s="317"/>
      <c r="AX62" s="317"/>
    </row>
    <row r="63" spans="1:50" ht="15">
      <c r="D63" s="134" t="s">
        <v>404</v>
      </c>
      <c r="G63" s="316"/>
      <c r="H63" s="316">
        <f>125+38</f>
        <v>163</v>
      </c>
      <c r="I63" s="316"/>
      <c r="J63" s="316">
        <f>134+98</f>
        <v>232</v>
      </c>
      <c r="K63" s="316"/>
      <c r="L63" s="316">
        <f>131+128+2</f>
        <v>261</v>
      </c>
      <c r="M63" s="316"/>
      <c r="N63" s="316">
        <f>142+141+2</f>
        <v>285</v>
      </c>
      <c r="O63" s="316"/>
      <c r="P63" s="316">
        <f>148+181+48-8</f>
        <v>369</v>
      </c>
      <c r="Q63" s="316"/>
      <c r="R63" s="316">
        <f>643+8</f>
        <v>651</v>
      </c>
      <c r="S63" s="316"/>
      <c r="T63" s="316">
        <v>653</v>
      </c>
      <c r="U63" s="316"/>
      <c r="V63" s="316"/>
      <c r="W63" s="316">
        <v>792</v>
      </c>
      <c r="X63" s="316"/>
      <c r="Y63" s="316"/>
      <c r="Z63" s="316">
        <v>783</v>
      </c>
      <c r="AA63" s="316"/>
      <c r="AB63" s="316"/>
      <c r="AC63" s="316">
        <v>802</v>
      </c>
      <c r="AD63" s="316"/>
      <c r="AE63" s="316"/>
      <c r="AF63" s="316">
        <f>801-1</f>
        <v>800</v>
      </c>
      <c r="AG63" s="316"/>
      <c r="AH63" s="316"/>
      <c r="AI63" s="316">
        <f>903+78</f>
        <v>981</v>
      </c>
      <c r="AJ63" s="316"/>
      <c r="AK63" s="316"/>
      <c r="AL63" s="316">
        <f>857+71</f>
        <v>928</v>
      </c>
      <c r="AM63" s="316"/>
      <c r="AN63" s="316"/>
      <c r="AO63" s="316">
        <v>891</v>
      </c>
      <c r="AP63" s="316"/>
      <c r="AQ63" s="316"/>
      <c r="AR63" s="317">
        <v>779</v>
      </c>
      <c r="AS63" s="317"/>
      <c r="AT63" s="317"/>
      <c r="AU63" s="298">
        <f>'[9]Cost Trends'!U20</f>
        <v>840</v>
      </c>
      <c r="AV63" s="317"/>
      <c r="AW63" s="317"/>
      <c r="AX63" s="298">
        <f>'[9]Cost Trends'!V20</f>
        <v>994</v>
      </c>
    </row>
    <row r="64" spans="1:50" ht="15">
      <c r="K64" s="263"/>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316"/>
      <c r="AP64" s="316"/>
      <c r="AQ64" s="316"/>
      <c r="AR64" s="317"/>
      <c r="AS64" s="317"/>
      <c r="AT64" s="317"/>
      <c r="AU64" s="317"/>
      <c r="AV64" s="317"/>
      <c r="AW64" s="317"/>
      <c r="AX64" s="317"/>
    </row>
    <row r="65" spans="4:50">
      <c r="D65" s="134" t="s">
        <v>405</v>
      </c>
      <c r="H65" s="318">
        <f>'[9]Cost Trends'!F22+H21</f>
        <v>163</v>
      </c>
      <c r="J65" s="318">
        <f>'[9]Cost Trends'!G22+J21</f>
        <v>232</v>
      </c>
      <c r="K65" s="263"/>
      <c r="L65" s="318">
        <f>'[9]Cost Trends'!H22+L21</f>
        <v>261</v>
      </c>
      <c r="N65" s="318">
        <f>'[9]Cost Trends'!I22+N21</f>
        <v>285</v>
      </c>
      <c r="P65" s="318">
        <f>'[9]Cost Trends'!J22+P21</f>
        <v>369</v>
      </c>
      <c r="R65" s="318">
        <f>'[9]Cost Trends'!K22+R21</f>
        <v>651</v>
      </c>
      <c r="T65" s="318">
        <f>'[9]Cost Trends'!L22+T21</f>
        <v>653</v>
      </c>
      <c r="W65" s="318">
        <f>'[9]Cost Trends'!M22+W21</f>
        <v>792</v>
      </c>
      <c r="Z65" s="318">
        <f>'[9]Cost Trends'!N22+Z21</f>
        <v>783</v>
      </c>
      <c r="AC65" s="318">
        <f>'[9]Cost Trends'!O22+AC21</f>
        <v>802</v>
      </c>
      <c r="AF65" s="318">
        <f>'[9]Cost Trends'!P22+AF21</f>
        <v>800</v>
      </c>
      <c r="AI65" s="318">
        <f>'[9]Cost Trends'!Q22+AI21</f>
        <v>981</v>
      </c>
      <c r="AL65" s="318">
        <f>'[9]Cost Trends'!R22+AL21</f>
        <v>928</v>
      </c>
      <c r="AO65" s="318">
        <f>'[9]Cost Trends'!S22+AO21</f>
        <v>891</v>
      </c>
      <c r="AR65" s="319">
        <f>'[9]Cost Trends'!T22+AR21</f>
        <v>779</v>
      </c>
      <c r="AS65" s="150"/>
      <c r="AT65" s="150"/>
      <c r="AU65" s="319">
        <f>'[9]Cost Trends'!U22+AU21</f>
        <v>840</v>
      </c>
      <c r="AX65" s="319">
        <f>'[9]Cost Trends'!V22+AX21</f>
        <v>994</v>
      </c>
    </row>
  </sheetData>
  <mergeCells count="5">
    <mergeCell ref="AJ6:AL6"/>
    <mergeCell ref="AM6:AO6"/>
    <mergeCell ref="AP6:AR6"/>
    <mergeCell ref="AS6:AU6"/>
    <mergeCell ref="AV6:AX6"/>
  </mergeCells>
  <pageMargins left="0.32" right="0.4" top="0.3" bottom="0.36" header="0.3" footer="0.27"/>
  <pageSetup scale="67" orientation="landscape" r:id="rId1"/>
  <headerFooter>
    <oddFooter>&amp;C&amp;F / &amp;A&amp;RPage &amp;P</oddFooter>
  </headerFooter>
  <colBreaks count="1" manualBreakCount="1">
    <brk id="23"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93D7BF2DB2434CBA4573E3DBB11230" ma:contentTypeVersion="104" ma:contentTypeDescription="" ma:contentTypeScope="" ma:versionID="3f6ae32ccc8da311cb75f5903f0a79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2017-05-26T07:00:00+00:00</OpenedDate>
    <Date1 xmlns="dc463f71-b30c-4ab2-9473-d307f9d35888">2017-10-27T07:00:00+00:00</Date1>
    <IsDocumentOrder xmlns="dc463f71-b30c-4ab2-9473-d307f9d35888" xsi:nil="true"/>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170485</DocketNumber>
    <DelegatedOrder xmlns="dc463f71-b30c-4ab2-9473-d307f9d35888">false</DelegatedOrder>
    <SignificantOrder xmlns="dc463f71-b30c-4ab2-9473-d307f9d35888">false</Significant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838F952D-5D9D-4A44-9751-56A5541AD4CB}"/>
</file>

<file path=customXml/itemProps2.xml><?xml version="1.0" encoding="utf-8"?>
<ds:datastoreItem xmlns:ds="http://schemas.openxmlformats.org/officeDocument/2006/customXml" ds:itemID="{454FF7F2-6511-4262-AD0F-638780E9A832}">
  <ds:schemaRefs>
    <ds:schemaRef ds:uri="24f70c62-691b-492e-ba59-9d389529a97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63DE0A7C-12AD-4ECF-8238-BDFE0D665877}">
  <ds:schemaRefs>
    <ds:schemaRef ds:uri="http://schemas.microsoft.com/sharepoint/v3/contenttype/forms"/>
  </ds:schemaRefs>
</ds:datastoreItem>
</file>

<file path=customXml/itemProps4.xml><?xml version="1.0" encoding="utf-8"?>
<ds:datastoreItem xmlns:ds="http://schemas.openxmlformats.org/officeDocument/2006/customXml" ds:itemID="{BA667067-3AFE-442B-B3E7-0DB4B47687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10</vt:i4>
      </vt:variant>
    </vt:vector>
  </HeadingPairs>
  <TitlesOfParts>
    <vt:vector size="28" baseType="lpstr">
      <vt:lpstr>JH-2 &amp; JH-3</vt:lpstr>
      <vt:lpstr>CSH-2 Electric Escalation</vt:lpstr>
      <vt:lpstr>CSH-3 Natural Gas Escalation</vt:lpstr>
      <vt:lpstr>CSH-4 Escalators</vt:lpstr>
      <vt:lpstr>CSH-5 Elec Regressions</vt:lpstr>
      <vt:lpstr>CSH-6 Nat Gas Regressions</vt:lpstr>
      <vt:lpstr>O&amp;M Escalator</vt:lpstr>
      <vt:lpstr>Charts</vt:lpstr>
      <vt:lpstr>Riders and Gas Cost Revenue</vt:lpstr>
      <vt:lpstr>INDEX FIGURES --&gt;</vt:lpstr>
      <vt:lpstr>ECI</vt:lpstr>
      <vt:lpstr>PPI Util</vt:lpstr>
      <vt:lpstr>PPI Trans</vt:lpstr>
      <vt:lpstr>PPI Distr</vt:lpstr>
      <vt:lpstr>PPI Gen</vt:lpstr>
      <vt:lpstr>PPI Nat Gas-NOT USED</vt:lpstr>
      <vt:lpstr>Rate base percentages</vt:lpstr>
      <vt:lpstr>2007-2016 Data</vt:lpstr>
      <vt:lpstr>'2007-2016 Data'!Print_Area</vt:lpstr>
      <vt:lpstr>Charts!Print_Area</vt:lpstr>
      <vt:lpstr>'CSH-2 Electric Escalation'!Print_Area</vt:lpstr>
      <vt:lpstr>'CSH-3 Natural Gas Escalation'!Print_Area</vt:lpstr>
      <vt:lpstr>'CSH-4 Escalators'!Print_Area</vt:lpstr>
      <vt:lpstr>'CSH-5 Elec Regressions'!Print_Area</vt:lpstr>
      <vt:lpstr>'CSH-6 Nat Gas Regressions'!Print_Area</vt:lpstr>
      <vt:lpstr>'Riders and Gas Cost Revenue'!Print_Area</vt:lpstr>
      <vt:lpstr>'2007-2016 Data'!Print_Titles</vt:lpstr>
      <vt:lpstr>'Riders and Gas Cost Revenue'!Print_Titles</vt:lpstr>
    </vt:vector>
  </TitlesOfParts>
  <Company>Washington Utilities and Transportation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Hancock exhibits CSH-2 thru CSH-6</dc:title>
  <dc:creator>Hancock, Christopher (UTC)</dc:creator>
  <dc:description/>
  <cp:lastModifiedBy>Hancock, Christopher (UTC)</cp:lastModifiedBy>
  <cp:lastPrinted>2017-10-25T21:24:53Z</cp:lastPrinted>
  <dcterms:created xsi:type="dcterms:W3CDTF">2017-10-19T17:09:14Z</dcterms:created>
  <dcterms:modified xsi:type="dcterms:W3CDTF">2017-10-26T18:45:10Z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0x0101006E56B4D1795A2E4DB2F0B01679ED314A004293D7BF2DB2434CBA4573E3DBB11230</vt:lpwstr>
  </property>
  <property fmtid="{D5CDD505-2E9C-101B-9397-08002B2CF9AE}" pid="3" name="_docset_NoMedatataSyncRequired">
    <vt:lpwstr>False</vt:lpwstr>
  </property>
  <property fmtid="{D5CDD505-2E9C-101B-9397-08002B2CF9AE}" pid="4" name="IsEFSEC">
    <vt:bool>false</vt:bool>
  </property>
</Properties>
</file>