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2.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omments5.xml" ContentType="application/vnd.openxmlformats-officedocument.spreadsheetml.comments+xml"/>
  <Override PartName="/xl/comments6.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ttps://home.utc.wa.gov/sites/ug-170929/Staffs Testimony and Exhibits/"/>
    </mc:Choice>
  </mc:AlternateContent>
  <bookViews>
    <workbookView xWindow="480" yWindow="135" windowWidth="18195" windowHeight="6900" tabRatio="713" firstSheet="10" activeTab="11"/>
  </bookViews>
  <sheets>
    <sheet name="ROO Summary Sheet" sheetId="1" r:id="rId1"/>
    <sheet name="Exh KMH-2, ROO Pg 1" sheetId="61" r:id="rId2"/>
    <sheet name="Exh KMH-2 Adjustments Pg 2" sheetId="4" r:id="rId3"/>
    <sheet name="Capital Structure Calculation" sheetId="3" r:id="rId4"/>
    <sheet name="Panco Plant Additions" sheetId="49" r:id="rId5"/>
    <sheet name="Liu Weather Normalization" sheetId="21" r:id="rId6"/>
    <sheet name="Liu Restate Rev WP" sheetId="62" r:id="rId7"/>
    <sheet name="Rev Req Calc" sheetId="26" r:id="rId8"/>
    <sheet name="Conversion Factor" sheetId="2" r:id="rId9"/>
    <sheet name="Operating Report" sheetId="31" r:id="rId10"/>
    <sheet name="KMH Copy of Op Rep" sheetId="64" r:id="rId11"/>
    <sheet name="k10 wage adj separated wp" sheetId="66" r:id="rId12"/>
    <sheet name="Rate Base" sheetId="32" r:id="rId13"/>
    <sheet name="Plant in Serv &amp; Accum Depr" sheetId="58" r:id="rId14"/>
    <sheet name="Adv for Const. &amp; Def Tax" sheetId="59" r:id="rId15"/>
    <sheet name="Working Capital" sheetId="33" r:id="rId16"/>
    <sheet name="State Allocation Formulas" sheetId="60" r:id="rId17"/>
    <sheet name="Advertising Adj" sheetId="18" r:id="rId18"/>
    <sheet name="Restate Revenues" sheetId="36" r:id="rId19"/>
    <sheet name="Low-Income Bill Assistance" sheetId="44" r:id="rId20"/>
    <sheet name="Interest Coord. Adj." sheetId="24" r:id="rId21"/>
    <sheet name="k10 Pro Forma Wage Adj" sheetId="6" r:id="rId22"/>
    <sheet name="Panco Pro Forma Plant Additions" sheetId="13" r:id="rId23"/>
    <sheet name="Panco Rate Case Costs" sheetId="15" r:id="rId24"/>
    <sheet name="Panco Pro Forma Compliance Dept" sheetId="46" r:id="rId25"/>
    <sheet name="White MAOP" sheetId="65" r:id="rId26"/>
    <sheet name="Miscellaneous Charges" sheetId="41" r:id="rId27"/>
    <sheet name="CRM Adjustment (a)" sheetId="47" r:id="rId28"/>
    <sheet name="CRM Adjustment (b)" sheetId="48" r:id="rId29"/>
    <sheet name="Revenue Adjustment" sheetId="5" r:id="rId30"/>
    <sheet name="Liu Rev Adj WP" sheetId="63" r:id="rId31"/>
    <sheet name="Working Capital Work Paper" sheetId="34" r:id="rId32"/>
  </sheets>
  <externalReferences>
    <externalReference r:id="rId33"/>
  </externalReferences>
  <definedNames>
    <definedName name="first_day">'[1]Historic Data'!$K$3</definedName>
    <definedName name="_xlnm.Print_Area" localSheetId="3">'Capital Structure Calculation'!$A$1:$J$17</definedName>
    <definedName name="_xlnm.Print_Area" localSheetId="27">'CRM Adjustment (a)'!$A$1:$H$23</definedName>
    <definedName name="_xlnm.Print_Area" localSheetId="2">'Exh KMH-2 Adjustments Pg 2'!$A$1:$AH$45</definedName>
    <definedName name="_xlnm.Print_Area" localSheetId="1">'Exh KMH-2, ROO Pg 1'!$A$1:$U$42</definedName>
    <definedName name="_xlnm.Print_Area" localSheetId="21">'k10 Pro Forma Wage Adj'!$A$1:$P$92</definedName>
    <definedName name="_xlnm.Print_Area" localSheetId="10">'KMH Copy of Op Rep'!$A$55:$I$122</definedName>
    <definedName name="_xlnm.Print_Area" localSheetId="5">'Liu Weather Normalization'!$A$1:$H$46</definedName>
    <definedName name="_xlnm.Print_Area" localSheetId="26">'Miscellaneous Charges'!$A$1:$O$19</definedName>
    <definedName name="_xlnm.Print_Area" localSheetId="9">'Operating Report'!$A$1:$H$186,'Operating Report'!$I$1:$Y$157</definedName>
    <definedName name="_xlnm.Print_Area" localSheetId="24">'Panco Pro Forma Compliance Dept'!$A$1:$O$19</definedName>
    <definedName name="_xlnm.Print_Area" localSheetId="22">'Panco Pro Forma Plant Additions'!$A$1:$F$34</definedName>
    <definedName name="_xlnm.Print_Area" localSheetId="29">'Revenue Adjustment'!$A$1:$G$27</definedName>
    <definedName name="_xlnm.Print_Area" localSheetId="0">'ROO Summary Sheet'!$A$1:$P$42</definedName>
    <definedName name="_xlnm.Print_Area" localSheetId="16">'State Allocation Formulas'!$A$1:$T$80</definedName>
    <definedName name="_xlnm.Print_Area" localSheetId="31">'Working Capital Work Paper'!$C$1:$X$344</definedName>
    <definedName name="_xlnm.Print_Titles" localSheetId="14">'Adv for Const. &amp; Def Tax'!$A:$A,'Adv for Const. &amp; Def Tax'!$1:$8</definedName>
    <definedName name="_xlnm.Print_Titles" localSheetId="17">'Advertising Adj'!$1:$5</definedName>
    <definedName name="_xlnm.Print_Titles" localSheetId="28">'CRM Adjustment (b)'!$A:$A,'CRM Adjustment (b)'!$1:$7</definedName>
    <definedName name="_xlnm.Print_Titles" localSheetId="21">'k10 Pro Forma Wage Adj'!$1:$7</definedName>
    <definedName name="_xlnm.Print_Titles" localSheetId="10">'KMH Copy of Op Rep'!$10:$13</definedName>
    <definedName name="_xlnm.Print_Titles" localSheetId="9">'Operating Report'!$A:$A,'Operating Report'!$1:$13</definedName>
    <definedName name="_xlnm.Print_Titles" localSheetId="4">'Panco Plant Additions'!$A:$A,'Panco Plant Additions'!$1:$7</definedName>
    <definedName name="_xlnm.Print_Titles" localSheetId="13">'Plant in Serv &amp; Accum Depr'!$A:$A,'Plant in Serv &amp; Accum Depr'!$1:$8</definedName>
    <definedName name="_xlnm.Print_Titles" localSheetId="18">'Restate Revenues'!$1:$8</definedName>
    <definedName name="_xlnm.Print_Titles" localSheetId="31">'Working Capital Work Paper'!$C:$C,'Working Capital Work Paper'!$1:$9</definedName>
  </definedNames>
  <calcPr calcId="152511"/>
  <fileRecoveryPr autoRecover="0"/>
</workbook>
</file>

<file path=xl/calcChain.xml><?xml version="1.0" encoding="utf-8"?>
<calcChain xmlns="http://schemas.openxmlformats.org/spreadsheetml/2006/main">
  <c r="X201" i="49" l="1"/>
  <c r="X160" i="49"/>
  <c r="X142" i="49"/>
  <c r="X141" i="49"/>
  <c r="X127" i="49"/>
  <c r="X115" i="49"/>
  <c r="X110" i="49"/>
  <c r="X64" i="49"/>
  <c r="X50" i="49"/>
  <c r="X45" i="49"/>
  <c r="X42" i="49"/>
  <c r="X40" i="49"/>
  <c r="G119" i="64" l="1"/>
  <c r="G114" i="64"/>
  <c r="G110" i="64"/>
  <c r="G109" i="64"/>
  <c r="G89" i="64"/>
  <c r="G88" i="64"/>
  <c r="G82" i="64"/>
  <c r="G81" i="64"/>
  <c r="G80" i="64"/>
  <c r="G79" i="64"/>
  <c r="G78" i="64"/>
  <c r="G77" i="64"/>
  <c r="G76" i="64"/>
  <c r="G68" i="64"/>
  <c r="G67" i="64"/>
  <c r="G66" i="64"/>
  <c r="G65" i="64"/>
  <c r="G64" i="64"/>
  <c r="G63" i="64"/>
  <c r="G62" i="64"/>
  <c r="G61" i="64"/>
  <c r="E119" i="64"/>
  <c r="E114" i="64"/>
  <c r="E110" i="64"/>
  <c r="E109" i="64"/>
  <c r="E89" i="64"/>
  <c r="E88" i="64"/>
  <c r="E82" i="64"/>
  <c r="E81" i="64"/>
  <c r="E80" i="64"/>
  <c r="E79" i="64"/>
  <c r="E78" i="64"/>
  <c r="E77" i="64"/>
  <c r="E76" i="64"/>
  <c r="E75" i="64"/>
  <c r="E74" i="64"/>
  <c r="E68" i="64"/>
  <c r="E67" i="64"/>
  <c r="E66" i="64"/>
  <c r="E65" i="64"/>
  <c r="E64" i="64"/>
  <c r="E63" i="64"/>
  <c r="E62" i="64"/>
  <c r="E61" i="64"/>
  <c r="P32" i="4" l="1"/>
  <c r="S32" i="4" l="1"/>
  <c r="F85" i="66"/>
  <c r="L84" i="66"/>
  <c r="K84" i="66"/>
  <c r="K83" i="66"/>
  <c r="L83" i="66" s="1"/>
  <c r="K82" i="66"/>
  <c r="L82" i="66" s="1"/>
  <c r="K81" i="66"/>
  <c r="L81" i="66" s="1"/>
  <c r="K80" i="66"/>
  <c r="L80" i="66" s="1"/>
  <c r="K79" i="66"/>
  <c r="L79" i="66" s="1"/>
  <c r="L78" i="66"/>
  <c r="K78" i="66"/>
  <c r="K77" i="66"/>
  <c r="L77" i="66" s="1"/>
  <c r="M76" i="66"/>
  <c r="M77" i="66" s="1"/>
  <c r="L76" i="66"/>
  <c r="K76" i="66"/>
  <c r="N75" i="66"/>
  <c r="O75" i="66" s="1"/>
  <c r="P75" i="66" s="1"/>
  <c r="K75" i="66"/>
  <c r="L75" i="66" s="1"/>
  <c r="K74" i="66"/>
  <c r="L74" i="66" s="1"/>
  <c r="N74" i="66" s="1"/>
  <c r="K73" i="66"/>
  <c r="L73" i="66" s="1"/>
  <c r="L72" i="66"/>
  <c r="K72" i="66"/>
  <c r="M71" i="66"/>
  <c r="M72" i="66" s="1"/>
  <c r="M73" i="66" s="1"/>
  <c r="M74" i="66" s="1"/>
  <c r="M75" i="66" s="1"/>
  <c r="K71" i="66"/>
  <c r="L71" i="66" s="1"/>
  <c r="L70" i="66"/>
  <c r="L85" i="66" s="1"/>
  <c r="K70" i="66"/>
  <c r="F61" i="66"/>
  <c r="F8" i="66" s="1"/>
  <c r="H8" i="66" s="1"/>
  <c r="L88" i="66" s="1"/>
  <c r="D61" i="66"/>
  <c r="H60" i="66"/>
  <c r="I60" i="66" s="1"/>
  <c r="H59" i="66"/>
  <c r="I59" i="66" s="1"/>
  <c r="K59" i="66" s="1"/>
  <c r="I58" i="66"/>
  <c r="H58" i="66"/>
  <c r="I57" i="66"/>
  <c r="H57" i="66"/>
  <c r="H56" i="66"/>
  <c r="I56" i="66" s="1"/>
  <c r="H55" i="66"/>
  <c r="I55" i="66" s="1"/>
  <c r="I54" i="66"/>
  <c r="H54" i="66"/>
  <c r="I53" i="66"/>
  <c r="H53" i="66"/>
  <c r="H52" i="66"/>
  <c r="I52" i="66" s="1"/>
  <c r="L51" i="66"/>
  <c r="I51" i="66"/>
  <c r="K51" i="66" s="1"/>
  <c r="H51" i="66"/>
  <c r="M50" i="66"/>
  <c r="I50" i="66"/>
  <c r="H50" i="66"/>
  <c r="M49" i="66"/>
  <c r="I49" i="66"/>
  <c r="H49" i="66"/>
  <c r="K48" i="66"/>
  <c r="H48" i="66"/>
  <c r="I48" i="66" s="1"/>
  <c r="M47" i="66"/>
  <c r="M48" i="66" s="1"/>
  <c r="H47" i="66"/>
  <c r="I47" i="66" s="1"/>
  <c r="M46" i="66"/>
  <c r="K46" i="66"/>
  <c r="I46" i="66"/>
  <c r="H46" i="66"/>
  <c r="M45" i="66"/>
  <c r="I45" i="66"/>
  <c r="H45" i="66"/>
  <c r="H44" i="66"/>
  <c r="I44" i="66" s="1"/>
  <c r="M43" i="66"/>
  <c r="M44" i="66" s="1"/>
  <c r="H43" i="66"/>
  <c r="I43" i="66" s="1"/>
  <c r="M42" i="66"/>
  <c r="K42" i="66"/>
  <c r="H42" i="66"/>
  <c r="I42" i="66" s="1"/>
  <c r="M41" i="66"/>
  <c r="K41" i="66"/>
  <c r="L41" i="66" s="1"/>
  <c r="I41" i="66"/>
  <c r="H41" i="66"/>
  <c r="M40" i="66"/>
  <c r="L40" i="66"/>
  <c r="K40" i="66"/>
  <c r="H40" i="66"/>
  <c r="I40" i="66" s="1"/>
  <c r="M39" i="66"/>
  <c r="I39" i="66"/>
  <c r="H39" i="66"/>
  <c r="F36" i="66"/>
  <c r="D36" i="66"/>
  <c r="I34" i="66"/>
  <c r="H34" i="66"/>
  <c r="H33" i="66"/>
  <c r="I33" i="66" s="1"/>
  <c r="I32" i="66"/>
  <c r="H32" i="66"/>
  <c r="D32" i="66"/>
  <c r="I31" i="66"/>
  <c r="H31" i="66"/>
  <c r="K30" i="66"/>
  <c r="I30" i="66"/>
  <c r="H30" i="66"/>
  <c r="D30" i="66"/>
  <c r="H29" i="66"/>
  <c r="I29" i="66" s="1"/>
  <c r="K28" i="66"/>
  <c r="L28" i="66" s="1"/>
  <c r="H28" i="66"/>
  <c r="I28" i="66" s="1"/>
  <c r="H27" i="66"/>
  <c r="I27" i="66" s="1"/>
  <c r="H26" i="66"/>
  <c r="I26" i="66" s="1"/>
  <c r="L25" i="66"/>
  <c r="H25" i="66"/>
  <c r="I25" i="66" s="1"/>
  <c r="K25" i="66" s="1"/>
  <c r="H24" i="66"/>
  <c r="I24" i="66" s="1"/>
  <c r="L23" i="66"/>
  <c r="H23" i="66"/>
  <c r="I23" i="66" s="1"/>
  <c r="K23" i="66" s="1"/>
  <c r="H22" i="66"/>
  <c r="I22" i="66" s="1"/>
  <c r="M21" i="66"/>
  <c r="M22" i="66" s="1"/>
  <c r="L21" i="66"/>
  <c r="N21" i="66" s="1"/>
  <c r="H21" i="66"/>
  <c r="I21" i="66" s="1"/>
  <c r="K21" i="66" s="1"/>
  <c r="M20" i="66"/>
  <c r="M51" i="66" s="1"/>
  <c r="M52" i="66" s="1"/>
  <c r="H20" i="66"/>
  <c r="D8" i="66"/>
  <c r="I8" i="66" s="1"/>
  <c r="K8" i="66" s="1"/>
  <c r="H6" i="66"/>
  <c r="H10" i="66" s="1"/>
  <c r="D6" i="66"/>
  <c r="I6" i="66" s="1"/>
  <c r="M53" i="66" l="1"/>
  <c r="M54" i="66" s="1"/>
  <c r="M23" i="66"/>
  <c r="M24" i="66" s="1"/>
  <c r="K39" i="66"/>
  <c r="I61" i="66"/>
  <c r="K45" i="66"/>
  <c r="L45" i="66" s="1"/>
  <c r="I10" i="66"/>
  <c r="L8" i="66"/>
  <c r="K26" i="66"/>
  <c r="L26" i="66" s="1"/>
  <c r="N40" i="66"/>
  <c r="P40" i="66" s="1"/>
  <c r="R40" i="66" s="1"/>
  <c r="O40" i="66"/>
  <c r="L44" i="66"/>
  <c r="K57" i="66"/>
  <c r="L57" i="66" s="1"/>
  <c r="K32" i="66"/>
  <c r="L32" i="66" s="1"/>
  <c r="K43" i="66"/>
  <c r="L43" i="66"/>
  <c r="K55" i="66"/>
  <c r="L55" i="66"/>
  <c r="N23" i="66"/>
  <c r="L49" i="66"/>
  <c r="K49" i="66"/>
  <c r="M78" i="66"/>
  <c r="M79" i="66" s="1"/>
  <c r="M80" i="66" s="1"/>
  <c r="M81" i="66" s="1"/>
  <c r="M82" i="66" s="1"/>
  <c r="M83" i="66" s="1"/>
  <c r="N77" i="66"/>
  <c r="O77" i="66" s="1"/>
  <c r="P77" i="66" s="1"/>
  <c r="K22" i="66"/>
  <c r="L22" i="66" s="1"/>
  <c r="N22" i="66" s="1"/>
  <c r="K24" i="66"/>
  <c r="L24" i="66"/>
  <c r="N24" i="66" s="1"/>
  <c r="N41" i="66"/>
  <c r="P41" i="66" s="1"/>
  <c r="R41" i="66" s="1"/>
  <c r="K52" i="66"/>
  <c r="L52" i="66" s="1"/>
  <c r="L54" i="66"/>
  <c r="K54" i="66"/>
  <c r="H36" i="66"/>
  <c r="I20" i="66"/>
  <c r="O21" i="66"/>
  <c r="P21" i="66"/>
  <c r="K29" i="66"/>
  <c r="L29" i="66" s="1"/>
  <c r="K33" i="66"/>
  <c r="L33" i="66" s="1"/>
  <c r="K47" i="66"/>
  <c r="L47" i="66"/>
  <c r="K53" i="66"/>
  <c r="L53" i="66" s="1"/>
  <c r="K56" i="66"/>
  <c r="L56" i="66" s="1"/>
  <c r="K58" i="66"/>
  <c r="L58" i="66" s="1"/>
  <c r="N88" i="66"/>
  <c r="N79" i="66"/>
  <c r="O79" i="66" s="1"/>
  <c r="P79" i="66" s="1"/>
  <c r="L59" i="66"/>
  <c r="N80" i="66"/>
  <c r="O80" i="66"/>
  <c r="P80" i="66" s="1"/>
  <c r="K31" i="66"/>
  <c r="L31" i="66" s="1"/>
  <c r="K44" i="66"/>
  <c r="L50" i="66"/>
  <c r="N73" i="66"/>
  <c r="N78" i="66"/>
  <c r="O78" i="66"/>
  <c r="P78" i="66" s="1"/>
  <c r="L60" i="66"/>
  <c r="K60" i="66"/>
  <c r="N70" i="66"/>
  <c r="O70" i="66"/>
  <c r="N72" i="66"/>
  <c r="O72" i="66" s="1"/>
  <c r="P72" i="66" s="1"/>
  <c r="N51" i="66"/>
  <c r="P51" i="66" s="1"/>
  <c r="R51" i="66" s="1"/>
  <c r="O71" i="66"/>
  <c r="P71" i="66" s="1"/>
  <c r="N71" i="66"/>
  <c r="O74" i="66"/>
  <c r="P74" i="66" s="1"/>
  <c r="N82" i="66"/>
  <c r="O82" i="66" s="1"/>
  <c r="P82" i="66" s="1"/>
  <c r="K27" i="66"/>
  <c r="L27" i="66" s="1"/>
  <c r="L30" i="66"/>
  <c r="K34" i="66"/>
  <c r="L34" i="66" s="1"/>
  <c r="H61" i="66"/>
  <c r="L42" i="66"/>
  <c r="L48" i="66"/>
  <c r="K50" i="66"/>
  <c r="K85" i="66"/>
  <c r="O73" i="66"/>
  <c r="P73" i="66" s="1"/>
  <c r="N81" i="66"/>
  <c r="O81" i="66" s="1"/>
  <c r="P81" i="66" s="1"/>
  <c r="L46" i="66"/>
  <c r="N76" i="66"/>
  <c r="O76" i="66" s="1"/>
  <c r="P76" i="66" s="1"/>
  <c r="N52" i="66" l="1"/>
  <c r="P52" i="66" s="1"/>
  <c r="R52" i="66" s="1"/>
  <c r="O52" i="66"/>
  <c r="N53" i="66"/>
  <c r="P53" i="66" s="1"/>
  <c r="R53" i="66" s="1"/>
  <c r="O53" i="66"/>
  <c r="O22" i="66"/>
  <c r="P22" i="66"/>
  <c r="O45" i="66"/>
  <c r="N45" i="66"/>
  <c r="P45" i="66" s="1"/>
  <c r="R45" i="66" s="1"/>
  <c r="N49" i="66"/>
  <c r="P49" i="66" s="1"/>
  <c r="R49" i="66" s="1"/>
  <c r="O49" i="66"/>
  <c r="K61" i="66"/>
  <c r="P70" i="66"/>
  <c r="N50" i="66"/>
  <c r="P50" i="66" s="1"/>
  <c r="R50" i="66" s="1"/>
  <c r="O23" i="66"/>
  <c r="P23" i="66"/>
  <c r="N8" i="66"/>
  <c r="P8" i="66" s="1"/>
  <c r="N46" i="66"/>
  <c r="P46" i="66" s="1"/>
  <c r="R46" i="66" s="1"/>
  <c r="O51" i="66"/>
  <c r="M84" i="66"/>
  <c r="N84" i="66" s="1"/>
  <c r="O84" i="66" s="1"/>
  <c r="P84" i="66" s="1"/>
  <c r="N83" i="66"/>
  <c r="O83" i="66" s="1"/>
  <c r="P83" i="66" s="1"/>
  <c r="L39" i="66"/>
  <c r="M55" i="66"/>
  <c r="M56" i="66" s="1"/>
  <c r="N56" i="66" s="1"/>
  <c r="M25" i="66"/>
  <c r="N42" i="66"/>
  <c r="P42" i="66" s="1"/>
  <c r="R42" i="66" s="1"/>
  <c r="P88" i="66"/>
  <c r="N47" i="66"/>
  <c r="P47" i="66" s="1"/>
  <c r="R47" i="66" s="1"/>
  <c r="I36" i="66"/>
  <c r="K20" i="66"/>
  <c r="K36" i="66" s="1"/>
  <c r="J6" i="66" s="1"/>
  <c r="K6" i="66" s="1"/>
  <c r="N54" i="66"/>
  <c r="P54" i="66" s="1"/>
  <c r="R54" i="66" s="1"/>
  <c r="O54" i="66"/>
  <c r="O43" i="66"/>
  <c r="N43" i="66"/>
  <c r="P43" i="66" s="1"/>
  <c r="R43" i="66" s="1"/>
  <c r="N44" i="66"/>
  <c r="P44" i="66" s="1"/>
  <c r="R44" i="66" s="1"/>
  <c r="O44" i="66"/>
  <c r="O24" i="66"/>
  <c r="P24" i="66"/>
  <c r="N48" i="66"/>
  <c r="P48" i="66" s="1"/>
  <c r="R48" i="66" s="1"/>
  <c r="O48" i="66"/>
  <c r="O41" i="66"/>
  <c r="P56" i="66" l="1"/>
  <c r="R56" i="66" s="1"/>
  <c r="O56" i="66"/>
  <c r="O39" i="66"/>
  <c r="N39" i="66"/>
  <c r="L61" i="66"/>
  <c r="O46" i="66"/>
  <c r="P85" i="66"/>
  <c r="K10" i="66"/>
  <c r="L6" i="66"/>
  <c r="M26" i="66"/>
  <c r="N25" i="66"/>
  <c r="O85" i="66"/>
  <c r="L20" i="66"/>
  <c r="O47" i="66"/>
  <c r="O42" i="66"/>
  <c r="N55" i="66"/>
  <c r="N85" i="66"/>
  <c r="L90" i="66" s="1"/>
  <c r="P90" i="66" s="1"/>
  <c r="O8" i="66"/>
  <c r="O50" i="66"/>
  <c r="M57" i="66" l="1"/>
  <c r="M27" i="66"/>
  <c r="N26" i="66"/>
  <c r="O6" i="66"/>
  <c r="L10" i="66"/>
  <c r="N6" i="66"/>
  <c r="P55" i="66"/>
  <c r="R55" i="66" s="1"/>
  <c r="O55" i="66"/>
  <c r="L36" i="66"/>
  <c r="N20" i="66"/>
  <c r="O25" i="66"/>
  <c r="P25" i="66"/>
  <c r="P39" i="66"/>
  <c r="R39" i="66" l="1"/>
  <c r="O20" i="66"/>
  <c r="P20" i="66"/>
  <c r="O26" i="66"/>
  <c r="P26" i="66"/>
  <c r="P6" i="66"/>
  <c r="P10" i="66" s="1"/>
  <c r="P18" i="66" s="1"/>
  <c r="N10" i="66"/>
  <c r="L89" i="66"/>
  <c r="M28" i="66"/>
  <c r="N27" i="66"/>
  <c r="M58" i="66"/>
  <c r="N58" i="66" s="1"/>
  <c r="N57" i="66"/>
  <c r="P27" i="66" l="1"/>
  <c r="O27" i="66"/>
  <c r="M59" i="66"/>
  <c r="M29" i="66"/>
  <c r="N28" i="66"/>
  <c r="P57" i="66"/>
  <c r="O57" i="66"/>
  <c r="N89" i="66"/>
  <c r="L91" i="66"/>
  <c r="P58" i="66"/>
  <c r="R58" i="66" s="1"/>
  <c r="O58" i="66"/>
  <c r="R57" i="66" l="1"/>
  <c r="M60" i="66"/>
  <c r="N60" i="66" s="1"/>
  <c r="N59" i="66"/>
  <c r="P89" i="66"/>
  <c r="P91" i="66" s="1"/>
  <c r="N91" i="66"/>
  <c r="O28" i="66"/>
  <c r="P28" i="66"/>
  <c r="M30" i="66"/>
  <c r="N29" i="66"/>
  <c r="P59" i="66" l="1"/>
  <c r="O59" i="66"/>
  <c r="N61" i="66"/>
  <c r="O29" i="66"/>
  <c r="P29" i="66"/>
  <c r="P60" i="66"/>
  <c r="R60" i="66" s="1"/>
  <c r="O60" i="66"/>
  <c r="M31" i="66"/>
  <c r="N30" i="66"/>
  <c r="M32" i="66" l="1"/>
  <c r="N31" i="66"/>
  <c r="O61" i="66"/>
  <c r="R59" i="66"/>
  <c r="R61" i="66" s="1"/>
  <c r="P61" i="66"/>
  <c r="P30" i="66"/>
  <c r="O30" i="66"/>
  <c r="P31" i="66" l="1"/>
  <c r="O31" i="66"/>
  <c r="M33" i="66"/>
  <c r="N32" i="66"/>
  <c r="P32" i="66" l="1"/>
  <c r="O32" i="66"/>
  <c r="M34" i="66"/>
  <c r="N34" i="66" s="1"/>
  <c r="N33" i="66"/>
  <c r="P33" i="66" l="1"/>
  <c r="O33" i="66"/>
  <c r="P34" i="66"/>
  <c r="P36" i="66" s="1"/>
  <c r="O34" i="66"/>
  <c r="O36" i="66" s="1"/>
  <c r="N36" i="66"/>
  <c r="K29" i="4" l="1"/>
  <c r="U40" i="61" l="1"/>
  <c r="R40" i="61"/>
  <c r="U15" i="61"/>
  <c r="U14" i="61"/>
  <c r="R31" i="61"/>
  <c r="R16" i="61"/>
  <c r="R32" i="61" l="1"/>
  <c r="C11" i="65"/>
  <c r="C12" i="65" s="1"/>
  <c r="C14" i="65" s="1"/>
  <c r="Y41" i="4"/>
  <c r="E12" i="65" l="1"/>
  <c r="E14" i="65" s="1"/>
  <c r="W25" i="4" s="1"/>
  <c r="M41" i="6"/>
  <c r="M42" i="6" s="1"/>
  <c r="M43" i="6" s="1"/>
  <c r="M44" i="6" s="1"/>
  <c r="M45" i="6" s="1"/>
  <c r="M46" i="6" s="1"/>
  <c r="M47" i="6" s="1"/>
  <c r="M48" i="6" s="1"/>
  <c r="M49" i="6" s="1"/>
  <c r="M50" i="6" s="1"/>
  <c r="M51" i="6" s="1"/>
  <c r="M52" i="6" s="1"/>
  <c r="M53" i="6" s="1"/>
  <c r="M54" i="6" s="1"/>
  <c r="M55" i="6" s="1"/>
  <c r="M56" i="6" s="1"/>
  <c r="M57" i="6" s="1"/>
  <c r="M58" i="6" s="1"/>
  <c r="M59" i="6" s="1"/>
  <c r="M60" i="6" s="1"/>
  <c r="M40" i="6"/>
  <c r="M39" i="6"/>
  <c r="F13" i="3" l="1"/>
  <c r="P43" i="4" l="1"/>
  <c r="G28" i="61" l="1"/>
  <c r="G27" i="61"/>
  <c r="G21" i="61"/>
  <c r="G15" i="61"/>
  <c r="G29" i="61"/>
  <c r="I109" i="64" l="1"/>
  <c r="D150" i="64"/>
  <c r="D186" i="64" s="1"/>
  <c r="E134" i="64"/>
  <c r="D124" i="64"/>
  <c r="E106" i="64"/>
  <c r="E99" i="64"/>
  <c r="E52" i="64"/>
  <c r="E50" i="64"/>
  <c r="E36" i="64"/>
  <c r="E26" i="64"/>
  <c r="E17" i="64"/>
  <c r="I119" i="64" l="1"/>
  <c r="I110" i="64"/>
  <c r="G120" i="64"/>
  <c r="G122" i="64" s="1"/>
  <c r="P29" i="4" s="1"/>
  <c r="I114" i="64"/>
  <c r="E27" i="64"/>
  <c r="E53" i="64"/>
  <c r="E120" i="64"/>
  <c r="E122" i="64" s="1"/>
  <c r="I120" i="64" l="1"/>
  <c r="I122" i="64"/>
  <c r="S29" i="4"/>
  <c r="G71" i="64" l="1"/>
  <c r="I62" i="64"/>
  <c r="G92" i="64"/>
  <c r="P26" i="4" s="1"/>
  <c r="G83" i="64"/>
  <c r="I76" i="64"/>
  <c r="I68" i="64"/>
  <c r="I66" i="64"/>
  <c r="G84" i="64" l="1"/>
  <c r="P25" i="4" s="1"/>
  <c r="I81" i="64"/>
  <c r="I77" i="64"/>
  <c r="I79" i="64"/>
  <c r="I74" i="64"/>
  <c r="I82" i="64"/>
  <c r="I80" i="64"/>
  <c r="I78" i="64"/>
  <c r="I65" i="64"/>
  <c r="I67" i="64"/>
  <c r="I64" i="64"/>
  <c r="I89" i="64"/>
  <c r="P33" i="4" l="1"/>
  <c r="P34" i="4" s="1"/>
  <c r="P35" i="4" s="1"/>
  <c r="G22" i="61"/>
  <c r="I88" i="64"/>
  <c r="I92" i="64" s="1"/>
  <c r="E92" i="64"/>
  <c r="S26" i="4" s="1"/>
  <c r="I63" i="64"/>
  <c r="I61" i="64" l="1"/>
  <c r="Z16" i="4" l="1"/>
  <c r="I13" i="61" s="1"/>
  <c r="I22" i="4"/>
  <c r="I16" i="4"/>
  <c r="I39" i="61" l="1"/>
  <c r="I37" i="61"/>
  <c r="G39" i="61"/>
  <c r="G38" i="61"/>
  <c r="G37" i="61"/>
  <c r="G36" i="61"/>
  <c r="G35" i="61"/>
  <c r="I28" i="61"/>
  <c r="I25" i="61"/>
  <c r="I24" i="61"/>
  <c r="I19" i="61"/>
  <c r="N40" i="61"/>
  <c r="D39" i="61"/>
  <c r="D38" i="61"/>
  <c r="D37" i="61"/>
  <c r="D36" i="61"/>
  <c r="D35" i="61"/>
  <c r="D30" i="61"/>
  <c r="D29" i="61"/>
  <c r="D27" i="61"/>
  <c r="D26" i="61"/>
  <c r="D25" i="61"/>
  <c r="D24" i="61"/>
  <c r="D23" i="61"/>
  <c r="D22" i="61"/>
  <c r="D21" i="61"/>
  <c r="D20" i="61"/>
  <c r="D19" i="61"/>
  <c r="D31" i="61" s="1"/>
  <c r="D15" i="61"/>
  <c r="D14" i="61"/>
  <c r="D13" i="61"/>
  <c r="D16" i="61" l="1"/>
  <c r="D32" i="61" s="1"/>
  <c r="K39" i="61"/>
  <c r="Q39" i="61" s="1"/>
  <c r="S39" i="61" s="1"/>
  <c r="D40" i="61"/>
  <c r="K37" i="61"/>
  <c r="Q37" i="61" s="1"/>
  <c r="S37" i="61" s="1"/>
  <c r="K28" i="61"/>
  <c r="Q28" i="61" s="1"/>
  <c r="S28" i="61" s="1"/>
  <c r="G40" i="61"/>
  <c r="D41" i="61" l="1"/>
  <c r="D30" i="1" l="1"/>
  <c r="C18" i="2" l="1"/>
  <c r="N17" i="46" l="1"/>
  <c r="U29" i="4"/>
  <c r="M71" i="6" l="1"/>
  <c r="M72" i="6" s="1"/>
  <c r="M73" i="6" s="1"/>
  <c r="M74" i="6" s="1"/>
  <c r="M75" i="6" s="1"/>
  <c r="M76" i="6" s="1"/>
  <c r="M77" i="6" s="1"/>
  <c r="M78" i="6" s="1"/>
  <c r="M79" i="6" s="1"/>
  <c r="M80" i="6" s="1"/>
  <c r="M81" i="6" s="1"/>
  <c r="M82" i="6" s="1"/>
  <c r="M83" i="6" s="1"/>
  <c r="M84" i="6" s="1"/>
  <c r="M21" i="6"/>
  <c r="M22" i="6" s="1"/>
  <c r="M23" i="6" s="1"/>
  <c r="M24" i="6" s="1"/>
  <c r="M25" i="6" s="1"/>
  <c r="M20" i="6"/>
  <c r="O43" i="4"/>
  <c r="M43" i="4"/>
  <c r="L43" i="4"/>
  <c r="K43" i="4"/>
  <c r="M34" i="6" l="1"/>
  <c r="M26" i="6"/>
  <c r="M27" i="6" s="1"/>
  <c r="M28" i="6" s="1"/>
  <c r="M29" i="6" s="1"/>
  <c r="M30" i="6" s="1"/>
  <c r="M31" i="6" s="1"/>
  <c r="M32" i="6" s="1"/>
  <c r="M33" i="6" s="1"/>
  <c r="D45" i="21" l="1"/>
  <c r="D44" i="21"/>
  <c r="D43" i="21"/>
  <c r="D42" i="21"/>
  <c r="D46" i="21" l="1"/>
  <c r="K14" i="46" l="1"/>
  <c r="K13" i="46"/>
  <c r="K12" i="46"/>
  <c r="E30" i="13" l="1"/>
  <c r="C11" i="13" s="1"/>
  <c r="E33" i="13" l="1"/>
  <c r="E14" i="13" s="1"/>
  <c r="C21" i="60"/>
  <c r="F9" i="31" s="1"/>
  <c r="H10" i="31"/>
  <c r="H9" i="31"/>
  <c r="G10" i="31"/>
  <c r="G9" i="31"/>
  <c r="F10" i="31"/>
  <c r="S203" i="49"/>
  <c r="S201" i="49"/>
  <c r="S199" i="49"/>
  <c r="S198" i="49"/>
  <c r="S184" i="49"/>
  <c r="S180" i="49"/>
  <c r="S179" i="49"/>
  <c r="S178" i="49"/>
  <c r="S172" i="49"/>
  <c r="S171" i="49"/>
  <c r="S110" i="49"/>
  <c r="S49" i="49"/>
  <c r="S48" i="49"/>
  <c r="S21" i="49"/>
  <c r="S20" i="49"/>
  <c r="S19" i="49"/>
  <c r="S18" i="49"/>
  <c r="S17" i="49"/>
  <c r="S16" i="49"/>
  <c r="S15" i="49"/>
  <c r="S14" i="49"/>
  <c r="S13" i="49"/>
  <c r="S12" i="49"/>
  <c r="S11" i="49"/>
  <c r="S10" i="49"/>
  <c r="S9" i="49"/>
  <c r="S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C16" i="60" l="1"/>
  <c r="Q18" i="60"/>
  <c r="D16" i="60" l="1"/>
  <c r="D21" i="60" s="1"/>
  <c r="E45" i="21"/>
  <c r="E44" i="21"/>
  <c r="E43" i="21"/>
  <c r="E42" i="21"/>
  <c r="E19" i="21"/>
  <c r="E32" i="21"/>
  <c r="E15" i="21"/>
  <c r="E12" i="2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X217" i="49" l="1"/>
  <c r="P217" i="49" l="1"/>
  <c r="P214" i="49" l="1"/>
  <c r="G22" i="5" l="1"/>
  <c r="G21" i="5"/>
  <c r="L29" i="36"/>
  <c r="M29" i="36" s="1"/>
  <c r="I17" i="4" s="1"/>
  <c r="G14" i="61" s="1"/>
  <c r="X228" i="49" l="1"/>
  <c r="X227" i="49"/>
  <c r="Z221" i="49"/>
  <c r="R204" i="49"/>
  <c r="O204" i="49"/>
  <c r="N204" i="49"/>
  <c r="M204" i="49"/>
  <c r="L204" i="49"/>
  <c r="K204" i="49"/>
  <c r="J204" i="49"/>
  <c r="I204" i="49"/>
  <c r="H204" i="49"/>
  <c r="G204" i="49"/>
  <c r="F204" i="49"/>
  <c r="E204" i="49"/>
  <c r="D204" i="49"/>
  <c r="V203" i="49"/>
  <c r="U203" i="49"/>
  <c r="T203" i="49"/>
  <c r="V202" i="49"/>
  <c r="U202" i="49"/>
  <c r="W202" i="49" s="1"/>
  <c r="V201" i="49"/>
  <c r="U201" i="49"/>
  <c r="W201" i="49" s="1"/>
  <c r="T201" i="49"/>
  <c r="V200" i="49"/>
  <c r="U200" i="49"/>
  <c r="T200" i="49"/>
  <c r="V199" i="49"/>
  <c r="U199" i="49"/>
  <c r="T199" i="49"/>
  <c r="V198" i="49"/>
  <c r="U198" i="49"/>
  <c r="W198" i="49" s="1"/>
  <c r="T198" i="49"/>
  <c r="V197" i="49"/>
  <c r="U197" i="49"/>
  <c r="W197" i="49" s="1"/>
  <c r="V196" i="49"/>
  <c r="U196" i="49"/>
  <c r="V195" i="49"/>
  <c r="U195" i="49"/>
  <c r="W195" i="49" s="1"/>
  <c r="T195" i="49"/>
  <c r="V194" i="49"/>
  <c r="U194" i="49"/>
  <c r="W194" i="49" s="1"/>
  <c r="T194" i="49"/>
  <c r="V193" i="49"/>
  <c r="U193" i="49"/>
  <c r="W193" i="49" s="1"/>
  <c r="T193" i="49"/>
  <c r="V192" i="49"/>
  <c r="U192" i="49"/>
  <c r="T192" i="49"/>
  <c r="V191" i="49"/>
  <c r="U191" i="49"/>
  <c r="W191" i="49" s="1"/>
  <c r="T191" i="49"/>
  <c r="V190" i="49"/>
  <c r="U190" i="49"/>
  <c r="W190" i="49" s="1"/>
  <c r="T190" i="49"/>
  <c r="V189" i="49"/>
  <c r="U189" i="49"/>
  <c r="T189" i="49"/>
  <c r="W188" i="49"/>
  <c r="V188" i="49"/>
  <c r="U188" i="49"/>
  <c r="T188" i="49"/>
  <c r="X225" i="49" s="1"/>
  <c r="Z225" i="49" s="1"/>
  <c r="W187" i="49"/>
  <c r="V187" i="49"/>
  <c r="U187" i="49"/>
  <c r="T187" i="49"/>
  <c r="V186" i="49"/>
  <c r="U186" i="49"/>
  <c r="T186" i="49"/>
  <c r="V185" i="49"/>
  <c r="U185" i="49"/>
  <c r="W185" i="49" s="1"/>
  <c r="T185" i="49"/>
  <c r="X223" i="49" s="1"/>
  <c r="Z223" i="49" s="1"/>
  <c r="V184" i="49"/>
  <c r="U184" i="49"/>
  <c r="W184" i="49" s="1"/>
  <c r="T184" i="49"/>
  <c r="V183" i="49"/>
  <c r="U183" i="49"/>
  <c r="W183" i="49" s="1"/>
  <c r="T183" i="49"/>
  <c r="V182" i="49"/>
  <c r="U182" i="49"/>
  <c r="V181" i="49"/>
  <c r="U181" i="49"/>
  <c r="W181" i="49" s="1"/>
  <c r="W180" i="49"/>
  <c r="V180" i="49"/>
  <c r="U180" i="49"/>
  <c r="T180" i="49"/>
  <c r="W179" i="49"/>
  <c r="V179" i="49"/>
  <c r="U179" i="49"/>
  <c r="T179" i="49"/>
  <c r="W178" i="49"/>
  <c r="V178" i="49"/>
  <c r="U178" i="49"/>
  <c r="T178" i="49"/>
  <c r="W177" i="49"/>
  <c r="V177" i="49"/>
  <c r="U177" i="49"/>
  <c r="T177" i="49"/>
  <c r="W176" i="49"/>
  <c r="V176" i="49"/>
  <c r="U176" i="49"/>
  <c r="T176" i="49"/>
  <c r="W175" i="49"/>
  <c r="V175" i="49"/>
  <c r="U175" i="49"/>
  <c r="T175" i="49"/>
  <c r="W174" i="49"/>
  <c r="V174" i="49"/>
  <c r="U174" i="49"/>
  <c r="V173" i="49"/>
  <c r="U173" i="49"/>
  <c r="V172" i="49"/>
  <c r="U172" i="49"/>
  <c r="T172" i="49"/>
  <c r="V171" i="49"/>
  <c r="U171" i="49"/>
  <c r="T171" i="49"/>
  <c r="R167" i="49"/>
  <c r="O167" i="49"/>
  <c r="N167" i="49"/>
  <c r="M167" i="49"/>
  <c r="L167" i="49"/>
  <c r="K167" i="49"/>
  <c r="J167" i="49"/>
  <c r="I167" i="49"/>
  <c r="H167" i="49"/>
  <c r="G167" i="49"/>
  <c r="F167" i="49"/>
  <c r="E167" i="49"/>
  <c r="D167" i="49"/>
  <c r="V166" i="49"/>
  <c r="U166" i="49"/>
  <c r="T166" i="49"/>
  <c r="V165" i="49"/>
  <c r="U165" i="49"/>
  <c r="W165" i="49" s="1"/>
  <c r="T165" i="49"/>
  <c r="V164" i="49"/>
  <c r="U164" i="49"/>
  <c r="V163" i="49"/>
  <c r="U163" i="49"/>
  <c r="T163" i="49"/>
  <c r="V162" i="49"/>
  <c r="U162" i="49"/>
  <c r="W162" i="49" s="1"/>
  <c r="T162" i="49"/>
  <c r="V161" i="49"/>
  <c r="U161" i="49"/>
  <c r="W161" i="49" s="1"/>
  <c r="T161" i="49"/>
  <c r="V160" i="49"/>
  <c r="U160" i="49"/>
  <c r="W160" i="49" s="1"/>
  <c r="T160" i="49"/>
  <c r="V159" i="49"/>
  <c r="U159" i="49"/>
  <c r="T159" i="49"/>
  <c r="V158" i="49"/>
  <c r="U158" i="49"/>
  <c r="W158" i="49" s="1"/>
  <c r="T158" i="49"/>
  <c r="V157" i="49"/>
  <c r="U157" i="49"/>
  <c r="W157" i="49" s="1"/>
  <c r="T157" i="49"/>
  <c r="V156" i="49"/>
  <c r="U156" i="49"/>
  <c r="W156" i="49" s="1"/>
  <c r="T156" i="49"/>
  <c r="V155" i="49"/>
  <c r="U155" i="49"/>
  <c r="V154" i="49"/>
  <c r="U154" i="49"/>
  <c r="W154" i="49" s="1"/>
  <c r="T154" i="49"/>
  <c r="V153" i="49"/>
  <c r="U153" i="49"/>
  <c r="W153" i="49" s="1"/>
  <c r="T153" i="49"/>
  <c r="V152" i="49"/>
  <c r="U152" i="49"/>
  <c r="W152" i="49" s="1"/>
  <c r="T152" i="49"/>
  <c r="V151" i="49"/>
  <c r="U151" i="49"/>
  <c r="W151" i="49" s="1"/>
  <c r="T151" i="49"/>
  <c r="V150" i="49"/>
  <c r="U150" i="49"/>
  <c r="W150" i="49" s="1"/>
  <c r="T150" i="49"/>
  <c r="V149" i="49"/>
  <c r="U149" i="49"/>
  <c r="W149" i="49" s="1"/>
  <c r="T149" i="49"/>
  <c r="V148" i="49"/>
  <c r="U148" i="49"/>
  <c r="W148" i="49" s="1"/>
  <c r="T148" i="49"/>
  <c r="V147" i="49"/>
  <c r="U147" i="49"/>
  <c r="T147" i="49"/>
  <c r="V146" i="49"/>
  <c r="U146" i="49"/>
  <c r="W146" i="49" s="1"/>
  <c r="T146" i="49"/>
  <c r="V145" i="49"/>
  <c r="U145" i="49"/>
  <c r="W145" i="49" s="1"/>
  <c r="T145" i="49"/>
  <c r="V144" i="49"/>
  <c r="U144" i="49"/>
  <c r="T144" i="49"/>
  <c r="W143" i="49"/>
  <c r="V143" i="49"/>
  <c r="U143" i="49"/>
  <c r="T143" i="49"/>
  <c r="V142" i="49"/>
  <c r="U142" i="49"/>
  <c r="W142" i="49" s="1"/>
  <c r="T142" i="49"/>
  <c r="V141" i="49"/>
  <c r="U141" i="49"/>
  <c r="T141" i="49"/>
  <c r="X216" i="49" s="1"/>
  <c r="Z216" i="49" s="1"/>
  <c r="V140" i="49"/>
  <c r="U140" i="49"/>
  <c r="T140" i="49"/>
  <c r="V139" i="49"/>
  <c r="U139" i="49"/>
  <c r="W138" i="49"/>
  <c r="V138" i="49"/>
  <c r="U138" i="49"/>
  <c r="T138" i="49"/>
  <c r="W137" i="49"/>
  <c r="V137" i="49"/>
  <c r="U137" i="49"/>
  <c r="T137" i="49"/>
  <c r="W136" i="49"/>
  <c r="V136" i="49"/>
  <c r="U136" i="49"/>
  <c r="T136" i="49"/>
  <c r="W135" i="49"/>
  <c r="V135" i="49"/>
  <c r="U135" i="49"/>
  <c r="T135" i="49"/>
  <c r="W134" i="49"/>
  <c r="V134" i="49"/>
  <c r="U134" i="49"/>
  <c r="T134" i="49"/>
  <c r="W133" i="49"/>
  <c r="V133" i="49"/>
  <c r="U133" i="49"/>
  <c r="T133" i="49"/>
  <c r="W132" i="49"/>
  <c r="V132" i="49"/>
  <c r="U132" i="49"/>
  <c r="V131" i="49"/>
  <c r="W131" i="49" s="1"/>
  <c r="U131" i="49"/>
  <c r="V130" i="49"/>
  <c r="U130" i="49"/>
  <c r="W130" i="49" s="1"/>
  <c r="T130" i="49"/>
  <c r="V129" i="49"/>
  <c r="U129" i="49"/>
  <c r="W129" i="49" s="1"/>
  <c r="V128" i="49"/>
  <c r="U128" i="49"/>
  <c r="W128" i="49" s="1"/>
  <c r="T128" i="49"/>
  <c r="V127" i="49"/>
  <c r="U127" i="49"/>
  <c r="W127" i="49" s="1"/>
  <c r="T127" i="49"/>
  <c r="V126" i="49"/>
  <c r="U126" i="49"/>
  <c r="T126" i="49"/>
  <c r="W125" i="49"/>
  <c r="V125" i="49"/>
  <c r="U125" i="49"/>
  <c r="T125" i="49"/>
  <c r="W124" i="49"/>
  <c r="V124" i="49"/>
  <c r="U124" i="49"/>
  <c r="V123" i="49"/>
  <c r="U123" i="49"/>
  <c r="V122" i="49"/>
  <c r="U122" i="49"/>
  <c r="T122" i="49"/>
  <c r="V121" i="49"/>
  <c r="W121" i="49" s="1"/>
  <c r="U121" i="49"/>
  <c r="V120" i="49"/>
  <c r="U120" i="49"/>
  <c r="W120" i="49" s="1"/>
  <c r="T120" i="49"/>
  <c r="V119" i="49"/>
  <c r="U119" i="49"/>
  <c r="W119" i="49" s="1"/>
  <c r="T119" i="49"/>
  <c r="V118" i="49"/>
  <c r="U118" i="49"/>
  <c r="W118" i="49" s="1"/>
  <c r="T118" i="49"/>
  <c r="V117" i="49"/>
  <c r="U117" i="49"/>
  <c r="W117" i="49" s="1"/>
  <c r="T117" i="49"/>
  <c r="V116" i="49"/>
  <c r="U116" i="49"/>
  <c r="W116" i="49" s="1"/>
  <c r="T116" i="49"/>
  <c r="V115" i="49"/>
  <c r="U115" i="49"/>
  <c r="W115" i="49" s="1"/>
  <c r="T115" i="49"/>
  <c r="W114" i="49"/>
  <c r="V114" i="49"/>
  <c r="U114" i="49"/>
  <c r="T114" i="49"/>
  <c r="W113" i="49"/>
  <c r="V113" i="49"/>
  <c r="U113" i="49"/>
  <c r="T113" i="49"/>
  <c r="V112" i="49"/>
  <c r="U112" i="49"/>
  <c r="T112" i="49"/>
  <c r="V111" i="49"/>
  <c r="U111" i="49"/>
  <c r="W111" i="49" s="1"/>
  <c r="T111" i="49"/>
  <c r="V110" i="49"/>
  <c r="U110" i="49"/>
  <c r="T110" i="49"/>
  <c r="X220" i="49" s="1"/>
  <c r="V109" i="49"/>
  <c r="U109" i="49"/>
  <c r="W109" i="49" s="1"/>
  <c r="V108" i="49"/>
  <c r="U108" i="49"/>
  <c r="W108" i="49" s="1"/>
  <c r="T108" i="49"/>
  <c r="V107" i="49"/>
  <c r="U107" i="49"/>
  <c r="V106" i="49"/>
  <c r="U106" i="49"/>
  <c r="V105" i="49"/>
  <c r="U105" i="49"/>
  <c r="W105" i="49" s="1"/>
  <c r="V104" i="49"/>
  <c r="U104" i="49"/>
  <c r="V103" i="49"/>
  <c r="U103" i="49"/>
  <c r="W103" i="49" s="1"/>
  <c r="V102" i="49"/>
  <c r="U102" i="49"/>
  <c r="W102" i="49" s="1"/>
  <c r="V101" i="49"/>
  <c r="W101" i="49" s="1"/>
  <c r="U101" i="49"/>
  <c r="V100" i="49"/>
  <c r="U100" i="49"/>
  <c r="W100" i="49" s="1"/>
  <c r="T100" i="49"/>
  <c r="V99" i="49"/>
  <c r="U99" i="49"/>
  <c r="W99" i="49" s="1"/>
  <c r="T99" i="49"/>
  <c r="V98" i="49"/>
  <c r="U98" i="49"/>
  <c r="W98" i="49" s="1"/>
  <c r="T98" i="49"/>
  <c r="V97" i="49"/>
  <c r="U97" i="49"/>
  <c r="W97" i="49" s="1"/>
  <c r="V96" i="49"/>
  <c r="U96" i="49"/>
  <c r="W96" i="49" s="1"/>
  <c r="V95" i="49"/>
  <c r="U95" i="49"/>
  <c r="W95" i="49" s="1"/>
  <c r="T95" i="49"/>
  <c r="V94" i="49"/>
  <c r="U94" i="49"/>
  <c r="T94" i="49"/>
  <c r="V93" i="49"/>
  <c r="W93" i="49" s="1"/>
  <c r="U93" i="49"/>
  <c r="T93" i="49"/>
  <c r="V92" i="49"/>
  <c r="W92" i="49" s="1"/>
  <c r="U92" i="49"/>
  <c r="T92" i="49"/>
  <c r="V91" i="49"/>
  <c r="W91" i="49" s="1"/>
  <c r="U91" i="49"/>
  <c r="T91" i="49"/>
  <c r="V90" i="49"/>
  <c r="W90" i="49" s="1"/>
  <c r="U90" i="49"/>
  <c r="T90" i="49"/>
  <c r="V89" i="49"/>
  <c r="U89" i="49"/>
  <c r="W89" i="49" s="1"/>
  <c r="T89" i="49"/>
  <c r="V88" i="49"/>
  <c r="U88" i="49"/>
  <c r="W88" i="49" s="1"/>
  <c r="T88" i="49"/>
  <c r="V87" i="49"/>
  <c r="U87" i="49"/>
  <c r="T87" i="49"/>
  <c r="V86" i="49"/>
  <c r="U86" i="49"/>
  <c r="W86" i="49" s="1"/>
  <c r="T86" i="49"/>
  <c r="V85" i="49"/>
  <c r="U85" i="49"/>
  <c r="W85" i="49" s="1"/>
  <c r="V84" i="49"/>
  <c r="W84" i="49" s="1"/>
  <c r="U84" i="49"/>
  <c r="T84" i="49"/>
  <c r="V83" i="49"/>
  <c r="W83" i="49" s="1"/>
  <c r="U83" i="49"/>
  <c r="T83" i="49"/>
  <c r="V82" i="49"/>
  <c r="W82" i="49" s="1"/>
  <c r="U82" i="49"/>
  <c r="T82" i="49"/>
  <c r="V81" i="49"/>
  <c r="W81" i="49" s="1"/>
  <c r="U81" i="49"/>
  <c r="V80" i="49"/>
  <c r="U80" i="49"/>
  <c r="T80" i="49"/>
  <c r="V79" i="49"/>
  <c r="U79" i="49"/>
  <c r="T79" i="49"/>
  <c r="V78" i="49"/>
  <c r="W78" i="49" s="1"/>
  <c r="U78" i="49"/>
  <c r="V77" i="49"/>
  <c r="U77" i="49"/>
  <c r="W77" i="49" s="1"/>
  <c r="V76" i="49"/>
  <c r="U76" i="49"/>
  <c r="T76" i="49"/>
  <c r="V75" i="49"/>
  <c r="U75" i="49"/>
  <c r="W75" i="49" s="1"/>
  <c r="T75" i="49"/>
  <c r="V74" i="49"/>
  <c r="U74" i="49"/>
  <c r="W74" i="49" s="1"/>
  <c r="W73" i="49"/>
  <c r="V73" i="49"/>
  <c r="U73" i="49"/>
  <c r="T73" i="49"/>
  <c r="W72" i="49"/>
  <c r="V72" i="49"/>
  <c r="U72" i="49"/>
  <c r="V71" i="49"/>
  <c r="W71" i="49" s="1"/>
  <c r="U71" i="49"/>
  <c r="T71" i="49"/>
  <c r="V70" i="49"/>
  <c r="W70" i="49" s="1"/>
  <c r="U70" i="49"/>
  <c r="T70" i="49"/>
  <c r="V69" i="49"/>
  <c r="U69" i="49"/>
  <c r="T69" i="49"/>
  <c r="V68" i="49"/>
  <c r="U68" i="49"/>
  <c r="W68" i="49" s="1"/>
  <c r="V67" i="49"/>
  <c r="U67" i="49"/>
  <c r="W67" i="49" s="1"/>
  <c r="T67" i="49"/>
  <c r="V66" i="49"/>
  <c r="U66" i="49"/>
  <c r="W66" i="49" s="1"/>
  <c r="V65" i="49"/>
  <c r="W65" i="49" s="1"/>
  <c r="U65" i="49"/>
  <c r="V64" i="49"/>
  <c r="U64" i="49"/>
  <c r="W64" i="49" s="1"/>
  <c r="T64" i="49"/>
  <c r="V63" i="49"/>
  <c r="U63" i="49"/>
  <c r="W63" i="49" s="1"/>
  <c r="V62" i="49"/>
  <c r="U62" i="49"/>
  <c r="W62" i="49" s="1"/>
  <c r="T62" i="49"/>
  <c r="V61" i="49"/>
  <c r="U61" i="49"/>
  <c r="W61" i="49" s="1"/>
  <c r="T61" i="49"/>
  <c r="V60" i="49"/>
  <c r="U60" i="49"/>
  <c r="W60" i="49" s="1"/>
  <c r="T60" i="49"/>
  <c r="V59" i="49"/>
  <c r="U59" i="49"/>
  <c r="W59" i="49" s="1"/>
  <c r="T59" i="49"/>
  <c r="V58" i="49"/>
  <c r="U58" i="49"/>
  <c r="W58" i="49" s="1"/>
  <c r="V57" i="49"/>
  <c r="W57" i="49" s="1"/>
  <c r="U57" i="49"/>
  <c r="V56" i="49"/>
  <c r="U56" i="49"/>
  <c r="W56" i="49" s="1"/>
  <c r="T56" i="49"/>
  <c r="V55" i="49"/>
  <c r="U55" i="49"/>
  <c r="W55" i="49" s="1"/>
  <c r="T55" i="49"/>
  <c r="V54" i="49"/>
  <c r="U54" i="49"/>
  <c r="V53" i="49"/>
  <c r="U53" i="49"/>
  <c r="W53" i="49" s="1"/>
  <c r="T53" i="49"/>
  <c r="V52" i="49"/>
  <c r="U52" i="49"/>
  <c r="W52" i="49" s="1"/>
  <c r="T52" i="49"/>
  <c r="V51" i="49"/>
  <c r="U51" i="49"/>
  <c r="T51" i="49"/>
  <c r="V50" i="49"/>
  <c r="U50" i="49"/>
  <c r="T50" i="49"/>
  <c r="X219" i="49" s="1"/>
  <c r="Z219" i="49" s="1"/>
  <c r="V49" i="49"/>
  <c r="U49" i="49"/>
  <c r="T49" i="49"/>
  <c r="P215" i="49" s="1"/>
  <c r="V48" i="49"/>
  <c r="U48" i="49"/>
  <c r="T48" i="49"/>
  <c r="W47" i="49"/>
  <c r="V47" i="49"/>
  <c r="U47" i="49"/>
  <c r="T47" i="49"/>
  <c r="W46" i="49"/>
  <c r="V46" i="49"/>
  <c r="U46" i="49"/>
  <c r="T46" i="49"/>
  <c r="V45" i="49"/>
  <c r="U45" i="49"/>
  <c r="W45" i="49" s="1"/>
  <c r="T45" i="49"/>
  <c r="V44" i="49"/>
  <c r="U44" i="49"/>
  <c r="T44" i="49"/>
  <c r="V43" i="49"/>
  <c r="U43" i="49"/>
  <c r="W43" i="49" s="1"/>
  <c r="T43" i="49"/>
  <c r="V42" i="49"/>
  <c r="U42" i="49"/>
  <c r="W42" i="49" s="1"/>
  <c r="T42" i="49"/>
  <c r="V41" i="49"/>
  <c r="U41" i="49"/>
  <c r="W41" i="49" s="1"/>
  <c r="T41" i="49"/>
  <c r="V40" i="49"/>
  <c r="W40" i="49" s="1"/>
  <c r="U40" i="49"/>
  <c r="T40" i="49"/>
  <c r="V39" i="49"/>
  <c r="W39" i="49" s="1"/>
  <c r="U39" i="49"/>
  <c r="T39" i="49"/>
  <c r="V38" i="49"/>
  <c r="W38" i="49" s="1"/>
  <c r="U38" i="49"/>
  <c r="T38" i="49"/>
  <c r="V37" i="49"/>
  <c r="W37" i="49" s="1"/>
  <c r="U37" i="49"/>
  <c r="V36" i="49"/>
  <c r="U36" i="49"/>
  <c r="V35" i="49"/>
  <c r="U35" i="49"/>
  <c r="V34" i="49"/>
  <c r="U34" i="49"/>
  <c r="W34" i="49" s="1"/>
  <c r="W33" i="49"/>
  <c r="V33" i="49"/>
  <c r="U33" i="49"/>
  <c r="V32" i="49"/>
  <c r="U32" i="49"/>
  <c r="V31" i="49"/>
  <c r="U31" i="49"/>
  <c r="W31" i="49" s="1"/>
  <c r="V30" i="49"/>
  <c r="U30" i="49"/>
  <c r="V29" i="49"/>
  <c r="U29" i="49"/>
  <c r="W29" i="49" s="1"/>
  <c r="V28" i="49"/>
  <c r="U28" i="49"/>
  <c r="V27" i="49"/>
  <c r="U27" i="49"/>
  <c r="W27" i="49" s="1"/>
  <c r="R23" i="49"/>
  <c r="O23" i="49"/>
  <c r="N23" i="49"/>
  <c r="M23" i="49"/>
  <c r="M208" i="49" s="1"/>
  <c r="L23" i="49"/>
  <c r="L208" i="49" s="1"/>
  <c r="K23" i="49"/>
  <c r="J23" i="49"/>
  <c r="I23" i="49"/>
  <c r="I208" i="49" s="1"/>
  <c r="H23" i="49"/>
  <c r="H208" i="49" s="1"/>
  <c r="G23" i="49"/>
  <c r="F23" i="49"/>
  <c r="E23" i="49"/>
  <c r="E208" i="49" s="1"/>
  <c r="D23" i="49"/>
  <c r="D208" i="49" s="1"/>
  <c r="V22" i="49"/>
  <c r="U22" i="49"/>
  <c r="W22" i="49" s="1"/>
  <c r="V21" i="49"/>
  <c r="U21" i="49"/>
  <c r="T21" i="49"/>
  <c r="V20" i="49"/>
  <c r="U20" i="49"/>
  <c r="T20" i="49"/>
  <c r="V19" i="49"/>
  <c r="U19" i="49"/>
  <c r="W19" i="49" s="1"/>
  <c r="T19" i="49"/>
  <c r="V18" i="49"/>
  <c r="U18" i="49"/>
  <c r="W18" i="49" s="1"/>
  <c r="T18" i="49"/>
  <c r="V17" i="49"/>
  <c r="U17" i="49"/>
  <c r="W17" i="49" s="1"/>
  <c r="T17" i="49"/>
  <c r="V16" i="49"/>
  <c r="U16" i="49"/>
  <c r="T16" i="49"/>
  <c r="V15" i="49"/>
  <c r="W15" i="49" s="1"/>
  <c r="U15" i="49"/>
  <c r="T15" i="49"/>
  <c r="V14" i="49"/>
  <c r="W14" i="49" s="1"/>
  <c r="U14" i="49"/>
  <c r="T14" i="49"/>
  <c r="V13" i="49"/>
  <c r="U13" i="49"/>
  <c r="T13" i="49"/>
  <c r="V12" i="49"/>
  <c r="U12" i="49"/>
  <c r="T12" i="49"/>
  <c r="V11" i="49"/>
  <c r="U11" i="49"/>
  <c r="W11" i="49" s="1"/>
  <c r="T11" i="49"/>
  <c r="V10" i="49"/>
  <c r="U10" i="49"/>
  <c r="W10" i="49" s="1"/>
  <c r="T10" i="49"/>
  <c r="V9" i="49"/>
  <c r="U9" i="49"/>
  <c r="T9" i="49"/>
  <c r="V8" i="49"/>
  <c r="U8" i="49"/>
  <c r="T8" i="49"/>
  <c r="R208" i="49" l="1"/>
  <c r="P213" i="49"/>
  <c r="P216" i="49"/>
  <c r="X215" i="49"/>
  <c r="T23" i="49"/>
  <c r="V23" i="49"/>
  <c r="W13" i="49"/>
  <c r="W32" i="49"/>
  <c r="W123" i="49"/>
  <c r="W140" i="49"/>
  <c r="T167" i="49"/>
  <c r="W80" i="49"/>
  <c r="W139" i="49"/>
  <c r="I169" i="49"/>
  <c r="W20" i="49"/>
  <c r="W28" i="49"/>
  <c r="X222" i="49"/>
  <c r="Z222" i="49" s="1"/>
  <c r="W50" i="49"/>
  <c r="W173" i="49"/>
  <c r="W199" i="49"/>
  <c r="I206" i="49"/>
  <c r="W12" i="49"/>
  <c r="W36" i="49"/>
  <c r="X167" i="49"/>
  <c r="W49" i="49"/>
  <c r="U23" i="49"/>
  <c r="W16" i="49"/>
  <c r="G208" i="49"/>
  <c r="K208" i="49"/>
  <c r="O208" i="49"/>
  <c r="W35" i="49"/>
  <c r="W48" i="49"/>
  <c r="W69" i="49"/>
  <c r="W76" i="49"/>
  <c r="W79" i="49"/>
  <c r="W94" i="49"/>
  <c r="W104" i="49"/>
  <c r="W106" i="49"/>
  <c r="W112" i="49"/>
  <c r="W122" i="49"/>
  <c r="W126" i="49"/>
  <c r="W141" i="49"/>
  <c r="W144" i="49"/>
  <c r="W147" i="49"/>
  <c r="W155" i="49"/>
  <c r="W159" i="49"/>
  <c r="W163" i="49"/>
  <c r="W166" i="49"/>
  <c r="O169" i="49"/>
  <c r="W182" i="49"/>
  <c r="W186" i="49"/>
  <c r="W189" i="49"/>
  <c r="W192" i="49"/>
  <c r="W196" i="49"/>
  <c r="W200" i="49"/>
  <c r="W203" i="49"/>
  <c r="Z220" i="49"/>
  <c r="X23" i="49"/>
  <c r="X218" i="49"/>
  <c r="Z218" i="49" s="1"/>
  <c r="Z217" i="49"/>
  <c r="W171" i="49"/>
  <c r="U204" i="49"/>
  <c r="X226" i="49"/>
  <c r="Z226" i="49" s="1"/>
  <c r="I25" i="49"/>
  <c r="I210" i="49" s="1"/>
  <c r="W164" i="49"/>
  <c r="X224" i="49"/>
  <c r="Z224" i="49" s="1"/>
  <c r="O206" i="49"/>
  <c r="X204" i="49"/>
  <c r="U167" i="49"/>
  <c r="U208" i="49" s="1"/>
  <c r="W8" i="49"/>
  <c r="V204" i="49"/>
  <c r="T204" i="49"/>
  <c r="W9" i="49"/>
  <c r="F208" i="49"/>
  <c r="O25" i="49"/>
  <c r="O210" i="49" s="1"/>
  <c r="J208" i="49"/>
  <c r="N208" i="49"/>
  <c r="W21" i="49"/>
  <c r="V167" i="49"/>
  <c r="V208" i="49" s="1"/>
  <c r="W30" i="49"/>
  <c r="W44" i="49"/>
  <c r="W51" i="49"/>
  <c r="W54" i="49"/>
  <c r="W87" i="49"/>
  <c r="W107" i="49"/>
  <c r="W110" i="49"/>
  <c r="W172" i="49"/>
  <c r="U21" i="31"/>
  <c r="U16" i="31"/>
  <c r="U15" i="31"/>
  <c r="X208" i="49" l="1"/>
  <c r="X230" i="49" s="1"/>
  <c r="T208" i="49"/>
  <c r="W167" i="49"/>
  <c r="W23" i="49"/>
  <c r="W204" i="49"/>
  <c r="Z215" i="49"/>
  <c r="Z230" i="49" s="1"/>
  <c r="U17" i="31"/>
  <c r="E18" i="13" l="1"/>
  <c r="AA230" i="49"/>
  <c r="X232" i="49"/>
  <c r="P219" i="49"/>
  <c r="P220" i="49" s="1"/>
  <c r="E9" i="13"/>
  <c r="W208" i="49"/>
  <c r="O21" i="31"/>
  <c r="Q52" i="31"/>
  <c r="Q50" i="31"/>
  <c r="Q36" i="31"/>
  <c r="Q26" i="31"/>
  <c r="Q17" i="31"/>
  <c r="Q106" i="31"/>
  <c r="Q99" i="31"/>
  <c r="Q92" i="31"/>
  <c r="Q83" i="31"/>
  <c r="T120" i="31"/>
  <c r="T122" i="31" s="1"/>
  <c r="T106" i="31"/>
  <c r="T99" i="31"/>
  <c r="T92" i="31"/>
  <c r="T83" i="31"/>
  <c r="T71" i="31"/>
  <c r="T52" i="31"/>
  <c r="T50" i="31"/>
  <c r="T36" i="31"/>
  <c r="T26" i="31"/>
  <c r="T17" i="31"/>
  <c r="Y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I14" i="46"/>
  <c r="H14" i="46"/>
  <c r="J14" i="46" s="1"/>
  <c r="L14" i="46" s="1"/>
  <c r="I13" i="46"/>
  <c r="H13" i="46"/>
  <c r="J13" i="46" s="1"/>
  <c r="L13" i="46" s="1"/>
  <c r="I12" i="46"/>
  <c r="H12" i="46"/>
  <c r="E13" i="15"/>
  <c r="G14" i="15" s="1"/>
  <c r="D13" i="15"/>
  <c r="G11" i="15"/>
  <c r="G10" i="15"/>
  <c r="G9"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F15" i="21"/>
  <c r="I16" i="31" s="1"/>
  <c r="X16" i="31" s="1"/>
  <c r="D19" i="21"/>
  <c r="F19" i="21" s="1"/>
  <c r="D18" i="21"/>
  <c r="F18" i="21" s="1"/>
  <c r="F12" i="2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J17" i="31"/>
  <c r="AE43" i="4"/>
  <c r="AD43" i="4"/>
  <c r="AC43" i="4"/>
  <c r="AB43" i="4"/>
  <c r="AA43" i="4"/>
  <c r="Z43" i="4"/>
  <c r="X43" i="4"/>
  <c r="U43" i="4"/>
  <c r="S43" i="4"/>
  <c r="R43" i="4"/>
  <c r="J43" i="4"/>
  <c r="I43" i="4"/>
  <c r="H43" i="4"/>
  <c r="G43" i="4"/>
  <c r="AG42" i="4"/>
  <c r="G39" i="1" s="1"/>
  <c r="AG40" i="4"/>
  <c r="G37" i="1" s="1"/>
  <c r="AG31" i="4"/>
  <c r="G28" i="1" s="1"/>
  <c r="I28" i="1" s="1"/>
  <c r="O28" i="1" s="1"/>
  <c r="AE19" i="4"/>
  <c r="AD19" i="4"/>
  <c r="AC19" i="4"/>
  <c r="AB19" i="4"/>
  <c r="AA19" i="4"/>
  <c r="U19" i="4"/>
  <c r="S19" i="4"/>
  <c r="R19" i="4"/>
  <c r="H19" i="4"/>
  <c r="Z17" i="4"/>
  <c r="T17" i="4"/>
  <c r="C33" i="2"/>
  <c r="L40" i="1"/>
  <c r="D38" i="1"/>
  <c r="D37" i="1"/>
  <c r="D36" i="1"/>
  <c r="D35" i="1"/>
  <c r="I14" i="61" l="1"/>
  <c r="T19" i="4"/>
  <c r="L33" i="4"/>
  <c r="L34" i="4" s="1"/>
  <c r="L35" i="4" s="1"/>
  <c r="K33" i="4"/>
  <c r="M33" i="4"/>
  <c r="M34" i="4" s="1"/>
  <c r="M35" i="4" s="1"/>
  <c r="F21" i="21"/>
  <c r="G24" i="31"/>
  <c r="G158" i="31"/>
  <c r="F17" i="31"/>
  <c r="S84" i="31"/>
  <c r="G115" i="31"/>
  <c r="G33" i="31"/>
  <c r="Y33" i="31" s="1"/>
  <c r="G89" i="31"/>
  <c r="G96" i="31"/>
  <c r="G98" i="31"/>
  <c r="G143" i="31"/>
  <c r="Y143" i="31" s="1"/>
  <c r="G145" i="31"/>
  <c r="G153" i="31"/>
  <c r="H18" i="21"/>
  <c r="C18" i="47"/>
  <c r="C16" i="47"/>
  <c r="Y38" i="4"/>
  <c r="M84" i="31"/>
  <c r="I84" i="31"/>
  <c r="G166" i="31"/>
  <c r="G16" i="31"/>
  <c r="Y16" i="31" s="1"/>
  <c r="J27" i="31"/>
  <c r="J53" i="31" s="1"/>
  <c r="N27" i="31"/>
  <c r="N53" i="31" s="1"/>
  <c r="G35" i="31"/>
  <c r="Y35" i="31" s="1"/>
  <c r="G52" i="31"/>
  <c r="D20" i="1" s="1"/>
  <c r="G68" i="31"/>
  <c r="G69" i="31"/>
  <c r="Y69" i="31" s="1"/>
  <c r="G175" i="31"/>
  <c r="G31" i="31"/>
  <c r="Y31" i="31" s="1"/>
  <c r="O84" i="31"/>
  <c r="F29" i="18"/>
  <c r="J104" i="31" s="1"/>
  <c r="J106" i="31" s="1"/>
  <c r="G129" i="31"/>
  <c r="G164" i="31"/>
  <c r="J27" i="4"/>
  <c r="G24" i="61" s="1"/>
  <c r="L96" i="31"/>
  <c r="I13" i="6"/>
  <c r="K13" i="6" s="1"/>
  <c r="J84" i="31"/>
  <c r="G156" i="31"/>
  <c r="I30" i="6"/>
  <c r="K30" i="6" s="1"/>
  <c r="G75" i="31"/>
  <c r="G80" i="31"/>
  <c r="G87" i="31"/>
  <c r="Y87" i="31" s="1"/>
  <c r="G114" i="31"/>
  <c r="G116" i="31"/>
  <c r="G121" i="31"/>
  <c r="Y121" i="31" s="1"/>
  <c r="G130" i="31"/>
  <c r="Y130" i="31" s="1"/>
  <c r="G154" i="31"/>
  <c r="W33" i="4"/>
  <c r="R60" i="31"/>
  <c r="R71" i="31" s="1"/>
  <c r="R84" i="31" s="1"/>
  <c r="V84" i="31"/>
  <c r="V149" i="31" s="1"/>
  <c r="G132" i="31"/>
  <c r="Y132" i="31" s="1"/>
  <c r="G133" i="31"/>
  <c r="I32" i="6"/>
  <c r="K32" i="6" s="1"/>
  <c r="L32" i="6" s="1"/>
  <c r="N32" i="6" s="1"/>
  <c r="M12" i="41"/>
  <c r="M14" i="41"/>
  <c r="G21" i="31"/>
  <c r="D14"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L46" i="36"/>
  <c r="AD33" i="4"/>
  <c r="AD34" i="4" s="1"/>
  <c r="AD35" i="4" s="1"/>
  <c r="AA33" i="4"/>
  <c r="AE33" i="4"/>
  <c r="AE34" i="4" s="1"/>
  <c r="AE35" i="4" s="1"/>
  <c r="AB33" i="4"/>
  <c r="AB34" i="4" s="1"/>
  <c r="AB35" i="4" s="1"/>
  <c r="T23" i="4"/>
  <c r="O52" i="31" s="1"/>
  <c r="AC33" i="4"/>
  <c r="AC34" i="4" s="1"/>
  <c r="AC35" i="4" s="1"/>
  <c r="L92" i="31"/>
  <c r="I37" i="1"/>
  <c r="O37" i="1" s="1"/>
  <c r="K52" i="6"/>
  <c r="L52" i="6"/>
  <c r="N52" i="6" s="1"/>
  <c r="P52" i="6" s="1"/>
  <c r="H15" i="46"/>
  <c r="J12" i="46"/>
  <c r="O27" i="31"/>
  <c r="V27" i="31"/>
  <c r="V53" i="31" s="1"/>
  <c r="F26" i="31"/>
  <c r="G30" i="31"/>
  <c r="P84" i="31"/>
  <c r="E148" i="31"/>
  <c r="G142"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E37" i="21"/>
  <c r="F26" i="21"/>
  <c r="F37" i="21" s="1"/>
  <c r="K23" i="6"/>
  <c r="L23" i="6" s="1"/>
  <c r="N23" i="6" s="1"/>
  <c r="K42" i="6"/>
  <c r="L42" i="6" s="1"/>
  <c r="N42" i="6" s="1"/>
  <c r="P42" i="6" s="1"/>
  <c r="N64" i="31" s="1"/>
  <c r="X64" i="31" s="1"/>
  <c r="K56" i="6"/>
  <c r="L56" i="6" s="1"/>
  <c r="G23" i="31"/>
  <c r="Y23" i="31" s="1"/>
  <c r="G25" i="31"/>
  <c r="Y25" i="31" s="1"/>
  <c r="G77" i="31"/>
  <c r="G78" i="31"/>
  <c r="G117" i="31"/>
  <c r="Y117" i="31" s="1"/>
  <c r="H19" i="21"/>
  <c r="K27" i="6"/>
  <c r="L27" i="6" s="1"/>
  <c r="N27" i="6" s="1"/>
  <c r="O27" i="6" s="1"/>
  <c r="E40" i="33"/>
  <c r="J14" i="3"/>
  <c r="P45" i="4" s="1"/>
  <c r="H36" i="6"/>
  <c r="AG17" i="4"/>
  <c r="G14" i="1" s="1"/>
  <c r="X50" i="31"/>
  <c r="G60" i="31"/>
  <c r="G70" i="31"/>
  <c r="G90" i="31"/>
  <c r="E106" i="31"/>
  <c r="G144" i="31"/>
  <c r="Y144" i="31" s="1"/>
  <c r="H15" i="2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AA34" i="4"/>
  <c r="AA35" i="4" s="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F75" i="18"/>
  <c r="K31" i="6"/>
  <c r="L31" i="6" s="1"/>
  <c r="N31" i="6" s="1"/>
  <c r="L34" i="6"/>
  <c r="N34" i="6" s="1"/>
  <c r="K51" i="6"/>
  <c r="L51" i="6" s="1"/>
  <c r="H23" i="36"/>
  <c r="H15" i="6"/>
  <c r="L39" i="6"/>
  <c r="L47" i="6"/>
  <c r="L55" i="6"/>
  <c r="G13" i="15"/>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AG27" i="4" l="1"/>
  <c r="G24" i="1" s="1"/>
  <c r="K24" i="61"/>
  <c r="Q24" i="61" s="1"/>
  <c r="S24" i="61" s="1"/>
  <c r="K14" i="61"/>
  <c r="Q14" i="61" s="1"/>
  <c r="S14" i="61" s="1"/>
  <c r="K34" i="4"/>
  <c r="K35" i="4" s="1"/>
  <c r="D12" i="26"/>
  <c r="H12" i="21"/>
  <c r="H21" i="21" s="1"/>
  <c r="J27" i="36" s="1"/>
  <c r="L28" i="36" s="1"/>
  <c r="W150" i="31"/>
  <c r="F27" i="31"/>
  <c r="F53" i="31" s="1"/>
  <c r="G17" i="31"/>
  <c r="D13" i="1" s="1"/>
  <c r="Y21" i="31"/>
  <c r="I14" i="1"/>
  <c r="O14" i="1" s="1"/>
  <c r="Y145" i="31"/>
  <c r="Y113" i="31"/>
  <c r="G185" i="31"/>
  <c r="C19" i="47"/>
  <c r="C20" i="47" s="1"/>
  <c r="E16" i="47"/>
  <c r="T127" i="31" s="1"/>
  <c r="T134" i="31" s="1"/>
  <c r="C17" i="47"/>
  <c r="Y39" i="4" s="1"/>
  <c r="X104" i="31"/>
  <c r="X106" i="31" s="1"/>
  <c r="L30" i="6"/>
  <c r="N30" i="6" s="1"/>
  <c r="P30" i="6" s="1"/>
  <c r="I15" i="6"/>
  <c r="Y78" i="31"/>
  <c r="V150" i="31"/>
  <c r="Y147" i="31"/>
  <c r="Y133" i="31"/>
  <c r="X342" i="34"/>
  <c r="L13" i="6"/>
  <c r="N13" i="6" s="1"/>
  <c r="P13" i="6" s="1"/>
  <c r="W34" i="4"/>
  <c r="W35" i="4" s="1"/>
  <c r="R142" i="31"/>
  <c r="R148" i="31" s="1"/>
  <c r="R149" i="31" s="1"/>
  <c r="R150" i="31" s="1"/>
  <c r="Y129" i="31"/>
  <c r="P27" i="6"/>
  <c r="Y70" i="31"/>
  <c r="E27" i="31"/>
  <c r="E53" i="31" s="1"/>
  <c r="J33" i="4"/>
  <c r="J34" i="4" s="1"/>
  <c r="J35" i="4" s="1"/>
  <c r="H28" i="4"/>
  <c r="X96" i="31"/>
  <c r="L99" i="31"/>
  <c r="G148" i="31"/>
  <c r="Y64" i="31"/>
  <c r="P26" i="6"/>
  <c r="N74" i="31" s="1"/>
  <c r="X74" i="31" s="1"/>
  <c r="Y74" i="31" s="1"/>
  <c r="O26" i="6"/>
  <c r="L21" i="6"/>
  <c r="N21" i="6" s="1"/>
  <c r="P21" i="6" s="1"/>
  <c r="O53" i="31"/>
  <c r="P23" i="6"/>
  <c r="N63" i="31" s="1"/>
  <c r="X63" i="31" s="1"/>
  <c r="Y63" i="31" s="1"/>
  <c r="O23" i="6"/>
  <c r="N44" i="6"/>
  <c r="P44" i="6" s="1"/>
  <c r="N56" i="6"/>
  <c r="P56" i="6" s="1"/>
  <c r="Y105" i="31"/>
  <c r="I36" i="6"/>
  <c r="E84" i="31"/>
  <c r="E149" i="31" s="1"/>
  <c r="I30" i="31"/>
  <c r="I36" i="31" s="1"/>
  <c r="G22" i="4"/>
  <c r="G19" i="61" s="1"/>
  <c r="K36" i="6"/>
  <c r="J15" i="46"/>
  <c r="L12" i="46"/>
  <c r="L15" i="46" s="1"/>
  <c r="Y77" i="31"/>
  <c r="G36" i="31"/>
  <c r="D19"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3" i="1" s="1"/>
  <c r="G106" i="31"/>
  <c r="D25" i="1" s="1"/>
  <c r="N55" i="6"/>
  <c r="P55" i="6" s="1"/>
  <c r="N88" i="31" s="1"/>
  <c r="O57" i="6"/>
  <c r="O30" i="6"/>
  <c r="N20" i="6"/>
  <c r="N46" i="6"/>
  <c r="P46" i="6" s="1"/>
  <c r="G12" i="5"/>
  <c r="G18" i="5" s="1"/>
  <c r="G16" i="4"/>
  <c r="G13" i="61" s="1"/>
  <c r="D29" i="1"/>
  <c r="Y146" i="31"/>
  <c r="F84" i="31"/>
  <c r="P111" i="31"/>
  <c r="U33" i="4"/>
  <c r="U34" i="4" s="1"/>
  <c r="L61" i="6"/>
  <c r="N39" i="6"/>
  <c r="O25" i="6"/>
  <c r="P25" i="6"/>
  <c r="G120" i="31"/>
  <c r="G122" i="31" s="1"/>
  <c r="D26" i="1" s="1"/>
  <c r="Y118" i="31"/>
  <c r="G99" i="31"/>
  <c r="D24" i="1" s="1"/>
  <c r="I24" i="1" s="1"/>
  <c r="O24" i="1" s="1"/>
  <c r="Y95" i="31"/>
  <c r="O32" i="6"/>
  <c r="P32" i="6"/>
  <c r="E16" i="13"/>
  <c r="E12" i="13"/>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7" i="1" s="1"/>
  <c r="G26" i="31"/>
  <c r="Y20" i="31"/>
  <c r="M16" i="41"/>
  <c r="N47" i="6"/>
  <c r="P47" i="6" s="1"/>
  <c r="O34" i="6"/>
  <c r="P34" i="6"/>
  <c r="J116" i="31"/>
  <c r="H29" i="4"/>
  <c r="O52" i="6"/>
  <c r="O40" i="6"/>
  <c r="O50" i="6"/>
  <c r="O28" i="6"/>
  <c r="P28" i="6"/>
  <c r="N80" i="31" s="1"/>
  <c r="X80" i="31" s="1"/>
  <c r="Y80" i="31" s="1"/>
  <c r="O42" i="6"/>
  <c r="Y102" i="31"/>
  <c r="O41" i="6"/>
  <c r="G83" i="31"/>
  <c r="Y22" i="31"/>
  <c r="Y62" i="31"/>
  <c r="D21"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G25" i="61" l="1"/>
  <c r="K25" i="61" s="1"/>
  <c r="Q25" i="61" s="1"/>
  <c r="S25" i="61" s="1"/>
  <c r="N75" i="31"/>
  <c r="X75" i="31" s="1"/>
  <c r="Y75" i="31" s="1"/>
  <c r="N60" i="31"/>
  <c r="E60" i="64"/>
  <c r="AG28" i="4"/>
  <c r="G25" i="1" s="1"/>
  <c r="I25" i="1" s="1"/>
  <c r="O25" i="1" s="1"/>
  <c r="H33" i="4"/>
  <c r="H34" i="4" s="1"/>
  <c r="O58" i="6"/>
  <c r="O44" i="6"/>
  <c r="C23" i="47"/>
  <c r="Y30" i="4"/>
  <c r="Y33" i="4" s="1"/>
  <c r="T142" i="31" s="1"/>
  <c r="T148" i="31" s="1"/>
  <c r="T149" i="31" s="1"/>
  <c r="T150" i="31" s="1"/>
  <c r="Y43" i="4"/>
  <c r="E124" i="31"/>
  <c r="X344" i="34"/>
  <c r="G20" i="4"/>
  <c r="L142" i="31"/>
  <c r="L148" i="31" s="1"/>
  <c r="L149" i="31" s="1"/>
  <c r="L150" i="31" s="1"/>
  <c r="Y104" i="31"/>
  <c r="Y106" i="31" s="1"/>
  <c r="N76" i="31"/>
  <c r="X76" i="31" s="1"/>
  <c r="Y76" i="31" s="1"/>
  <c r="J11" i="6"/>
  <c r="K11" i="6" s="1"/>
  <c r="O59" i="6"/>
  <c r="M28" i="36"/>
  <c r="N68" i="31"/>
  <c r="X68" i="31" s="1"/>
  <c r="Y68" i="31" s="1"/>
  <c r="O21" i="6"/>
  <c r="X99" i="31"/>
  <c r="Y96" i="31"/>
  <c r="Y99" i="31" s="1"/>
  <c r="O56" i="6"/>
  <c r="O46" i="6"/>
  <c r="O43" i="6"/>
  <c r="L36" i="6"/>
  <c r="L48" i="36"/>
  <c r="E150" i="31"/>
  <c r="E186" i="31" s="1"/>
  <c r="O13" i="6"/>
  <c r="O60" i="6"/>
  <c r="O51" i="6"/>
  <c r="Q60" i="31"/>
  <c r="Q71" i="31" s="1"/>
  <c r="Q84" i="31" s="1"/>
  <c r="V25" i="4"/>
  <c r="L17" i="46"/>
  <c r="L16" i="46"/>
  <c r="D19" i="32"/>
  <c r="D39" i="1"/>
  <c r="O139" i="31"/>
  <c r="T32" i="4"/>
  <c r="N61" i="6"/>
  <c r="P39" i="6"/>
  <c r="N61" i="31" s="1"/>
  <c r="O20" i="6"/>
  <c r="P20" i="6"/>
  <c r="E56" i="64" s="1"/>
  <c r="N36" i="6"/>
  <c r="X116" i="31"/>
  <c r="Y116" i="31" s="1"/>
  <c r="J120" i="31"/>
  <c r="J122" i="31" s="1"/>
  <c r="O54" i="6"/>
  <c r="O39" i="6"/>
  <c r="G25" i="5"/>
  <c r="O47" i="6"/>
  <c r="D15" i="1"/>
  <c r="G27" i="31"/>
  <c r="G84" i="31"/>
  <c r="O48" i="6"/>
  <c r="N89" i="31"/>
  <c r="X89" i="31" s="1"/>
  <c r="Y89" i="31" s="1"/>
  <c r="O53" i="6"/>
  <c r="P120" i="31"/>
  <c r="P122" i="31" s="1"/>
  <c r="X111" i="31"/>
  <c r="Y111" i="31" s="1"/>
  <c r="G23" i="4"/>
  <c r="G19" i="4"/>
  <c r="X88" i="31"/>
  <c r="Y88" i="31" s="1"/>
  <c r="E20" i="13"/>
  <c r="E21" i="13" s="1"/>
  <c r="T38" i="4"/>
  <c r="I35" i="61" s="1"/>
  <c r="F149" i="31"/>
  <c r="F150" i="31" s="1"/>
  <c r="F186" i="31" s="1"/>
  <c r="F124" i="31"/>
  <c r="O55" i="6"/>
  <c r="O45" i="6"/>
  <c r="X18" i="4"/>
  <c r="I15" i="61" s="1"/>
  <c r="S24" i="31"/>
  <c r="P142" i="31"/>
  <c r="P148" i="31" s="1"/>
  <c r="N81" i="31"/>
  <c r="X81" i="31" s="1"/>
  <c r="Y81" i="31" s="1"/>
  <c r="N114" i="31"/>
  <c r="N71" i="6"/>
  <c r="N85" i="6" s="1"/>
  <c r="L85" i="6"/>
  <c r="I75" i="64" l="1"/>
  <c r="I83" i="64" s="1"/>
  <c r="E83" i="64"/>
  <c r="I56" i="64"/>
  <c r="S24" i="4"/>
  <c r="I60" i="64"/>
  <c r="I71" i="64" s="1"/>
  <c r="E71" i="64"/>
  <c r="K15" i="61"/>
  <c r="Q15" i="61" s="1"/>
  <c r="S15" i="61" s="1"/>
  <c r="I16" i="61"/>
  <c r="K35" i="61"/>
  <c r="I52" i="31"/>
  <c r="I53" i="31" s="1"/>
  <c r="K15" i="31"/>
  <c r="K17" i="31" s="1"/>
  <c r="K27" i="31" s="1"/>
  <c r="Y34" i="4"/>
  <c r="Y35" i="4" s="1"/>
  <c r="J142" i="31"/>
  <c r="J148" i="31" s="1"/>
  <c r="J149" i="31" s="1"/>
  <c r="J150" i="31" s="1"/>
  <c r="N92" i="31"/>
  <c r="Y83" i="31"/>
  <c r="O36" i="6"/>
  <c r="L11" i="6"/>
  <c r="L15" i="6" s="1"/>
  <c r="K15" i="6"/>
  <c r="V29" i="4"/>
  <c r="Q114" i="31"/>
  <c r="Q120" i="31" s="1"/>
  <c r="Q122" i="31" s="1"/>
  <c r="L19" i="46"/>
  <c r="V32" i="4"/>
  <c r="Q139" i="31"/>
  <c r="E22" i="13"/>
  <c r="T41" i="4" s="1"/>
  <c r="X60" i="31"/>
  <c r="Y60" i="31" s="1"/>
  <c r="O61" i="6"/>
  <c r="D16" i="1"/>
  <c r="H35" i="4"/>
  <c r="U35" i="4"/>
  <c r="S26" i="31"/>
  <c r="S27" i="31" s="1"/>
  <c r="X24" i="31"/>
  <c r="X83" i="31"/>
  <c r="G124" i="31"/>
  <c r="D22" i="1"/>
  <c r="D31" i="1" s="1"/>
  <c r="G149" i="31"/>
  <c r="P36" i="6"/>
  <c r="N56" i="31"/>
  <c r="G53" i="31"/>
  <c r="C8" i="2"/>
  <c r="G26" i="4" s="1"/>
  <c r="P61" i="6"/>
  <c r="F18" i="13"/>
  <c r="F23" i="13" s="1"/>
  <c r="E19" i="13"/>
  <c r="T39" i="4" s="1"/>
  <c r="O127" i="31"/>
  <c r="P149" i="31"/>
  <c r="P150" i="31" s="1"/>
  <c r="N83" i="31"/>
  <c r="X19" i="4"/>
  <c r="AG18" i="4"/>
  <c r="AG38" i="4"/>
  <c r="Z19" i="4"/>
  <c r="I39" i="1"/>
  <c r="O39" i="1" s="1"/>
  <c r="D40" i="1"/>
  <c r="O71" i="6"/>
  <c r="E84" i="64" l="1"/>
  <c r="S25" i="4" s="1"/>
  <c r="I84" i="64"/>
  <c r="Q35" i="61"/>
  <c r="S35" i="61" s="1"/>
  <c r="AG41" i="4"/>
  <c r="G38" i="1" s="1"/>
  <c r="I38" i="1" s="1"/>
  <c r="O38" i="1" s="1"/>
  <c r="I38" i="61"/>
  <c r="K38" i="61" s="1"/>
  <c r="Q38" i="61" s="1"/>
  <c r="S38" i="61" s="1"/>
  <c r="AG39" i="4"/>
  <c r="G36" i="1" s="1"/>
  <c r="I36" i="1" s="1"/>
  <c r="O36" i="1" s="1"/>
  <c r="I36" i="61"/>
  <c r="I19" i="4"/>
  <c r="I23" i="4" s="1"/>
  <c r="G20" i="61" s="1"/>
  <c r="G33" i="4"/>
  <c r="G34" i="4" s="1"/>
  <c r="G35" i="4" s="1"/>
  <c r="X15" i="31"/>
  <c r="Y15" i="31" s="1"/>
  <c r="Y17" i="31" s="1"/>
  <c r="AG16" i="4"/>
  <c r="G13" i="1" s="1"/>
  <c r="I13" i="1" s="1"/>
  <c r="V33" i="4"/>
  <c r="V34" i="4" s="1"/>
  <c r="N11" i="6"/>
  <c r="O11" i="6" s="1"/>
  <c r="D32" i="1"/>
  <c r="D41" i="1" s="1"/>
  <c r="G150" i="31"/>
  <c r="G186" i="31" s="1"/>
  <c r="X114" i="31"/>
  <c r="Y114" i="31" s="1"/>
  <c r="I90" i="31"/>
  <c r="I92" i="31" s="1"/>
  <c r="G15" i="1"/>
  <c r="I21" i="61"/>
  <c r="K21" i="61" s="1"/>
  <c r="Q21" i="61" s="1"/>
  <c r="S21" i="61" s="1"/>
  <c r="X56" i="31"/>
  <c r="Y56" i="31" s="1"/>
  <c r="Z26" i="4"/>
  <c r="Z23" i="4"/>
  <c r="T43" i="4"/>
  <c r="X127" i="31"/>
  <c r="O134" i="31"/>
  <c r="X61" i="31"/>
  <c r="N71" i="31"/>
  <c r="N84" i="31" s="1"/>
  <c r="T30" i="4"/>
  <c r="T26" i="4"/>
  <c r="C12" i="2"/>
  <c r="C16" i="2" s="1"/>
  <c r="C20" i="2" s="1"/>
  <c r="D10" i="2"/>
  <c r="Y24" i="31"/>
  <c r="Y26" i="31" s="1"/>
  <c r="X26" i="31"/>
  <c r="X23" i="4"/>
  <c r="X26" i="4"/>
  <c r="S90" i="31" s="1"/>
  <c r="S92" i="31" s="1"/>
  <c r="G35" i="1"/>
  <c r="X17" i="31"/>
  <c r="E25" i="13"/>
  <c r="O85" i="6"/>
  <c r="P71" i="6"/>
  <c r="P85" i="6" s="1"/>
  <c r="N109" i="31" s="1"/>
  <c r="I142" i="31" l="1"/>
  <c r="I148" i="31" s="1"/>
  <c r="I149" i="31" s="1"/>
  <c r="I150" i="31" s="1"/>
  <c r="AG43" i="4"/>
  <c r="I20" i="61"/>
  <c r="K36" i="61"/>
  <c r="I40" i="61"/>
  <c r="AG30" i="4"/>
  <c r="G27" i="1" s="1"/>
  <c r="I27" i="1" s="1"/>
  <c r="O27" i="1" s="1"/>
  <c r="I27" i="61"/>
  <c r="K27" i="61" s="1"/>
  <c r="Q27" i="61" s="1"/>
  <c r="S27" i="61" s="1"/>
  <c r="AG25" i="4"/>
  <c r="G22" i="1" s="1"/>
  <c r="I22" i="1" s="1"/>
  <c r="O22" i="1" s="1"/>
  <c r="I22" i="61"/>
  <c r="K22" i="61" s="1"/>
  <c r="Q22" i="61" s="1"/>
  <c r="S22" i="61" s="1"/>
  <c r="U90" i="31"/>
  <c r="U92" i="31" s="1"/>
  <c r="I23" i="61"/>
  <c r="AG19" i="4"/>
  <c r="I26" i="4"/>
  <c r="G23" i="61" s="1"/>
  <c r="K13" i="61"/>
  <c r="K16" i="61" s="1"/>
  <c r="G16" i="61"/>
  <c r="K52" i="31"/>
  <c r="C22" i="2"/>
  <c r="C25" i="2" s="1"/>
  <c r="Z33" i="4"/>
  <c r="X33" i="4"/>
  <c r="X34" i="4" s="1"/>
  <c r="Y27" i="31"/>
  <c r="P11" i="6"/>
  <c r="P15" i="6" s="1"/>
  <c r="P17" i="6" s="1"/>
  <c r="E139" i="64" s="1"/>
  <c r="N15" i="6"/>
  <c r="T33" i="4"/>
  <c r="T34" i="4" s="1"/>
  <c r="AG24" i="4"/>
  <c r="G21" i="1" s="1"/>
  <c r="I21" i="1" s="1"/>
  <c r="O21" i="1" s="1"/>
  <c r="X27" i="31"/>
  <c r="Q142" i="31"/>
  <c r="Q148" i="31" s="1"/>
  <c r="Q149" i="31" s="1"/>
  <c r="Q150" i="31" s="1"/>
  <c r="X134" i="31"/>
  <c r="Y127" i="31"/>
  <c r="Y134" i="31" s="1"/>
  <c r="O90" i="31"/>
  <c r="O92" i="31" s="1"/>
  <c r="AG26" i="4"/>
  <c r="G23" i="1" s="1"/>
  <c r="G40" i="1"/>
  <c r="I35" i="1"/>
  <c r="S52" i="31"/>
  <c r="AG23" i="4"/>
  <c r="G20" i="1" s="1"/>
  <c r="I20" i="1" s="1"/>
  <c r="K90" i="31"/>
  <c r="Y61" i="31"/>
  <c r="Y71" i="31" s="1"/>
  <c r="Y84" i="31" s="1"/>
  <c r="X71" i="31"/>
  <c r="X84" i="31" s="1"/>
  <c r="U52" i="31"/>
  <c r="U53" i="31" s="1"/>
  <c r="I15" i="1"/>
  <c r="G16" i="1"/>
  <c r="N120" i="31"/>
  <c r="N122" i="31" s="1"/>
  <c r="X109" i="31"/>
  <c r="K20" i="61" l="1"/>
  <c r="Q36" i="61"/>
  <c r="K40" i="61"/>
  <c r="Z34" i="4"/>
  <c r="K23" i="61"/>
  <c r="K45" i="4"/>
  <c r="M45" i="4"/>
  <c r="L45" i="4"/>
  <c r="AB45" i="4"/>
  <c r="W45" i="4"/>
  <c r="Y45" i="4"/>
  <c r="AA45" i="4"/>
  <c r="U45" i="4"/>
  <c r="D19" i="26"/>
  <c r="AE45" i="4"/>
  <c r="J45" i="4"/>
  <c r="AD45" i="4"/>
  <c r="H45" i="4"/>
  <c r="AC45" i="4"/>
  <c r="G45" i="4"/>
  <c r="U142" i="31"/>
  <c r="U148" i="31" s="1"/>
  <c r="U149" i="31" s="1"/>
  <c r="U150" i="31" s="1"/>
  <c r="N139" i="31"/>
  <c r="X139" i="31" s="1"/>
  <c r="Y139" i="31" s="1"/>
  <c r="O142" i="31"/>
  <c r="O148" i="31" s="1"/>
  <c r="O149" i="31" s="1"/>
  <c r="O150" i="31" s="1"/>
  <c r="I23" i="1"/>
  <c r="V35" i="4"/>
  <c r="V45" i="4" s="1"/>
  <c r="X35" i="4"/>
  <c r="X45" i="4" s="1"/>
  <c r="S142" i="31"/>
  <c r="S148" i="31" s="1"/>
  <c r="S149" i="31" s="1"/>
  <c r="K92" i="31"/>
  <c r="X90" i="31"/>
  <c r="I40" i="1"/>
  <c r="D11" i="26" s="1"/>
  <c r="D14" i="26" s="1"/>
  <c r="O35" i="1"/>
  <c r="O40" i="1" s="1"/>
  <c r="B16" i="24" s="1"/>
  <c r="D16" i="24" s="1"/>
  <c r="F16" i="24" s="1"/>
  <c r="H16" i="24" s="1"/>
  <c r="R33" i="4" s="1"/>
  <c r="O15" i="1"/>
  <c r="I16" i="1"/>
  <c r="X52" i="31"/>
  <c r="S53" i="31"/>
  <c r="Y109" i="31"/>
  <c r="Y120" i="31" s="1"/>
  <c r="Y122" i="31" s="1"/>
  <c r="X120" i="31"/>
  <c r="X122" i="31" s="1"/>
  <c r="I26" i="61"/>
  <c r="Q40" i="61" l="1"/>
  <c r="S36" i="61"/>
  <c r="S40" i="61" s="1"/>
  <c r="AG32" i="4"/>
  <c r="G29" i="1" s="1"/>
  <c r="I29" i="1" s="1"/>
  <c r="O29" i="1" s="1"/>
  <c r="I29" i="61"/>
  <c r="K29" i="61" s="1"/>
  <c r="Q29" i="61" s="1"/>
  <c r="S29" i="61" s="1"/>
  <c r="S33" i="4"/>
  <c r="E142" i="64" s="1"/>
  <c r="T35" i="4"/>
  <c r="T45" i="4" s="1"/>
  <c r="Z35" i="4"/>
  <c r="Z45" i="4" s="1"/>
  <c r="S150" i="31"/>
  <c r="R34" i="4"/>
  <c r="M142" i="31"/>
  <c r="M148" i="31" s="1"/>
  <c r="M149" i="31" s="1"/>
  <c r="M150" i="31" s="1"/>
  <c r="Y52" i="31"/>
  <c r="Y90" i="31"/>
  <c r="Y92" i="31" s="1"/>
  <c r="X92" i="31"/>
  <c r="D23" i="26"/>
  <c r="E148" i="64" l="1"/>
  <c r="E149" i="64" s="1"/>
  <c r="E150" i="64" s="1"/>
  <c r="S34" i="4"/>
  <c r="S35" i="4" s="1"/>
  <c r="S45" i="4" s="1"/>
  <c r="I30" i="61"/>
  <c r="I31" i="61" s="1"/>
  <c r="I32" i="61" s="1"/>
  <c r="R35" i="4"/>
  <c r="R45" i="4" s="1"/>
  <c r="N142" i="31"/>
  <c r="N148" i="31" l="1"/>
  <c r="N149" i="31" s="1"/>
  <c r="N150" i="31" s="1"/>
  <c r="M48" i="36" l="1"/>
  <c r="K19" i="61" s="1"/>
  <c r="AG22" i="4" l="1"/>
  <c r="I33" i="4"/>
  <c r="K30" i="31"/>
  <c r="G19" i="1" l="1"/>
  <c r="I19" i="1" s="1"/>
  <c r="O19" i="1" s="1"/>
  <c r="I34" i="4"/>
  <c r="K142" i="31"/>
  <c r="K36" i="31"/>
  <c r="K53" i="31" s="1"/>
  <c r="X30" i="31"/>
  <c r="I35" i="4" l="1"/>
  <c r="I45" i="4" s="1"/>
  <c r="K148" i="31"/>
  <c r="K149" i="31" s="1"/>
  <c r="K150" i="31" s="1"/>
  <c r="X142" i="31"/>
  <c r="X36" i="31"/>
  <c r="Y30" i="31"/>
  <c r="Y36" i="31" s="1"/>
  <c r="Y53" i="31" s="1"/>
  <c r="Q19" i="61" l="1"/>
  <c r="S19" i="61" s="1"/>
  <c r="X53" i="31"/>
  <c r="X148" i="31"/>
  <c r="Y142" i="31"/>
  <c r="Y148" i="31" s="1"/>
  <c r="Y149" i="31" s="1"/>
  <c r="Y150" i="31" s="1"/>
  <c r="X149" i="31" l="1"/>
  <c r="X150" i="31" s="1"/>
  <c r="G26" i="61" l="1"/>
  <c r="O33" i="4" l="1"/>
  <c r="K26" i="61"/>
  <c r="Q26" i="61" s="1"/>
  <c r="S26" i="61" s="1"/>
  <c r="AG29" i="4"/>
  <c r="G26" i="1" s="1"/>
  <c r="I26" i="1" s="1"/>
  <c r="O26" i="1" s="1"/>
  <c r="G30" i="61" l="1"/>
  <c r="K30" i="61" s="1"/>
  <c r="AG33" i="4"/>
  <c r="G30" i="1" s="1"/>
  <c r="I30" i="1" s="1"/>
  <c r="I31" i="1" s="1"/>
  <c r="I32" i="1" s="1"/>
  <c r="D15" i="26" s="1"/>
  <c r="D17" i="26" s="1"/>
  <c r="D21" i="26" s="1"/>
  <c r="N13" i="61" s="1"/>
  <c r="U13" i="61" s="1"/>
  <c r="U16" i="61" s="1"/>
  <c r="O34" i="4"/>
  <c r="AG34" i="4" s="1"/>
  <c r="AG35" i="4" s="1"/>
  <c r="AG45" i="4" s="1"/>
  <c r="O35" i="4" l="1"/>
  <c r="O45" i="4" s="1"/>
  <c r="G31" i="1"/>
  <c r="G32" i="1" s="1"/>
  <c r="N16" i="61"/>
  <c r="Q13" i="61"/>
  <c r="Q16" i="61" s="1"/>
  <c r="K31" i="61"/>
  <c r="K32" i="61" s="1"/>
  <c r="K41" i="61" s="1"/>
  <c r="G31" i="61"/>
  <c r="G32" i="61" s="1"/>
  <c r="I41" i="1"/>
  <c r="L13" i="1"/>
  <c r="D25" i="26"/>
  <c r="N20" i="61" l="1"/>
  <c r="U20" i="61" s="1"/>
  <c r="N23" i="61"/>
  <c r="L16" i="1"/>
  <c r="O13" i="1"/>
  <c r="O16" i="1" s="1"/>
  <c r="Q23" i="61" l="1"/>
  <c r="S23" i="61" s="1"/>
  <c r="U23" i="61"/>
  <c r="N30" i="61"/>
  <c r="Q20" i="61"/>
  <c r="S20" i="61" s="1"/>
  <c r="L23" i="1"/>
  <c r="O23" i="1" s="1"/>
  <c r="L20" i="1"/>
  <c r="Q30" i="61" l="1"/>
  <c r="S30" i="61" s="1"/>
  <c r="S31" i="61" s="1"/>
  <c r="U30" i="61"/>
  <c r="U31" i="61" s="1"/>
  <c r="U32" i="61" s="1"/>
  <c r="N31" i="61"/>
  <c r="N32" i="61" s="1"/>
  <c r="L30" i="1"/>
  <c r="O30" i="1" s="1"/>
  <c r="O20" i="1"/>
  <c r="Q31" i="61" l="1"/>
  <c r="Q32" i="61" s="1"/>
  <c r="Q41" i="61" s="1"/>
  <c r="O31" i="1"/>
  <c r="O32" i="1" s="1"/>
  <c r="O41" i="1" s="1"/>
  <c r="L31" i="1"/>
  <c r="L32" i="1" s="1"/>
  <c r="S13" i="61" l="1"/>
  <c r="S16" i="61" s="1"/>
  <c r="S32" i="61" s="1"/>
  <c r="S41" i="61" s="1"/>
</calcChain>
</file>

<file path=xl/comments1.xml><?xml version="1.0" encoding="utf-8"?>
<comments xmlns="http://schemas.openxmlformats.org/spreadsheetml/2006/main">
  <authors>
    <author>Cascade Natural Gas</author>
  </authors>
  <commentList>
    <comment ref="X10" authorId="0" shapeId="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authors>
    <author>Hillstead, Kristen (UTC)</author>
  </authors>
  <commentList>
    <comment ref="X230" authorId="0" shapeId="0">
      <text>
        <r>
          <rPr>
            <b/>
            <sz val="9"/>
            <color indexed="81"/>
            <rFont val="Tahoma"/>
            <family val="2"/>
          </rPr>
          <t>Hillstead, Kristen (UTC):</t>
        </r>
        <r>
          <rPr>
            <sz val="9"/>
            <color indexed="81"/>
            <rFont val="Tahoma"/>
            <family val="2"/>
          </rPr>
          <t xml:space="preserve">
CW's adj = 6,031,930.79
</t>
        </r>
      </text>
    </comment>
  </commentList>
</comments>
</file>

<file path=xl/comments3.xml><?xml version="1.0" encoding="utf-8"?>
<comments xmlns="http://schemas.openxmlformats.org/spreadsheetml/2006/main">
  <authors>
    <author>Cascade Natural Gas</author>
    <author>Hillstead, Kristen (UTC)</author>
  </authors>
  <commentList>
    <comment ref="J6" authorId="0" shapeId="0">
      <text>
        <r>
          <rPr>
            <b/>
            <sz val="9"/>
            <color indexed="81"/>
            <rFont val="Tahoma"/>
            <family val="2"/>
          </rPr>
          <t>Cascade Natural Gas:</t>
        </r>
        <r>
          <rPr>
            <sz val="9"/>
            <color indexed="81"/>
            <rFont val="Tahoma"/>
            <family val="2"/>
          </rPr>
          <t xml:space="preserve">
Average of 2017 increases</t>
        </r>
      </text>
    </comment>
    <comment ref="M6" authorId="0" shapeId="0">
      <text>
        <r>
          <rPr>
            <b/>
            <sz val="9"/>
            <color indexed="81"/>
            <rFont val="Tahoma"/>
            <family val="2"/>
          </rPr>
          <t>Cascade Natural Gas:</t>
        </r>
        <r>
          <rPr>
            <sz val="9"/>
            <color indexed="81"/>
            <rFont val="Tahoma"/>
            <family val="2"/>
          </rPr>
          <t xml:space="preserve">
Average of 2017 increases</t>
        </r>
      </text>
    </comment>
    <comment ref="E8" authorId="1" shapeId="0">
      <text>
        <r>
          <rPr>
            <b/>
            <sz val="9"/>
            <color indexed="81"/>
            <rFont val="Tahoma"/>
            <charset val="1"/>
          </rPr>
          <t>Hillstead, Kristen (UTC):</t>
        </r>
        <r>
          <rPr>
            <sz val="9"/>
            <color indexed="81"/>
            <rFont val="Tahoma"/>
            <charset val="1"/>
          </rPr>
          <t xml:space="preserve">
s/b April 1, 2016
</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4.xml><?xml version="1.0" encoding="utf-8"?>
<comments xmlns="http://schemas.openxmlformats.org/spreadsheetml/2006/main">
  <authors>
    <author>Cascade Natural Gas</author>
  </authors>
  <commentList>
    <comment ref="J11" authorId="0" shapeId="0">
      <text>
        <r>
          <rPr>
            <b/>
            <sz val="9"/>
            <color indexed="81"/>
            <rFont val="Tahoma"/>
            <family val="2"/>
          </rPr>
          <t>Cascade Natural Gas:</t>
        </r>
        <r>
          <rPr>
            <sz val="9"/>
            <color indexed="81"/>
            <rFont val="Tahoma"/>
            <family val="2"/>
          </rPr>
          <t xml:space="preserve">
Average of 2017 increases</t>
        </r>
      </text>
    </comment>
    <comment ref="M11" authorId="0" shapeId="0">
      <text>
        <r>
          <rPr>
            <b/>
            <sz val="9"/>
            <color indexed="81"/>
            <rFont val="Tahoma"/>
            <family val="2"/>
          </rPr>
          <t>Cascade Natural Gas:</t>
        </r>
        <r>
          <rPr>
            <sz val="9"/>
            <color indexed="81"/>
            <rFont val="Tahoma"/>
            <family val="2"/>
          </rPr>
          <t xml:space="preserve">
Average of 2017 increases</t>
        </r>
      </text>
    </comment>
    <comment ref="D31"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text>
        <r>
          <rPr>
            <b/>
            <sz val="9"/>
            <color indexed="81"/>
            <rFont val="Tahoma"/>
            <family val="2"/>
          </rPr>
          <t>Cascade Natural Gas:</t>
        </r>
        <r>
          <rPr>
            <sz val="9"/>
            <color indexed="81"/>
            <rFont val="Tahoma"/>
            <family val="2"/>
          </rPr>
          <t xml:space="preserve">
Codes to 29320</t>
        </r>
      </text>
    </comment>
  </commentList>
</comments>
</file>

<file path=xl/comments5.xml><?xml version="1.0" encoding="utf-8"?>
<comments xmlns="http://schemas.openxmlformats.org/spreadsheetml/2006/main">
  <authors>
    <author>White, Amy (UTC)</author>
  </authors>
  <commentList>
    <comment ref="C10" authorId="0" shapeId="0">
      <text>
        <r>
          <rPr>
            <b/>
            <sz val="9"/>
            <color indexed="81"/>
            <rFont val="Tahoma"/>
            <family val="2"/>
          </rPr>
          <t>White, Amy (UTC):</t>
        </r>
        <r>
          <rPr>
            <sz val="9"/>
            <color indexed="81"/>
            <rFont val="Tahoma"/>
            <family val="2"/>
          </rPr>
          <t xml:space="preserve">
DR sent
Company response in DR 68:
"The total of $5,000,000 in cell D9 was an estimated amount for 2017.  Actual and revised estimated amounts for the remaining 2017 MAOP validation are listed below."
See table below. 
</t>
        </r>
      </text>
    </comment>
  </commentList>
</comments>
</file>

<file path=xl/comments6.xml><?xml version="1.0" encoding="utf-8"?>
<comments xmlns="http://schemas.openxmlformats.org/spreadsheetml/2006/main">
  <authors>
    <author>Hillstead, Kristen (UTC)</author>
  </authors>
  <commentList>
    <comment ref="D20" authorId="0" shapeId="0">
      <text>
        <r>
          <rPr>
            <sz val="9"/>
            <color indexed="81"/>
            <rFont val="Tahoma"/>
            <family val="2"/>
          </rPr>
          <t xml:space="preserve">
</t>
        </r>
      </text>
    </comment>
  </commentList>
</comments>
</file>

<file path=xl/comments7.xml><?xml version="1.0" encoding="utf-8"?>
<comments xmlns="http://schemas.openxmlformats.org/spreadsheetml/2006/main">
  <authors>
    <author xml:space="preserve">Roeun Lim </author>
    <author>Jennifer Lopez</author>
  </authors>
  <commentList>
    <comment ref="F32" authorId="0" shapeId="0">
      <text>
        <r>
          <rPr>
            <b/>
            <sz val="8"/>
            <color indexed="81"/>
            <rFont val="Tahoma"/>
            <family val="2"/>
          </rPr>
          <t>Roeun Lim :</t>
        </r>
        <r>
          <rPr>
            <sz val="8"/>
            <color indexed="81"/>
            <rFont val="Tahoma"/>
            <family val="2"/>
          </rPr>
          <t xml:space="preserve">
'Misc assets' on BS
</t>
        </r>
      </text>
    </comment>
    <comment ref="G32" authorId="0" shapeId="0">
      <text>
        <r>
          <rPr>
            <b/>
            <sz val="8"/>
            <color indexed="81"/>
            <rFont val="Tahoma"/>
            <family val="2"/>
          </rPr>
          <t>Roeun Lim :</t>
        </r>
        <r>
          <rPr>
            <sz val="8"/>
            <color indexed="81"/>
            <rFont val="Tahoma"/>
            <family val="2"/>
          </rPr>
          <t xml:space="preserve">
'Misc assets' on BS
</t>
        </r>
      </text>
    </comment>
    <comment ref="H32" authorId="0" shapeId="0">
      <text>
        <r>
          <rPr>
            <b/>
            <sz val="8"/>
            <color indexed="81"/>
            <rFont val="Tahoma"/>
            <family val="2"/>
          </rPr>
          <t>Roeun Lim :</t>
        </r>
        <r>
          <rPr>
            <sz val="8"/>
            <color indexed="81"/>
            <rFont val="Tahoma"/>
            <family val="2"/>
          </rPr>
          <t xml:space="preserve">
'Misc assets' on BS
</t>
        </r>
      </text>
    </comment>
    <comment ref="I32" authorId="0" shapeId="0">
      <text>
        <r>
          <rPr>
            <b/>
            <sz val="8"/>
            <color indexed="81"/>
            <rFont val="Tahoma"/>
            <family val="2"/>
          </rPr>
          <t>Roeun Lim :</t>
        </r>
        <r>
          <rPr>
            <sz val="8"/>
            <color indexed="81"/>
            <rFont val="Tahoma"/>
            <family val="2"/>
          </rPr>
          <t xml:space="preserve">
'Misc assets' on BS
</t>
        </r>
      </text>
    </comment>
    <comment ref="J32" authorId="0" shapeId="0">
      <text>
        <r>
          <rPr>
            <b/>
            <sz val="8"/>
            <color indexed="81"/>
            <rFont val="Tahoma"/>
            <family val="2"/>
          </rPr>
          <t>Roeun Lim :</t>
        </r>
        <r>
          <rPr>
            <sz val="8"/>
            <color indexed="81"/>
            <rFont val="Tahoma"/>
            <family val="2"/>
          </rPr>
          <t xml:space="preserve">
'Misc assets' on BS
</t>
        </r>
      </text>
    </comment>
    <comment ref="K32" authorId="0" shapeId="0">
      <text>
        <r>
          <rPr>
            <b/>
            <sz val="8"/>
            <color indexed="81"/>
            <rFont val="Tahoma"/>
            <family val="2"/>
          </rPr>
          <t>Roeun Lim :</t>
        </r>
        <r>
          <rPr>
            <sz val="8"/>
            <color indexed="81"/>
            <rFont val="Tahoma"/>
            <family val="2"/>
          </rPr>
          <t xml:space="preserve">
'Misc assets' on BS
</t>
        </r>
      </text>
    </comment>
    <comment ref="L32" authorId="0" shapeId="0">
      <text>
        <r>
          <rPr>
            <b/>
            <sz val="8"/>
            <color indexed="81"/>
            <rFont val="Tahoma"/>
            <family val="2"/>
          </rPr>
          <t>Roeun Lim :</t>
        </r>
        <r>
          <rPr>
            <sz val="8"/>
            <color indexed="81"/>
            <rFont val="Tahoma"/>
            <family val="2"/>
          </rPr>
          <t xml:space="preserve">
'Misc assets' on BS
</t>
        </r>
      </text>
    </comment>
    <comment ref="M32" authorId="0" shapeId="0">
      <text>
        <r>
          <rPr>
            <b/>
            <sz val="8"/>
            <color indexed="81"/>
            <rFont val="Tahoma"/>
            <family val="2"/>
          </rPr>
          <t>Roeun Lim :</t>
        </r>
        <r>
          <rPr>
            <sz val="8"/>
            <color indexed="81"/>
            <rFont val="Tahoma"/>
            <family val="2"/>
          </rPr>
          <t xml:space="preserve">
'Misc assets' on BS
</t>
        </r>
      </text>
    </comment>
    <comment ref="N32" authorId="0" shapeId="0">
      <text>
        <r>
          <rPr>
            <b/>
            <sz val="8"/>
            <color indexed="81"/>
            <rFont val="Tahoma"/>
            <family val="2"/>
          </rPr>
          <t>Roeun Lim :</t>
        </r>
        <r>
          <rPr>
            <sz val="8"/>
            <color indexed="81"/>
            <rFont val="Tahoma"/>
            <family val="2"/>
          </rPr>
          <t xml:space="preserve">
'Misc assets' on BS
</t>
        </r>
      </text>
    </comment>
    <comment ref="O32" authorId="0" shapeId="0">
      <text>
        <r>
          <rPr>
            <b/>
            <sz val="8"/>
            <color indexed="81"/>
            <rFont val="Tahoma"/>
            <family val="2"/>
          </rPr>
          <t>Roeun Lim :</t>
        </r>
        <r>
          <rPr>
            <sz val="8"/>
            <color indexed="81"/>
            <rFont val="Tahoma"/>
            <family val="2"/>
          </rPr>
          <t xml:space="preserve">
'Misc assets' on BS
</t>
        </r>
      </text>
    </comment>
    <comment ref="P32" authorId="0" shapeId="0">
      <text>
        <r>
          <rPr>
            <b/>
            <sz val="8"/>
            <color indexed="81"/>
            <rFont val="Tahoma"/>
            <family val="2"/>
          </rPr>
          <t>Roeun Lim :</t>
        </r>
        <r>
          <rPr>
            <sz val="8"/>
            <color indexed="81"/>
            <rFont val="Tahoma"/>
            <family val="2"/>
          </rPr>
          <t xml:space="preserve">
'Misc assets' on BS
</t>
        </r>
      </text>
    </comment>
    <comment ref="Q32" authorId="0" shapeId="0">
      <text>
        <r>
          <rPr>
            <b/>
            <sz val="8"/>
            <color indexed="81"/>
            <rFont val="Tahoma"/>
            <family val="2"/>
          </rPr>
          <t>Roeun Lim :</t>
        </r>
        <r>
          <rPr>
            <sz val="8"/>
            <color indexed="81"/>
            <rFont val="Tahoma"/>
            <family val="2"/>
          </rPr>
          <t xml:space="preserve">
'Misc assets' on BS
</t>
        </r>
      </text>
    </comment>
    <comment ref="R32" authorId="0" shapeId="0">
      <text>
        <r>
          <rPr>
            <b/>
            <sz val="8"/>
            <color indexed="81"/>
            <rFont val="Tahoma"/>
            <family val="2"/>
          </rPr>
          <t>Roeun Lim :</t>
        </r>
        <r>
          <rPr>
            <sz val="8"/>
            <color indexed="81"/>
            <rFont val="Tahoma"/>
            <family val="2"/>
          </rPr>
          <t xml:space="preserve">
'Misc assets' on BS
</t>
        </r>
      </text>
    </comment>
    <comment ref="D71" authorId="1" shapeId="0">
      <text>
        <r>
          <rPr>
            <b/>
            <sz val="8"/>
            <color indexed="81"/>
            <rFont val="Tahoma"/>
            <family val="2"/>
          </rPr>
          <t>Jennifer Lopez:</t>
        </r>
        <r>
          <rPr>
            <sz val="8"/>
            <color indexed="81"/>
            <rFont val="Tahoma"/>
            <family val="2"/>
          </rPr>
          <t xml:space="preserve">
added 05/09</t>
        </r>
      </text>
    </comment>
    <comment ref="F92" authorId="0" shapeId="0">
      <text>
        <r>
          <rPr>
            <b/>
            <sz val="8"/>
            <color indexed="81"/>
            <rFont val="Tahoma"/>
            <family val="2"/>
          </rPr>
          <t>Roeun Lim :</t>
        </r>
        <r>
          <rPr>
            <sz val="8"/>
            <color indexed="81"/>
            <rFont val="Tahoma"/>
            <family val="2"/>
          </rPr>
          <t xml:space="preserve">
Prepayments and other current assets on BS</t>
        </r>
      </text>
    </comment>
    <comment ref="G92" authorId="0" shapeId="0">
      <text>
        <r>
          <rPr>
            <b/>
            <sz val="8"/>
            <color indexed="81"/>
            <rFont val="Tahoma"/>
            <family val="2"/>
          </rPr>
          <t>Roeun Lim :</t>
        </r>
        <r>
          <rPr>
            <sz val="8"/>
            <color indexed="81"/>
            <rFont val="Tahoma"/>
            <family val="2"/>
          </rPr>
          <t xml:space="preserve">
Prepayments and other current assets on BS</t>
        </r>
      </text>
    </comment>
    <comment ref="H92" authorId="0" shapeId="0">
      <text>
        <r>
          <rPr>
            <b/>
            <sz val="8"/>
            <color indexed="81"/>
            <rFont val="Tahoma"/>
            <family val="2"/>
          </rPr>
          <t>Roeun Lim :</t>
        </r>
        <r>
          <rPr>
            <sz val="8"/>
            <color indexed="81"/>
            <rFont val="Tahoma"/>
            <family val="2"/>
          </rPr>
          <t xml:space="preserve">
Prepayments and other current assets on BS</t>
        </r>
      </text>
    </comment>
    <comment ref="I92" authorId="0" shapeId="0">
      <text>
        <r>
          <rPr>
            <b/>
            <sz val="8"/>
            <color indexed="81"/>
            <rFont val="Tahoma"/>
            <family val="2"/>
          </rPr>
          <t>Roeun Lim :</t>
        </r>
        <r>
          <rPr>
            <sz val="8"/>
            <color indexed="81"/>
            <rFont val="Tahoma"/>
            <family val="2"/>
          </rPr>
          <t xml:space="preserve">
Prepayments and other current assets on BS</t>
        </r>
      </text>
    </comment>
    <comment ref="J92" authorId="0" shapeId="0">
      <text>
        <r>
          <rPr>
            <b/>
            <sz val="8"/>
            <color indexed="81"/>
            <rFont val="Tahoma"/>
            <family val="2"/>
          </rPr>
          <t>Roeun Lim :</t>
        </r>
        <r>
          <rPr>
            <sz val="8"/>
            <color indexed="81"/>
            <rFont val="Tahoma"/>
            <family val="2"/>
          </rPr>
          <t xml:space="preserve">
Prepayments and other current assets on BS</t>
        </r>
      </text>
    </comment>
    <comment ref="K92" authorId="0" shapeId="0">
      <text>
        <r>
          <rPr>
            <b/>
            <sz val="8"/>
            <color indexed="81"/>
            <rFont val="Tahoma"/>
            <family val="2"/>
          </rPr>
          <t>Roeun Lim :</t>
        </r>
        <r>
          <rPr>
            <sz val="8"/>
            <color indexed="81"/>
            <rFont val="Tahoma"/>
            <family val="2"/>
          </rPr>
          <t xml:space="preserve">
Prepayments and other current assets on BS</t>
        </r>
      </text>
    </comment>
    <comment ref="L92" authorId="0" shapeId="0">
      <text>
        <r>
          <rPr>
            <b/>
            <sz val="8"/>
            <color indexed="81"/>
            <rFont val="Tahoma"/>
            <family val="2"/>
          </rPr>
          <t>Roeun Lim :</t>
        </r>
        <r>
          <rPr>
            <sz val="8"/>
            <color indexed="81"/>
            <rFont val="Tahoma"/>
            <family val="2"/>
          </rPr>
          <t xml:space="preserve">
Prepayments and other current assets on BS</t>
        </r>
      </text>
    </comment>
    <comment ref="M92" authorId="0" shapeId="0">
      <text>
        <r>
          <rPr>
            <b/>
            <sz val="8"/>
            <color indexed="81"/>
            <rFont val="Tahoma"/>
            <family val="2"/>
          </rPr>
          <t>Roeun Lim :</t>
        </r>
        <r>
          <rPr>
            <sz val="8"/>
            <color indexed="81"/>
            <rFont val="Tahoma"/>
            <family val="2"/>
          </rPr>
          <t xml:space="preserve">
Prepayments and other current assets on BS</t>
        </r>
      </text>
    </comment>
    <comment ref="N92" authorId="0" shapeId="0">
      <text>
        <r>
          <rPr>
            <b/>
            <sz val="8"/>
            <color indexed="81"/>
            <rFont val="Tahoma"/>
            <family val="2"/>
          </rPr>
          <t>Roeun Lim :</t>
        </r>
        <r>
          <rPr>
            <sz val="8"/>
            <color indexed="81"/>
            <rFont val="Tahoma"/>
            <family val="2"/>
          </rPr>
          <t xml:space="preserve">
Prepayments and other current assets on BS</t>
        </r>
      </text>
    </comment>
    <comment ref="O92" authorId="0" shapeId="0">
      <text>
        <r>
          <rPr>
            <b/>
            <sz val="8"/>
            <color indexed="81"/>
            <rFont val="Tahoma"/>
            <family val="2"/>
          </rPr>
          <t>Roeun Lim :</t>
        </r>
        <r>
          <rPr>
            <sz val="8"/>
            <color indexed="81"/>
            <rFont val="Tahoma"/>
            <family val="2"/>
          </rPr>
          <t xml:space="preserve">
Prepayments and other current assets on BS</t>
        </r>
      </text>
    </comment>
    <comment ref="P92" authorId="0" shapeId="0">
      <text>
        <r>
          <rPr>
            <b/>
            <sz val="8"/>
            <color indexed="81"/>
            <rFont val="Tahoma"/>
            <family val="2"/>
          </rPr>
          <t>Roeun Lim :</t>
        </r>
        <r>
          <rPr>
            <sz val="8"/>
            <color indexed="81"/>
            <rFont val="Tahoma"/>
            <family val="2"/>
          </rPr>
          <t xml:space="preserve">
Prepayments and other current assets on BS</t>
        </r>
      </text>
    </comment>
    <comment ref="Q92" authorId="0" shapeId="0">
      <text>
        <r>
          <rPr>
            <b/>
            <sz val="8"/>
            <color indexed="81"/>
            <rFont val="Tahoma"/>
            <family val="2"/>
          </rPr>
          <t>Roeun Lim :</t>
        </r>
        <r>
          <rPr>
            <sz val="8"/>
            <color indexed="81"/>
            <rFont val="Tahoma"/>
            <family val="2"/>
          </rPr>
          <t xml:space="preserve">
Prepayments and other current assets on BS</t>
        </r>
      </text>
    </comment>
    <comment ref="R92" authorId="0" shapeId="0">
      <text>
        <r>
          <rPr>
            <b/>
            <sz val="8"/>
            <color indexed="81"/>
            <rFont val="Tahoma"/>
            <family val="2"/>
          </rPr>
          <t>Roeun Lim :</t>
        </r>
        <r>
          <rPr>
            <sz val="8"/>
            <color indexed="81"/>
            <rFont val="Tahoma"/>
            <family val="2"/>
          </rPr>
          <t xml:space="preserve">
Prepayments and other current assets on BS</t>
        </r>
      </text>
    </comment>
    <comment ref="F198" authorId="0" shapeId="0">
      <text>
        <r>
          <rPr>
            <b/>
            <sz val="8"/>
            <color indexed="81"/>
            <rFont val="Tahoma"/>
            <family val="2"/>
          </rPr>
          <t>Roeun Lim :</t>
        </r>
        <r>
          <rPr>
            <sz val="8"/>
            <color indexed="81"/>
            <rFont val="Tahoma"/>
            <family val="2"/>
          </rPr>
          <t xml:space="preserve">
"Other paid in capita"l on BS</t>
        </r>
      </text>
    </comment>
    <comment ref="D258" authorId="1" shapeId="0">
      <text>
        <r>
          <rPr>
            <b/>
            <sz val="8"/>
            <color indexed="81"/>
            <rFont val="Tahoma"/>
            <family val="2"/>
          </rPr>
          <t>Jennifer Lopez:</t>
        </r>
        <r>
          <rPr>
            <sz val="8"/>
            <color indexed="81"/>
            <rFont val="Tahoma"/>
            <family val="2"/>
          </rPr>
          <t xml:space="preserve">
added 05/09</t>
        </r>
      </text>
    </comment>
    <comment ref="K261" authorId="0" shapeId="0">
      <text>
        <r>
          <rPr>
            <b/>
            <sz val="8"/>
            <color indexed="81"/>
            <rFont val="Tahoma"/>
            <family val="2"/>
          </rPr>
          <t>Roeun Lim :</t>
        </r>
        <r>
          <rPr>
            <sz val="8"/>
            <color indexed="81"/>
            <rFont val="Tahoma"/>
            <family val="2"/>
          </rPr>
          <t xml:space="preserve">
"Dividends declared" on BS</t>
        </r>
      </text>
    </comment>
    <comment ref="L261" authorId="0" shapeId="0">
      <text>
        <r>
          <rPr>
            <b/>
            <sz val="8"/>
            <color indexed="81"/>
            <rFont val="Tahoma"/>
            <family val="2"/>
          </rPr>
          <t>Roeun Lim :</t>
        </r>
        <r>
          <rPr>
            <sz val="8"/>
            <color indexed="81"/>
            <rFont val="Tahoma"/>
            <family val="2"/>
          </rPr>
          <t xml:space="preserve">
"Dividends declared" on BS</t>
        </r>
      </text>
    </comment>
    <comment ref="M261" authorId="0" shapeId="0">
      <text>
        <r>
          <rPr>
            <b/>
            <sz val="8"/>
            <color indexed="81"/>
            <rFont val="Tahoma"/>
            <family val="2"/>
          </rPr>
          <t>Roeun Lim :</t>
        </r>
        <r>
          <rPr>
            <sz val="8"/>
            <color indexed="81"/>
            <rFont val="Tahoma"/>
            <family val="2"/>
          </rPr>
          <t xml:space="preserve">
"Dividends declared" on BS</t>
        </r>
      </text>
    </comment>
    <comment ref="N261" authorId="0" shapeId="0">
      <text>
        <r>
          <rPr>
            <b/>
            <sz val="8"/>
            <color indexed="81"/>
            <rFont val="Tahoma"/>
            <family val="2"/>
          </rPr>
          <t>Roeun Lim :</t>
        </r>
        <r>
          <rPr>
            <sz val="8"/>
            <color indexed="81"/>
            <rFont val="Tahoma"/>
            <family val="2"/>
          </rPr>
          <t xml:space="preserve">
"Dividends declared" on BS</t>
        </r>
      </text>
    </comment>
    <comment ref="O261" authorId="0" shapeId="0">
      <text>
        <r>
          <rPr>
            <b/>
            <sz val="8"/>
            <color indexed="81"/>
            <rFont val="Tahoma"/>
            <family val="2"/>
          </rPr>
          <t>Roeun Lim :</t>
        </r>
        <r>
          <rPr>
            <sz val="8"/>
            <color indexed="81"/>
            <rFont val="Tahoma"/>
            <family val="2"/>
          </rPr>
          <t xml:space="preserve">
"Dividends declared" on BS</t>
        </r>
      </text>
    </comment>
    <comment ref="P261" authorId="0" shapeId="0">
      <text>
        <r>
          <rPr>
            <b/>
            <sz val="8"/>
            <color indexed="81"/>
            <rFont val="Tahoma"/>
            <family val="2"/>
          </rPr>
          <t>Roeun Lim :</t>
        </r>
        <r>
          <rPr>
            <sz val="8"/>
            <color indexed="81"/>
            <rFont val="Tahoma"/>
            <family val="2"/>
          </rPr>
          <t xml:space="preserve">
"Dividends declared" on BS</t>
        </r>
      </text>
    </comment>
    <comment ref="Q261" authorId="0" shapeId="0">
      <text>
        <r>
          <rPr>
            <b/>
            <sz val="8"/>
            <color indexed="81"/>
            <rFont val="Tahoma"/>
            <family val="2"/>
          </rPr>
          <t>Roeun Lim :</t>
        </r>
        <r>
          <rPr>
            <sz val="8"/>
            <color indexed="81"/>
            <rFont val="Tahoma"/>
            <family val="2"/>
          </rPr>
          <t xml:space="preserve">
"Dividends declared" on BS</t>
        </r>
      </text>
    </comment>
    <comment ref="R261" authorId="0" shapeId="0">
      <text>
        <r>
          <rPr>
            <b/>
            <sz val="8"/>
            <color indexed="81"/>
            <rFont val="Tahoma"/>
            <family val="2"/>
          </rPr>
          <t>Roeun Lim :</t>
        </r>
        <r>
          <rPr>
            <sz val="8"/>
            <color indexed="81"/>
            <rFont val="Tahoma"/>
            <family val="2"/>
          </rPr>
          <t xml:space="preserve">
"Dividends declared" on BS</t>
        </r>
      </text>
    </comment>
    <comment ref="J262" authorId="0" shapeId="0">
      <text>
        <r>
          <rPr>
            <b/>
            <sz val="8"/>
            <color indexed="81"/>
            <rFont val="Tahoma"/>
            <family val="2"/>
          </rPr>
          <t>Roeun Lim :</t>
        </r>
        <r>
          <rPr>
            <sz val="8"/>
            <color indexed="81"/>
            <rFont val="Tahoma"/>
            <family val="2"/>
          </rPr>
          <t xml:space="preserve">
"Dividends declared" on BS</t>
        </r>
      </text>
    </comment>
    <comment ref="K262" authorId="0" shapeId="0">
      <text>
        <r>
          <rPr>
            <b/>
            <sz val="8"/>
            <color indexed="81"/>
            <rFont val="Tahoma"/>
            <family val="2"/>
          </rPr>
          <t>Roeun Lim :</t>
        </r>
        <r>
          <rPr>
            <sz val="8"/>
            <color indexed="81"/>
            <rFont val="Tahoma"/>
            <family val="2"/>
          </rPr>
          <t xml:space="preserve">
"Consumer Deposit" on BS</t>
        </r>
      </text>
    </comment>
    <comment ref="L262" authorId="0" shapeId="0">
      <text>
        <r>
          <rPr>
            <b/>
            <sz val="8"/>
            <color indexed="81"/>
            <rFont val="Tahoma"/>
            <family val="2"/>
          </rPr>
          <t>Roeun Lim :</t>
        </r>
        <r>
          <rPr>
            <sz val="8"/>
            <color indexed="81"/>
            <rFont val="Tahoma"/>
            <family val="2"/>
          </rPr>
          <t xml:space="preserve">
"Consumer Deposit" on BS</t>
        </r>
      </text>
    </comment>
    <comment ref="M262" authorId="0" shapeId="0">
      <text>
        <r>
          <rPr>
            <b/>
            <sz val="8"/>
            <color indexed="81"/>
            <rFont val="Tahoma"/>
            <family val="2"/>
          </rPr>
          <t>Roeun Lim :</t>
        </r>
        <r>
          <rPr>
            <sz val="8"/>
            <color indexed="81"/>
            <rFont val="Tahoma"/>
            <family val="2"/>
          </rPr>
          <t xml:space="preserve">
"Consumer Deposit" on BS</t>
        </r>
      </text>
    </comment>
    <comment ref="N262" authorId="0" shapeId="0">
      <text>
        <r>
          <rPr>
            <b/>
            <sz val="8"/>
            <color indexed="81"/>
            <rFont val="Tahoma"/>
            <family val="2"/>
          </rPr>
          <t>Roeun Lim :</t>
        </r>
        <r>
          <rPr>
            <sz val="8"/>
            <color indexed="81"/>
            <rFont val="Tahoma"/>
            <family val="2"/>
          </rPr>
          <t xml:space="preserve">
"Consumer Deposit" on BS</t>
        </r>
      </text>
    </comment>
    <comment ref="O262" authorId="0" shapeId="0">
      <text>
        <r>
          <rPr>
            <b/>
            <sz val="8"/>
            <color indexed="81"/>
            <rFont val="Tahoma"/>
            <family val="2"/>
          </rPr>
          <t>Roeun Lim :</t>
        </r>
        <r>
          <rPr>
            <sz val="8"/>
            <color indexed="81"/>
            <rFont val="Tahoma"/>
            <family val="2"/>
          </rPr>
          <t xml:space="preserve">
"Consumer Deposit" on BS</t>
        </r>
      </text>
    </comment>
    <comment ref="P262" authorId="0" shapeId="0">
      <text>
        <r>
          <rPr>
            <b/>
            <sz val="8"/>
            <color indexed="81"/>
            <rFont val="Tahoma"/>
            <family val="2"/>
          </rPr>
          <t>Roeun Lim :</t>
        </r>
        <r>
          <rPr>
            <sz val="8"/>
            <color indexed="81"/>
            <rFont val="Tahoma"/>
            <family val="2"/>
          </rPr>
          <t xml:space="preserve">
"Consumer Deposit" on BS</t>
        </r>
      </text>
    </comment>
    <comment ref="Q262" authorId="0" shapeId="0">
      <text>
        <r>
          <rPr>
            <b/>
            <sz val="8"/>
            <color indexed="81"/>
            <rFont val="Tahoma"/>
            <family val="2"/>
          </rPr>
          <t>Roeun Lim :</t>
        </r>
        <r>
          <rPr>
            <sz val="8"/>
            <color indexed="81"/>
            <rFont val="Tahoma"/>
            <family val="2"/>
          </rPr>
          <t xml:space="preserve">
"Consumer Deposit" on BS</t>
        </r>
      </text>
    </comment>
    <comment ref="R262" authorId="0" shapeId="0">
      <text>
        <r>
          <rPr>
            <b/>
            <sz val="8"/>
            <color indexed="81"/>
            <rFont val="Tahoma"/>
            <family val="2"/>
          </rPr>
          <t>Roeun Lim :</t>
        </r>
        <r>
          <rPr>
            <sz val="8"/>
            <color indexed="81"/>
            <rFont val="Tahoma"/>
            <family val="2"/>
          </rPr>
          <t xml:space="preserve">
"Consumer Deposit" on BS</t>
        </r>
      </text>
    </comment>
    <comment ref="G263" authorId="0" shapeId="0">
      <text>
        <r>
          <rPr>
            <b/>
            <sz val="8"/>
            <color indexed="81"/>
            <rFont val="Tahoma"/>
            <family val="2"/>
          </rPr>
          <t>Roeun Lim :</t>
        </r>
        <r>
          <rPr>
            <sz val="8"/>
            <color indexed="81"/>
            <rFont val="Tahoma"/>
            <family val="2"/>
          </rPr>
          <t xml:space="preserve">
"Dividends declared" on BS</t>
        </r>
      </text>
    </comment>
    <comment ref="H263" authorId="0" shapeId="0">
      <text>
        <r>
          <rPr>
            <b/>
            <sz val="8"/>
            <color indexed="81"/>
            <rFont val="Tahoma"/>
            <family val="2"/>
          </rPr>
          <t>Roeun Lim :</t>
        </r>
        <r>
          <rPr>
            <sz val="8"/>
            <color indexed="81"/>
            <rFont val="Tahoma"/>
            <family val="2"/>
          </rPr>
          <t xml:space="preserve">
"Dividends declared" on BS</t>
        </r>
      </text>
    </comment>
    <comment ref="I263" authorId="0" shapeId="0">
      <text>
        <r>
          <rPr>
            <b/>
            <sz val="8"/>
            <color indexed="81"/>
            <rFont val="Tahoma"/>
            <family val="2"/>
          </rPr>
          <t>Roeun Lim :</t>
        </r>
        <r>
          <rPr>
            <sz val="8"/>
            <color indexed="81"/>
            <rFont val="Tahoma"/>
            <family val="2"/>
          </rPr>
          <t xml:space="preserve">
"Dividends declared" on BS</t>
        </r>
      </text>
    </comment>
    <comment ref="J263" authorId="0" shapeId="0">
      <text>
        <r>
          <rPr>
            <b/>
            <sz val="8"/>
            <color indexed="81"/>
            <rFont val="Tahoma"/>
            <family val="2"/>
          </rPr>
          <t>Roeun Lim :</t>
        </r>
        <r>
          <rPr>
            <sz val="8"/>
            <color indexed="81"/>
            <rFont val="Tahoma"/>
            <family val="2"/>
          </rPr>
          <t xml:space="preserve">
"Consumer Deposit" on BS</t>
        </r>
      </text>
    </comment>
    <comment ref="F265" authorId="0" shapeId="0">
      <text>
        <r>
          <rPr>
            <b/>
            <sz val="8"/>
            <color indexed="81"/>
            <rFont val="Tahoma"/>
            <family val="2"/>
          </rPr>
          <t>Roeun Lim :</t>
        </r>
        <r>
          <rPr>
            <sz val="8"/>
            <color indexed="81"/>
            <rFont val="Tahoma"/>
            <family val="2"/>
          </rPr>
          <t xml:space="preserve">
"Dividends declared" on BS</t>
        </r>
      </text>
    </comment>
    <comment ref="F266" authorId="0" shapeId="0">
      <text>
        <r>
          <rPr>
            <b/>
            <sz val="8"/>
            <color indexed="81"/>
            <rFont val="Tahoma"/>
            <family val="2"/>
          </rPr>
          <t>Roeun Lim :</t>
        </r>
        <r>
          <rPr>
            <sz val="8"/>
            <color indexed="81"/>
            <rFont val="Tahoma"/>
            <family val="2"/>
          </rPr>
          <t xml:space="preserve">
"Consumer Deposit" on BS</t>
        </r>
      </text>
    </comment>
    <comment ref="G266" authorId="0" shapeId="0">
      <text>
        <r>
          <rPr>
            <b/>
            <sz val="8"/>
            <color indexed="81"/>
            <rFont val="Tahoma"/>
            <family val="2"/>
          </rPr>
          <t>Roeun Lim :</t>
        </r>
        <r>
          <rPr>
            <sz val="8"/>
            <color indexed="81"/>
            <rFont val="Tahoma"/>
            <family val="2"/>
          </rPr>
          <t xml:space="preserve">
"Consumer Deposit" on BS</t>
        </r>
      </text>
    </comment>
    <comment ref="H266" authorId="0" shapeId="0">
      <text>
        <r>
          <rPr>
            <b/>
            <sz val="8"/>
            <color indexed="81"/>
            <rFont val="Tahoma"/>
            <family val="2"/>
          </rPr>
          <t>Roeun Lim :</t>
        </r>
        <r>
          <rPr>
            <sz val="8"/>
            <color indexed="81"/>
            <rFont val="Tahoma"/>
            <family val="2"/>
          </rPr>
          <t xml:space="preserve">
"Consumer Deposit" on BS</t>
        </r>
      </text>
    </comment>
    <comment ref="I266" authorId="0" shapeId="0">
      <text>
        <r>
          <rPr>
            <b/>
            <sz val="8"/>
            <color indexed="81"/>
            <rFont val="Tahoma"/>
            <family val="2"/>
          </rPr>
          <t>Roeun Lim :</t>
        </r>
        <r>
          <rPr>
            <sz val="8"/>
            <color indexed="81"/>
            <rFont val="Tahoma"/>
            <family val="2"/>
          </rPr>
          <t xml:space="preserve">
"Consumer Deposit" on BS</t>
        </r>
      </text>
    </comment>
    <comment ref="J266" authorId="0" shapeId="0">
      <text>
        <r>
          <rPr>
            <b/>
            <sz val="8"/>
            <color indexed="81"/>
            <rFont val="Tahoma"/>
            <family val="2"/>
          </rPr>
          <t>Roeun Lim :</t>
        </r>
        <r>
          <rPr>
            <sz val="8"/>
            <color indexed="81"/>
            <rFont val="Tahoma"/>
            <family val="2"/>
          </rPr>
          <t xml:space="preserve">
"Consumer Deposit" on BS</t>
        </r>
      </text>
    </comment>
    <comment ref="K266" authorId="0" shapeId="0">
      <text>
        <r>
          <rPr>
            <b/>
            <sz val="8"/>
            <color indexed="81"/>
            <rFont val="Tahoma"/>
            <family val="2"/>
          </rPr>
          <t>Roeun Lim :</t>
        </r>
        <r>
          <rPr>
            <sz val="8"/>
            <color indexed="81"/>
            <rFont val="Tahoma"/>
            <family val="2"/>
          </rPr>
          <t xml:space="preserve">
"Consumer Deposit" on BS</t>
        </r>
      </text>
    </comment>
    <comment ref="L266" authorId="0" shapeId="0">
      <text>
        <r>
          <rPr>
            <b/>
            <sz val="8"/>
            <color indexed="81"/>
            <rFont val="Tahoma"/>
            <family val="2"/>
          </rPr>
          <t>Roeun Lim :</t>
        </r>
        <r>
          <rPr>
            <sz val="8"/>
            <color indexed="81"/>
            <rFont val="Tahoma"/>
            <family val="2"/>
          </rPr>
          <t xml:space="preserve">
"Consumer Deposit" on BS</t>
        </r>
      </text>
    </comment>
    <comment ref="M266" authorId="0" shapeId="0">
      <text>
        <r>
          <rPr>
            <b/>
            <sz val="8"/>
            <color indexed="81"/>
            <rFont val="Tahoma"/>
            <family val="2"/>
          </rPr>
          <t>Roeun Lim :</t>
        </r>
        <r>
          <rPr>
            <sz val="8"/>
            <color indexed="81"/>
            <rFont val="Tahoma"/>
            <family val="2"/>
          </rPr>
          <t xml:space="preserve">
"Consumer Deposit" on BS</t>
        </r>
      </text>
    </comment>
    <comment ref="N266" authorId="0" shapeId="0">
      <text>
        <r>
          <rPr>
            <b/>
            <sz val="8"/>
            <color indexed="81"/>
            <rFont val="Tahoma"/>
            <family val="2"/>
          </rPr>
          <t>Roeun Lim :</t>
        </r>
        <r>
          <rPr>
            <sz val="8"/>
            <color indexed="81"/>
            <rFont val="Tahoma"/>
            <family val="2"/>
          </rPr>
          <t xml:space="preserve">
"Consumer Deposit" on BS</t>
        </r>
      </text>
    </comment>
    <comment ref="O266" authorId="0" shapeId="0">
      <text>
        <r>
          <rPr>
            <b/>
            <sz val="8"/>
            <color indexed="81"/>
            <rFont val="Tahoma"/>
            <family val="2"/>
          </rPr>
          <t>Roeun Lim :</t>
        </r>
        <r>
          <rPr>
            <sz val="8"/>
            <color indexed="81"/>
            <rFont val="Tahoma"/>
            <family val="2"/>
          </rPr>
          <t xml:space="preserve">
"Consumer Deposit" on BS</t>
        </r>
      </text>
    </comment>
    <comment ref="P266" authorId="0" shapeId="0">
      <text>
        <r>
          <rPr>
            <b/>
            <sz val="8"/>
            <color indexed="81"/>
            <rFont val="Tahoma"/>
            <family val="2"/>
          </rPr>
          <t>Roeun Lim :</t>
        </r>
        <r>
          <rPr>
            <sz val="8"/>
            <color indexed="81"/>
            <rFont val="Tahoma"/>
            <family val="2"/>
          </rPr>
          <t xml:space="preserve">
"Consumer Deposit" on BS</t>
        </r>
      </text>
    </comment>
    <comment ref="Q266" authorId="0" shapeId="0">
      <text>
        <r>
          <rPr>
            <b/>
            <sz val="8"/>
            <color indexed="81"/>
            <rFont val="Tahoma"/>
            <family val="2"/>
          </rPr>
          <t>Roeun Lim :</t>
        </r>
        <r>
          <rPr>
            <sz val="8"/>
            <color indexed="81"/>
            <rFont val="Tahoma"/>
            <family val="2"/>
          </rPr>
          <t xml:space="preserve">
"Consumer Deposit" on BS</t>
        </r>
      </text>
    </comment>
    <comment ref="R266" authorId="0" shapeId="0">
      <text>
        <r>
          <rPr>
            <b/>
            <sz val="8"/>
            <color indexed="81"/>
            <rFont val="Tahoma"/>
            <family val="2"/>
          </rPr>
          <t>Roeun Lim :</t>
        </r>
        <r>
          <rPr>
            <sz val="8"/>
            <color indexed="81"/>
            <rFont val="Tahoma"/>
            <family val="2"/>
          </rPr>
          <t xml:space="preserve">
"Consumer Deposit" on BS</t>
        </r>
      </text>
    </comment>
    <comment ref="S266" authorId="0" shapeId="0">
      <text>
        <r>
          <rPr>
            <b/>
            <sz val="8"/>
            <color indexed="81"/>
            <rFont val="Tahoma"/>
            <family val="2"/>
          </rPr>
          <t>Roeun Lim :</t>
        </r>
        <r>
          <rPr>
            <sz val="8"/>
            <color indexed="81"/>
            <rFont val="Tahoma"/>
            <family val="2"/>
          </rPr>
          <t xml:space="preserve">
"Consumer Deposit" on BS</t>
        </r>
      </text>
    </comment>
    <comment ref="K275" authorId="0" shapeId="0">
      <text>
        <r>
          <rPr>
            <b/>
            <sz val="8"/>
            <color indexed="81"/>
            <rFont val="Tahoma"/>
            <family val="2"/>
          </rPr>
          <t>Roeun Lim :</t>
        </r>
        <r>
          <rPr>
            <sz val="8"/>
            <color indexed="81"/>
            <rFont val="Tahoma"/>
            <family val="2"/>
          </rPr>
          <t xml:space="preserve">
"Natural gas cost recoverable thru rate adjustment" on BS
</t>
        </r>
      </text>
    </comment>
    <comment ref="L275" authorId="0" shapeId="0">
      <text>
        <r>
          <rPr>
            <b/>
            <sz val="8"/>
            <color indexed="81"/>
            <rFont val="Tahoma"/>
            <family val="2"/>
          </rPr>
          <t>Roeun Lim :</t>
        </r>
        <r>
          <rPr>
            <sz val="8"/>
            <color indexed="81"/>
            <rFont val="Tahoma"/>
            <family val="2"/>
          </rPr>
          <t xml:space="preserve">
"Natural gas cost recoverable thru rate adjustment" on BS
</t>
        </r>
      </text>
    </comment>
    <comment ref="M275" authorId="0" shapeId="0">
      <text>
        <r>
          <rPr>
            <b/>
            <sz val="8"/>
            <color indexed="81"/>
            <rFont val="Tahoma"/>
            <family val="2"/>
          </rPr>
          <t>Roeun Lim :</t>
        </r>
        <r>
          <rPr>
            <sz val="8"/>
            <color indexed="81"/>
            <rFont val="Tahoma"/>
            <family val="2"/>
          </rPr>
          <t xml:space="preserve">
"Natural gas cost recoverable thru rate adjustment" on BS
</t>
        </r>
      </text>
    </comment>
    <comment ref="N275" authorId="0" shapeId="0">
      <text>
        <r>
          <rPr>
            <b/>
            <sz val="8"/>
            <color indexed="81"/>
            <rFont val="Tahoma"/>
            <family val="2"/>
          </rPr>
          <t>Roeun Lim :</t>
        </r>
        <r>
          <rPr>
            <sz val="8"/>
            <color indexed="81"/>
            <rFont val="Tahoma"/>
            <family val="2"/>
          </rPr>
          <t xml:space="preserve">
"Natural gas cost recoverable thru rate adjustment" on BS
</t>
        </r>
      </text>
    </comment>
    <comment ref="O275" authorId="0" shapeId="0">
      <text>
        <r>
          <rPr>
            <b/>
            <sz val="8"/>
            <color indexed="81"/>
            <rFont val="Tahoma"/>
            <family val="2"/>
          </rPr>
          <t>Roeun Lim :</t>
        </r>
        <r>
          <rPr>
            <sz val="8"/>
            <color indexed="81"/>
            <rFont val="Tahoma"/>
            <family val="2"/>
          </rPr>
          <t xml:space="preserve">
"Natural gas cost recoverable thru rate adjustment" on BS
</t>
        </r>
      </text>
    </comment>
    <comment ref="P275" authorId="0" shapeId="0">
      <text>
        <r>
          <rPr>
            <b/>
            <sz val="8"/>
            <color indexed="81"/>
            <rFont val="Tahoma"/>
            <family val="2"/>
          </rPr>
          <t>Roeun Lim :</t>
        </r>
        <r>
          <rPr>
            <sz val="8"/>
            <color indexed="81"/>
            <rFont val="Tahoma"/>
            <family val="2"/>
          </rPr>
          <t xml:space="preserve">
"Natural gas cost recoverable thru rate adjustment" on BS
</t>
        </r>
      </text>
    </comment>
    <comment ref="Q275" authorId="0" shapeId="0">
      <text>
        <r>
          <rPr>
            <b/>
            <sz val="8"/>
            <color indexed="81"/>
            <rFont val="Tahoma"/>
            <family val="2"/>
          </rPr>
          <t>Roeun Lim :</t>
        </r>
        <r>
          <rPr>
            <sz val="8"/>
            <color indexed="81"/>
            <rFont val="Tahoma"/>
            <family val="2"/>
          </rPr>
          <t xml:space="preserve">
"Natural gas cost recoverable thru rate adjustment" on BS
</t>
        </r>
      </text>
    </comment>
    <comment ref="R275" authorId="0" shapeId="0">
      <text>
        <r>
          <rPr>
            <b/>
            <sz val="8"/>
            <color indexed="81"/>
            <rFont val="Tahoma"/>
            <family val="2"/>
          </rPr>
          <t>Roeun Lim :</t>
        </r>
        <r>
          <rPr>
            <sz val="8"/>
            <color indexed="81"/>
            <rFont val="Tahoma"/>
            <family val="2"/>
          </rPr>
          <t xml:space="preserve">
"Natural gas cost recoverable thru rate adjustment" on BS
</t>
        </r>
      </text>
    </comment>
    <comment ref="J276" authorId="0" shapeId="0">
      <text>
        <r>
          <rPr>
            <b/>
            <sz val="8"/>
            <color indexed="81"/>
            <rFont val="Tahoma"/>
            <family val="2"/>
          </rPr>
          <t>Roeun Lim :</t>
        </r>
        <r>
          <rPr>
            <sz val="8"/>
            <color indexed="81"/>
            <rFont val="Tahoma"/>
            <family val="2"/>
          </rPr>
          <t xml:space="preserve">
"Natural gas cost recoverable thru rate adjustment" on BS
</t>
        </r>
      </text>
    </comment>
    <comment ref="G277" authorId="0" shapeId="0">
      <text>
        <r>
          <rPr>
            <b/>
            <sz val="8"/>
            <color indexed="81"/>
            <rFont val="Tahoma"/>
            <family val="2"/>
          </rPr>
          <t>Roeun Lim :</t>
        </r>
        <r>
          <rPr>
            <sz val="8"/>
            <color indexed="81"/>
            <rFont val="Tahoma"/>
            <family val="2"/>
          </rPr>
          <t xml:space="preserve">
"Natural gas cost recoverable thru rate adjustment" on BS
</t>
        </r>
      </text>
    </comment>
    <comment ref="H277" authorId="0" shapeId="0">
      <text>
        <r>
          <rPr>
            <b/>
            <sz val="8"/>
            <color indexed="81"/>
            <rFont val="Tahoma"/>
            <family val="2"/>
          </rPr>
          <t>Roeun Lim :</t>
        </r>
        <r>
          <rPr>
            <sz val="8"/>
            <color indexed="81"/>
            <rFont val="Tahoma"/>
            <family val="2"/>
          </rPr>
          <t xml:space="preserve">
"Natural gas cost recoverable thru rate adjustment" on BS
</t>
        </r>
      </text>
    </comment>
    <comment ref="I277" authorId="0" shapeId="0">
      <text>
        <r>
          <rPr>
            <b/>
            <sz val="8"/>
            <color indexed="81"/>
            <rFont val="Tahoma"/>
            <family val="2"/>
          </rPr>
          <t>Roeun Lim :</t>
        </r>
        <r>
          <rPr>
            <sz val="8"/>
            <color indexed="81"/>
            <rFont val="Tahoma"/>
            <family val="2"/>
          </rPr>
          <t xml:space="preserve">
"Natural gas cost recoverable thru rate adjustment" on BS
</t>
        </r>
      </text>
    </comment>
    <comment ref="F279" authorId="0" shapeId="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<sst xmlns="http://schemas.openxmlformats.org/spreadsheetml/2006/main" count="4345" uniqueCount="2120">
  <si>
    <t>Results Per</t>
  </si>
  <si>
    <t>Adjustments</t>
  </si>
  <si>
    <t>Adjusted</t>
  </si>
  <si>
    <t>Company</t>
  </si>
  <si>
    <t>Filing</t>
  </si>
  <si>
    <t>SUMMARY SHEET</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</si>
  <si>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</si>
  <si>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</si>
  <si>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</si>
  <si>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</si>
  <si>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</si>
  <si>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</si>
  <si>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</si>
  <si>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</si>
  <si>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</si>
  <si>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</si>
  <si>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</si>
  <si>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</si>
  <si>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</si>
  <si>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</si>
  <si>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</si>
  <si>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</si>
  <si>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</si>
  <si>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Federal Income Tax @ 35%</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</si>
  <si>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</si>
  <si>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</si>
  <si>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</si>
  <si>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</si>
  <si>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</si>
  <si>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</si>
  <si>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</si>
  <si>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</si>
  <si>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</si>
  <si>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</si>
  <si>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</si>
  <si>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</si>
  <si>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</si>
  <si>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</si>
  <si>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</si>
  <si>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</si>
  <si>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</si>
  <si>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</si>
  <si>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</si>
  <si>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</si>
  <si>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</si>
  <si>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</si>
  <si>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</si>
  <si>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</si>
  <si>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</si>
  <si>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</si>
  <si>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</si>
  <si>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</si>
  <si>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</si>
  <si>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</si>
  <si>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</si>
  <si>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</si>
  <si>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</si>
  <si>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</si>
  <si>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</si>
  <si>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</si>
  <si>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</si>
  <si>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</si>
  <si>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</si>
  <si>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</si>
  <si>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</si>
  <si>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</si>
  <si>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</si>
  <si>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</si>
  <si>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</si>
  <si>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</si>
  <si>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</si>
  <si>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</si>
  <si>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</si>
  <si>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</si>
  <si>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</si>
  <si>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</si>
  <si>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</si>
  <si>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</si>
  <si>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</si>
  <si>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</si>
  <si>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</si>
  <si>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</si>
  <si>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</si>
  <si>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</si>
  <si>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</si>
  <si>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</si>
  <si>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</si>
  <si>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</si>
  <si>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</si>
  <si>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</si>
  <si>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</si>
  <si>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</si>
  <si>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</si>
  <si>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</si>
  <si>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</si>
  <si>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</si>
  <si>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</si>
  <si>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</si>
  <si>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</si>
  <si>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</si>
  <si>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</si>
  <si>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</si>
  <si>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</si>
  <si>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</si>
  <si>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</si>
  <si>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</si>
  <si>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</si>
  <si>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</si>
  <si>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</si>
  <si>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</si>
  <si>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</si>
  <si>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</si>
  <si>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</si>
  <si>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</si>
  <si>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</si>
  <si>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</si>
  <si>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</si>
  <si>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</si>
  <si>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</si>
  <si>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</si>
  <si>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</si>
  <si>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</si>
  <si>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</si>
  <si>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</si>
  <si>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</si>
  <si>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</si>
  <si>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</si>
  <si>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</si>
  <si>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</si>
  <si>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</si>
  <si>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</si>
  <si>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</si>
  <si>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</si>
  <si>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</si>
  <si>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</si>
  <si>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</si>
  <si>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</si>
  <si>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</si>
  <si>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</si>
  <si>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</si>
  <si>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</si>
  <si>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</si>
  <si>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</si>
  <si>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</si>
  <si>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</si>
  <si>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</si>
  <si>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</si>
  <si>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</si>
  <si>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</si>
  <si>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</si>
  <si>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</si>
  <si>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</si>
  <si>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</si>
  <si>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</si>
  <si>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</si>
  <si>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</si>
  <si>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</si>
  <si>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</si>
  <si>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</si>
  <si>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</si>
  <si>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</si>
  <si>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</si>
  <si>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</si>
  <si>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</si>
  <si>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</si>
  <si>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</si>
  <si>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</si>
  <si>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</si>
  <si>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</si>
  <si>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</si>
  <si>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</si>
  <si>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</si>
  <si>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</si>
  <si>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</si>
  <si>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</si>
  <si>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</si>
  <si>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</si>
  <si>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</si>
  <si>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</si>
  <si>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</si>
  <si>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</si>
  <si>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</si>
  <si>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</si>
  <si>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</si>
  <si>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</si>
  <si>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</si>
  <si>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</si>
  <si>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</si>
  <si>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</si>
  <si>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</si>
  <si>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</si>
  <si>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</si>
  <si>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</si>
  <si>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</si>
  <si>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</si>
  <si>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</si>
  <si>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</si>
  <si>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</si>
  <si>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</si>
  <si>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</si>
  <si>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</si>
  <si>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</si>
  <si>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</si>
  <si>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</si>
  <si>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</si>
  <si>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</si>
  <si>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</si>
  <si>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</si>
  <si>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</si>
  <si>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</si>
  <si>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</si>
  <si>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</si>
  <si>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</si>
  <si>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</si>
  <si>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</si>
  <si>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</si>
  <si>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</si>
  <si>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</si>
  <si>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</si>
  <si>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</si>
  <si>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</si>
  <si>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</si>
  <si>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</si>
  <si>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</si>
  <si>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</si>
  <si>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</si>
  <si>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</si>
  <si>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</si>
  <si>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</si>
  <si>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</si>
  <si>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</si>
  <si>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</si>
  <si>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</si>
  <si>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</si>
  <si>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</si>
  <si>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</si>
  <si>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</si>
  <si>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</si>
  <si>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</si>
  <si>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</si>
  <si>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</si>
  <si>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</si>
  <si>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</si>
  <si>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</si>
  <si>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</si>
  <si>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</si>
  <si>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</si>
  <si>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</si>
  <si>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</si>
  <si>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</si>
  <si>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</si>
  <si>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</si>
  <si>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</si>
  <si>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</si>
  <si>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</si>
  <si>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</si>
  <si>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</si>
  <si>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</si>
  <si>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</si>
  <si>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</si>
  <si>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</si>
  <si>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</si>
  <si>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</si>
  <si>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</si>
  <si>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</si>
  <si>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</si>
  <si>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</si>
  <si>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</si>
  <si>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</si>
  <si>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</si>
  <si>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</si>
  <si>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</si>
  <si>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</si>
  <si>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</si>
  <si>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</si>
  <si>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</si>
  <si>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</si>
  <si>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</si>
  <si>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</si>
  <si>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</si>
  <si>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</si>
  <si>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</si>
  <si>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</si>
  <si>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</si>
  <si>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</si>
  <si>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</si>
  <si>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</si>
  <si>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</si>
  <si>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</si>
  <si>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</si>
  <si>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</si>
  <si>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</si>
  <si>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</si>
  <si>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</si>
  <si>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</si>
  <si>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</si>
  <si>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</si>
  <si>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</si>
  <si>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</si>
  <si>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</si>
  <si>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</si>
  <si>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</si>
  <si>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</si>
  <si>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</si>
  <si>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</si>
  <si>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</si>
  <si>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</si>
  <si>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</si>
  <si>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</si>
  <si>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</si>
  <si>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</si>
  <si>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</si>
  <si>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</si>
  <si>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</si>
  <si>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</si>
  <si>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</si>
  <si>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</si>
  <si>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</si>
  <si>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</si>
  <si>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</si>
  <si>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</si>
  <si>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</si>
  <si>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</si>
  <si>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</si>
  <si>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</si>
  <si>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</si>
  <si>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</si>
  <si>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</si>
  <si>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</si>
  <si>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</si>
  <si>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</si>
  <si>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</si>
  <si>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</si>
  <si>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</si>
  <si>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</si>
  <si>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</si>
  <si>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</si>
  <si>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</si>
  <si>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</si>
  <si>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</si>
  <si>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</si>
  <si>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</si>
  <si>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</si>
  <si>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</si>
  <si>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</si>
  <si>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</si>
  <si>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</si>
  <si>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</si>
  <si>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</si>
  <si>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</si>
  <si>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</si>
  <si>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</si>
  <si>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</si>
  <si>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</si>
  <si>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</si>
  <si>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</si>
  <si>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</si>
  <si>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</si>
  <si>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</si>
  <si>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</si>
  <si>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</si>
  <si>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</si>
  <si>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</si>
  <si>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</si>
  <si>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</si>
  <si>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</si>
  <si>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</si>
  <si>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</si>
  <si>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</si>
  <si>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</si>
  <si>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</si>
  <si>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</si>
  <si>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</si>
  <si>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</si>
  <si>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</si>
  <si>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</si>
  <si>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</si>
  <si>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</si>
  <si>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</si>
  <si>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</si>
  <si>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</si>
  <si>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</si>
  <si>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</si>
  <si>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</si>
  <si>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</si>
  <si>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</si>
  <si>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</si>
  <si>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</si>
  <si>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</si>
  <si>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</si>
  <si>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</si>
  <si>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</si>
  <si>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</si>
  <si>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</si>
  <si>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</si>
  <si>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</si>
  <si>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</si>
  <si>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</si>
  <si>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</si>
  <si>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</si>
  <si>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</si>
  <si>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</si>
  <si>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</si>
  <si>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</si>
  <si>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</si>
  <si>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</si>
  <si>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</si>
  <si>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</si>
  <si>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</si>
  <si>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</si>
  <si>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</si>
  <si>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</si>
  <si>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</si>
  <si>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</si>
  <si>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</si>
  <si>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</si>
  <si>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</si>
  <si>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</si>
  <si>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</si>
  <si>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</si>
  <si>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</si>
  <si>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</si>
  <si>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</si>
  <si>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</si>
  <si>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</si>
  <si>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</si>
  <si>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</si>
  <si>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</si>
  <si>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</si>
  <si>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</si>
  <si>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</si>
  <si>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</si>
  <si>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</si>
  <si>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</si>
  <si>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</si>
  <si>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</si>
  <si>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</si>
  <si>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</si>
  <si>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</si>
  <si>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</si>
  <si>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</si>
  <si>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</si>
  <si>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</si>
  <si>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</si>
  <si>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</si>
  <si>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</si>
  <si>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</si>
  <si>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</si>
  <si>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</si>
  <si>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</si>
  <si>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</si>
  <si>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</si>
  <si>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</si>
  <si>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</si>
  <si>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</si>
  <si>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</si>
  <si>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</si>
  <si>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</si>
  <si>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</si>
  <si>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</si>
  <si>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</si>
  <si>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</si>
  <si>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</si>
  <si>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</si>
  <si>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</si>
  <si>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</si>
  <si>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</si>
  <si>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</si>
  <si>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</si>
  <si>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</si>
  <si>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</si>
  <si>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</si>
  <si>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</si>
  <si>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</si>
  <si>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</si>
  <si>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</si>
  <si>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</si>
  <si>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</si>
  <si>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</si>
  <si>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</si>
  <si>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</si>
  <si>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</si>
  <si>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</si>
  <si>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</si>
  <si>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</si>
  <si>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</si>
  <si>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</si>
  <si>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</si>
  <si>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</si>
  <si>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</si>
  <si>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</si>
  <si>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</si>
  <si>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</si>
  <si>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</si>
  <si>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</si>
  <si>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</si>
  <si>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</si>
  <si>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</si>
  <si>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</si>
  <si>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</si>
  <si>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</si>
  <si>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</si>
  <si>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</si>
  <si>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</si>
  <si>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</si>
  <si>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</si>
  <si>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</si>
  <si>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</si>
  <si>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</si>
  <si>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</si>
  <si>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</si>
  <si>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</si>
  <si>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</si>
  <si>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</si>
  <si>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</si>
  <si>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</si>
  <si>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</si>
  <si>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</si>
  <si>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</si>
  <si>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</si>
  <si>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</si>
  <si>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</si>
  <si>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</si>
  <si>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</si>
  <si>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</si>
  <si>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</si>
  <si>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</si>
  <si>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</si>
  <si>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</si>
  <si>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</si>
  <si>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</si>
  <si>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</si>
  <si>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</si>
  <si>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</si>
  <si>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</si>
  <si>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</si>
  <si>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</si>
  <si>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</si>
  <si>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</si>
  <si>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</si>
  <si>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</si>
  <si>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</si>
  <si>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</si>
  <si>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</si>
  <si>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</si>
  <si>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</si>
  <si>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</si>
  <si>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</si>
  <si>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</si>
  <si>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</si>
  <si>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</si>
  <si>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</si>
  <si>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</si>
  <si>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</si>
  <si>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</si>
  <si>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</si>
  <si>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</si>
  <si>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</si>
  <si>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</si>
  <si>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</si>
  <si>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</si>
  <si>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</si>
  <si>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</si>
  <si>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</si>
  <si>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</si>
  <si>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</si>
  <si>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</si>
  <si>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</si>
  <si>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</si>
  <si>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</si>
  <si>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</si>
  <si>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</si>
  <si>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</si>
  <si>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</si>
  <si>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</si>
  <si>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</si>
  <si>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</si>
  <si>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</si>
  <si>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</si>
  <si>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</si>
  <si>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</si>
  <si>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</si>
  <si>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</si>
  <si>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</si>
  <si>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</si>
  <si>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</si>
  <si>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</si>
  <si>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</si>
  <si>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</si>
  <si>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</si>
  <si>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</si>
  <si>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</si>
  <si>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</si>
  <si>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</si>
  <si>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</si>
  <si>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</si>
  <si>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</si>
  <si>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</si>
  <si>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</si>
  <si>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</si>
  <si>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</si>
  <si>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</si>
  <si>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</si>
  <si>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</si>
  <si>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</si>
  <si>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</si>
  <si>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</si>
  <si>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</si>
  <si>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</si>
  <si>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</si>
  <si>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</si>
  <si>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</si>
  <si>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</si>
  <si>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</si>
  <si>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</si>
  <si>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</si>
  <si>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</si>
  <si>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</si>
  <si>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</si>
  <si>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</si>
  <si>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</si>
  <si>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</si>
  <si>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</si>
  <si>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</si>
  <si>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</si>
  <si>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</si>
  <si>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</si>
  <si>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</si>
  <si>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</si>
  <si>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</si>
  <si>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</si>
  <si>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</si>
  <si>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</si>
  <si>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</si>
  <si>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</si>
  <si>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</si>
  <si>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</si>
  <si>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</si>
  <si>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</si>
  <si>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</si>
  <si>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</si>
  <si>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</si>
  <si>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</si>
  <si>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</si>
  <si>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</si>
  <si>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</si>
  <si>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</si>
  <si>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</si>
  <si>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</si>
  <si>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</si>
  <si>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</si>
  <si>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</si>
  <si>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</si>
  <si>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</si>
  <si>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</si>
  <si>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</si>
  <si>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</si>
  <si>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</si>
  <si>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</si>
  <si>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</si>
  <si>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</si>
  <si>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</si>
  <si>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</si>
  <si>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</si>
  <si>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</si>
  <si>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</si>
  <si>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</si>
  <si>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</si>
  <si>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</si>
  <si>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</si>
  <si>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</si>
  <si>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</si>
  <si>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</si>
  <si>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</si>
  <si>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</si>
  <si>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</si>
  <si>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</si>
  <si>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</si>
  <si>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</si>
  <si>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</si>
  <si>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</si>
  <si>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</si>
  <si>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</si>
  <si>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</si>
  <si>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</si>
  <si>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</si>
  <si>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</si>
  <si>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</si>
  <si>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</si>
  <si>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</si>
  <si>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</si>
  <si>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</si>
  <si>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</si>
  <si>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</si>
  <si>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</si>
  <si>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</si>
  <si>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</si>
  <si>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</si>
  <si>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</si>
  <si>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</si>
  <si>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</si>
  <si>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</si>
  <si>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</si>
  <si>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</si>
  <si>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</si>
  <si>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</si>
  <si>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</si>
  <si>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</si>
  <si>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</si>
  <si>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</si>
  <si>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</si>
  <si>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</si>
  <si>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</si>
  <si>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</si>
  <si>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</si>
  <si>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</si>
  <si>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</si>
  <si>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</si>
  <si>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</si>
  <si>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</si>
  <si>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</si>
  <si>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</si>
  <si>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</si>
  <si>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</si>
  <si>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</si>
  <si>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</si>
  <si>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</si>
  <si>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</si>
  <si>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</si>
  <si>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</si>
  <si>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</si>
  <si>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</si>
  <si>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</si>
  <si>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</si>
  <si>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</si>
  <si>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</si>
  <si>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</si>
  <si>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</si>
  <si>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</si>
  <si>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</si>
  <si>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</si>
  <si>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</si>
  <si>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</si>
  <si>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</si>
  <si>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</si>
  <si>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</si>
  <si>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</si>
  <si>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</si>
  <si>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</si>
  <si>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</si>
  <si>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</si>
  <si>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</si>
  <si>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</si>
  <si>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</si>
  <si>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</si>
  <si>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</si>
  <si>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</si>
  <si>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</si>
  <si>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</si>
  <si>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</si>
  <si>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</si>
  <si>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</si>
  <si>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</si>
  <si>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</si>
  <si>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</si>
  <si>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</si>
  <si>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</si>
  <si>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</si>
  <si>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</si>
  <si>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</si>
  <si>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</si>
  <si>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</si>
  <si>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</si>
  <si>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</si>
  <si>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</si>
  <si>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</si>
  <si>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</si>
  <si>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</si>
  <si>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</si>
  <si>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</si>
  <si>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</si>
  <si>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</si>
  <si>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</si>
  <si>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</si>
  <si>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</si>
  <si>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</si>
  <si>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</si>
  <si>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</si>
  <si>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</si>
  <si>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</si>
  <si>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</si>
  <si>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</si>
  <si>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</si>
  <si>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</si>
  <si>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</si>
  <si>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</si>
  <si>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</si>
  <si>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</si>
  <si>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</si>
  <si>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</si>
  <si>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</si>
  <si>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</si>
  <si>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</si>
  <si>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</si>
  <si>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</si>
  <si>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</si>
  <si>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</si>
  <si>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</si>
  <si>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</si>
  <si>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</si>
  <si>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</si>
  <si>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</si>
  <si>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</si>
  <si>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</si>
  <si>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</si>
  <si>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</si>
  <si>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</si>
  <si>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</si>
  <si>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</si>
  <si>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</si>
  <si>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</si>
  <si>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</si>
  <si>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</si>
  <si>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</si>
  <si>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</si>
  <si>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</si>
  <si>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</si>
  <si>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</si>
  <si>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</si>
  <si>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</si>
  <si>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</si>
  <si>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</si>
  <si>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</si>
  <si>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</si>
  <si>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</si>
  <si>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</si>
  <si>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</si>
  <si>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</si>
  <si>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</si>
  <si>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</si>
  <si>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</si>
  <si>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</si>
  <si>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</si>
  <si>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</si>
  <si>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</si>
  <si>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</si>
  <si>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</si>
  <si>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</si>
  <si>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</si>
  <si>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</si>
  <si>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</si>
  <si>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</si>
  <si>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</si>
  <si>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</si>
  <si>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</si>
  <si>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</si>
  <si>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</si>
  <si>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</si>
  <si>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</si>
  <si>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</si>
  <si>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</si>
  <si>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</si>
  <si>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</si>
  <si>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</si>
  <si>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</si>
  <si>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</si>
  <si>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</si>
  <si>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</si>
  <si>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</si>
  <si>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</si>
  <si>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</si>
  <si>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</si>
  <si>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</si>
  <si>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</si>
  <si>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</si>
  <si>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</si>
  <si>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</si>
  <si>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</si>
  <si>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</si>
  <si>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</si>
  <si>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</si>
  <si>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</si>
  <si>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</si>
  <si>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</si>
  <si>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</si>
  <si>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</si>
  <si>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</si>
  <si>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</si>
  <si>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</si>
  <si>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</si>
  <si>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</si>
  <si>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</si>
  <si>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</si>
  <si>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</si>
  <si>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</si>
  <si>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</si>
  <si>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</si>
  <si>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</si>
  <si>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</si>
  <si>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</si>
  <si>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</si>
  <si>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</si>
  <si>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</si>
  <si>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</si>
  <si>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</si>
  <si>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</si>
  <si>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</si>
  <si>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</si>
  <si>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</si>
  <si>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</si>
  <si>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</si>
  <si>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</si>
  <si>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</si>
  <si>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</si>
  <si>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</si>
  <si>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</si>
  <si>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</si>
  <si>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</si>
  <si>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</si>
  <si>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</si>
  <si>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</si>
  <si>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</si>
  <si>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</si>
  <si>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</si>
  <si>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</si>
  <si>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</si>
  <si>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</si>
  <si>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</si>
  <si>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</si>
  <si>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</si>
  <si>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</si>
  <si>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</si>
  <si>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</si>
  <si>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</si>
  <si>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</si>
  <si>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</si>
  <si>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</si>
  <si>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</si>
  <si>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</si>
  <si>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</si>
  <si>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</si>
  <si>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</si>
  <si>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</si>
  <si>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</si>
  <si>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</si>
  <si>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</si>
  <si>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</si>
  <si>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</si>
  <si>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</si>
  <si>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</si>
  <si>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</si>
  <si>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</si>
  <si>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</si>
  <si>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</si>
  <si>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</si>
  <si>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</si>
  <si>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</si>
  <si>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</si>
  <si>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</si>
  <si>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</si>
  <si>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</si>
  <si>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</si>
  <si>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</si>
  <si>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</si>
  <si>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</si>
  <si>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</si>
  <si>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</si>
  <si>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</si>
  <si>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</si>
  <si>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</si>
  <si>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</si>
  <si>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</si>
  <si>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</si>
  <si>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</si>
  <si>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</si>
  <si>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</si>
  <si>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</si>
  <si>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</si>
  <si>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</si>
  <si>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</si>
  <si>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</si>
  <si>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</si>
  <si>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</si>
  <si>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</si>
  <si>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</si>
  <si>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</si>
  <si>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</si>
  <si>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</si>
  <si>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</si>
  <si>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</si>
  <si>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</si>
  <si>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</si>
  <si>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</si>
  <si>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</si>
  <si>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</si>
  <si>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</si>
  <si>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</si>
  <si>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</si>
  <si>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</si>
  <si>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</si>
  <si>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</si>
  <si>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</si>
  <si>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</si>
  <si>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</si>
  <si>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</si>
  <si>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</si>
  <si>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</si>
  <si>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</si>
  <si>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</si>
  <si>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</si>
  <si>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</si>
  <si>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</si>
  <si>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</si>
  <si>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</si>
  <si>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</si>
  <si>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</si>
  <si>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</si>
  <si>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</si>
  <si>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</si>
  <si>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</si>
  <si>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</si>
  <si>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</si>
  <si>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</si>
  <si>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</si>
  <si>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</si>
  <si>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</si>
  <si>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</si>
  <si>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</si>
  <si>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</si>
  <si>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</si>
  <si>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</si>
  <si>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</si>
  <si>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</si>
  <si>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</si>
  <si>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</si>
  <si>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</si>
  <si>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</si>
  <si>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</si>
  <si>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</si>
  <si>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</si>
  <si>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</si>
  <si>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</si>
  <si>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</si>
  <si>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</si>
  <si>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</si>
  <si>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</si>
  <si>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</si>
  <si>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</si>
  <si>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</si>
  <si>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</si>
  <si>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</si>
  <si>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</si>
  <si>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</si>
  <si>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</si>
  <si>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</si>
  <si>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</si>
  <si>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</si>
  <si>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</si>
  <si>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</si>
  <si>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</si>
  <si>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</si>
  <si>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</si>
  <si>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</si>
  <si>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</si>
  <si>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</si>
  <si>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</si>
  <si>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</si>
  <si>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</si>
  <si>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</si>
  <si>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</si>
  <si>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</si>
  <si>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</si>
  <si>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</si>
  <si>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</si>
  <si>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</si>
  <si>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</si>
  <si>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</si>
  <si>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</si>
  <si>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</si>
  <si>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</si>
  <si>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</si>
  <si>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</si>
  <si>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</si>
  <si>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</si>
  <si>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</si>
  <si>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</si>
  <si>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</si>
  <si>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</si>
  <si>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</si>
  <si>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</si>
  <si>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</si>
  <si>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</si>
  <si>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</si>
  <si>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</si>
  <si>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</si>
  <si>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</si>
  <si>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</si>
  <si>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</si>
  <si>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</si>
  <si>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</si>
  <si>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</si>
  <si>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</si>
  <si>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</si>
  <si>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</si>
  <si>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</si>
  <si>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</si>
  <si>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</si>
  <si>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</si>
  <si>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</si>
  <si>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</si>
  <si>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</si>
  <si>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</si>
  <si>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</si>
  <si>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</si>
  <si>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</si>
  <si>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</si>
  <si>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</si>
  <si>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</si>
  <si>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</si>
  <si>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</si>
  <si>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</si>
  <si>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</si>
  <si>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</si>
  <si>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</si>
  <si>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</si>
  <si>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</si>
  <si>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</si>
  <si>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</si>
  <si>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</si>
  <si>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</si>
  <si>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</si>
  <si>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</si>
  <si>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</si>
  <si>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</si>
  <si>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</si>
  <si>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</si>
  <si>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</si>
  <si>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</si>
  <si>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</si>
  <si>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</si>
  <si>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</si>
  <si>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</si>
  <si>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</si>
  <si>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</si>
  <si>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</si>
  <si>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</si>
  <si>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</si>
  <si>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</si>
  <si>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</si>
  <si>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</si>
  <si>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</si>
  <si>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</si>
  <si>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</si>
  <si>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</si>
  <si>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</si>
  <si>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</si>
  <si>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</si>
  <si>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</si>
  <si>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</si>
  <si>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</si>
  <si>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</si>
  <si>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</si>
  <si>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</si>
  <si>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</si>
  <si>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</si>
  <si>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</si>
  <si>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</si>
  <si>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</si>
  <si>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</si>
  <si>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</si>
  <si>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</si>
  <si>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</si>
  <si>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</si>
  <si>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</si>
  <si>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</si>
  <si>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</si>
  <si>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</si>
  <si>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</si>
  <si>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</si>
  <si>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</si>
  <si>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</si>
  <si>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</si>
  <si>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</si>
  <si>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</si>
  <si>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</si>
  <si>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</si>
  <si>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</si>
  <si>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</si>
  <si>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</si>
  <si>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</si>
  <si>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</si>
  <si>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</si>
  <si>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</si>
  <si>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</si>
  <si>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</si>
  <si>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</si>
  <si>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</si>
  <si>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</si>
  <si>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</si>
  <si>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</si>
  <si>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</si>
  <si>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</si>
  <si>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</si>
  <si>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</si>
  <si>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</si>
  <si>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</si>
  <si>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</si>
  <si>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</si>
  <si>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</si>
  <si>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</si>
  <si>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</si>
  <si>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</si>
  <si>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</si>
  <si>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</si>
  <si>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</si>
  <si>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</si>
  <si>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</si>
  <si>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</si>
  <si>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</si>
  <si>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</si>
  <si>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</si>
  <si>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</si>
  <si>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</si>
  <si>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</si>
  <si>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</si>
  <si>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</si>
  <si>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</si>
  <si>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</si>
  <si>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</si>
  <si>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</si>
  <si>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</si>
  <si>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</si>
  <si>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</si>
  <si>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</si>
  <si>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</si>
  <si>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</si>
  <si>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</si>
  <si>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</si>
  <si>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</si>
  <si>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</si>
  <si>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</si>
  <si>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</si>
  <si>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</si>
  <si>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</si>
  <si>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</si>
  <si>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</si>
  <si>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</si>
  <si>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</si>
  <si>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</si>
  <si>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</si>
  <si>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</si>
  <si>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</si>
  <si>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</si>
  <si>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</si>
  <si>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</si>
  <si>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</si>
  <si>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</si>
  <si>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</si>
  <si>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</si>
  <si>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</si>
  <si>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</si>
  <si>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</si>
  <si>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</si>
  <si>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</si>
  <si>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</si>
  <si>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</si>
  <si>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</si>
  <si>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</si>
  <si>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</si>
  <si>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</si>
  <si>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</si>
  <si>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</si>
  <si>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</si>
  <si>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</si>
  <si>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</si>
  <si>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</si>
  <si>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</si>
  <si>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</si>
  <si>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</si>
  <si>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</si>
  <si>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</si>
  <si>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</si>
  <si>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</si>
  <si>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</si>
  <si>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</si>
  <si>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</si>
  <si>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</si>
  <si>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</si>
  <si>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</si>
  <si>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</si>
  <si>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</si>
  <si>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</si>
  <si>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</si>
  <si>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</si>
  <si>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</si>
  <si>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</si>
  <si>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</si>
  <si>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</si>
  <si>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</si>
  <si>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</si>
  <si>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</si>
  <si>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</si>
  <si>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</si>
  <si>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</si>
  <si>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</si>
  <si>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</si>
  <si>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</si>
  <si>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</si>
  <si>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</si>
  <si>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</si>
  <si>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</si>
  <si>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</si>
  <si>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</si>
  <si>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</si>
  <si>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</si>
  <si>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</si>
  <si>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</si>
  <si>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</si>
  <si>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</si>
  <si>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</si>
  <si>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</si>
  <si>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</si>
  <si>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</si>
  <si>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</si>
  <si>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</si>
  <si>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</si>
  <si>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</si>
  <si>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</si>
  <si>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</si>
  <si>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</si>
  <si>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</si>
  <si>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</si>
  <si>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</si>
  <si>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</si>
  <si>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</si>
  <si>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</si>
  <si>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</si>
  <si>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</si>
  <si>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</si>
  <si>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</si>
  <si>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</si>
  <si>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</si>
  <si>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</si>
  <si>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</si>
  <si>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</si>
  <si>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</si>
  <si>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</si>
  <si>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</si>
  <si>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</si>
  <si>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</si>
  <si>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</si>
  <si>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</si>
  <si>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</si>
  <si>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</si>
  <si>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</si>
  <si>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</si>
  <si>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</si>
  <si>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</si>
  <si>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</si>
  <si>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</si>
  <si>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</si>
  <si>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</si>
  <si>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</si>
  <si>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</si>
  <si>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</si>
  <si>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</si>
  <si>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</si>
  <si>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</si>
  <si>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</si>
  <si>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</si>
  <si>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January</t>
  </si>
  <si>
    <t>February</t>
  </si>
  <si>
    <t>March</t>
  </si>
  <si>
    <t>April</t>
  </si>
  <si>
    <t>June</t>
  </si>
  <si>
    <t>July</t>
  </si>
  <si>
    <t>August</t>
  </si>
  <si>
    <t>September</t>
  </si>
  <si>
    <t>October</t>
  </si>
  <si>
    <t>November</t>
  </si>
  <si>
    <t>December</t>
  </si>
  <si>
    <t>Estimated In-Service Date</t>
  </si>
  <si>
    <t>Account No.</t>
  </si>
  <si>
    <t>2017 Total</t>
  </si>
  <si>
    <t>WA Alloc</t>
  </si>
  <si>
    <t>Actuals thru June</t>
  </si>
  <si>
    <t>Remaining Yr Budget</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</si>
  <si>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</si>
  <si>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</si>
  <si>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</si>
  <si>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</si>
  <si>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</si>
  <si>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</si>
  <si>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</si>
  <si>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</si>
  <si>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</si>
  <si>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</si>
  <si>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</si>
  <si>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</si>
  <si>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</si>
  <si>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</si>
  <si>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</si>
  <si>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</si>
  <si>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</si>
  <si>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</si>
  <si>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</si>
  <si>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</si>
  <si>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</si>
  <si>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</si>
  <si>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</si>
  <si>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</si>
  <si>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</si>
  <si>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</si>
  <si>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</si>
  <si>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</si>
  <si>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</si>
  <si>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</si>
  <si>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</si>
  <si>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</si>
  <si>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</si>
  <si>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</si>
  <si>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</si>
  <si>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</si>
  <si>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</si>
  <si>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</si>
  <si>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</si>
  <si>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</si>
  <si>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</si>
  <si>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</si>
  <si>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</si>
  <si>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</si>
  <si>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</si>
  <si>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</si>
  <si>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</si>
  <si>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</si>
  <si>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</si>
  <si>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</si>
  <si>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</si>
  <si>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</si>
  <si>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</si>
  <si>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</si>
  <si>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</si>
  <si>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</si>
  <si>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</si>
  <si>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</si>
  <si>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</si>
  <si>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</si>
  <si>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</si>
  <si>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</si>
  <si>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</si>
  <si>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</si>
  <si>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</si>
  <si>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</si>
  <si>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</si>
  <si>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</si>
  <si>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</si>
  <si>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</si>
  <si>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</si>
  <si>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</si>
  <si>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</si>
  <si>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</si>
  <si>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</si>
  <si>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</si>
  <si>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</si>
  <si>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</si>
  <si>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</si>
  <si>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</si>
  <si>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</si>
  <si>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</si>
  <si>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</si>
  <si>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</si>
  <si>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</si>
  <si>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</si>
  <si>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</si>
  <si>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</si>
  <si>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</si>
  <si>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</si>
  <si>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</si>
  <si>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</si>
  <si>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</si>
  <si>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</si>
  <si>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</si>
  <si>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</si>
  <si>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</si>
  <si>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</si>
  <si>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</si>
  <si>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</si>
  <si>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</si>
  <si>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</si>
  <si>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</si>
  <si>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</si>
  <si>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</si>
  <si>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</si>
  <si>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</si>
  <si>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</si>
  <si>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</si>
  <si>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</si>
  <si>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</si>
  <si>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</si>
  <si>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</si>
  <si>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</si>
  <si>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</si>
  <si>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</si>
  <si>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</si>
  <si>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</si>
  <si>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</si>
  <si>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</si>
  <si>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</si>
  <si>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</si>
  <si>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</si>
  <si>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</si>
  <si>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</si>
  <si>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</si>
  <si>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</si>
  <si>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</si>
  <si>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</si>
  <si>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</si>
  <si>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</si>
  <si>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</si>
  <si>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</si>
  <si>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</si>
  <si>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</si>
  <si>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</si>
  <si>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</si>
  <si>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</si>
  <si>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</si>
  <si>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</si>
  <si>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</si>
  <si>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</si>
  <si>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</si>
  <si>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</si>
  <si>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</si>
  <si>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</si>
  <si>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</si>
  <si>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</si>
  <si>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</si>
  <si>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</si>
  <si>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</si>
  <si>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</si>
  <si>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</si>
  <si>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</si>
  <si>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</si>
  <si>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</si>
  <si>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</si>
  <si>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</si>
  <si>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</si>
  <si>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</si>
  <si>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</si>
  <si>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</si>
  <si>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</si>
  <si>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</si>
  <si>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</si>
  <si>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</si>
  <si>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</si>
  <si>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</si>
  <si>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</si>
  <si>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</si>
  <si>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</si>
  <si>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</si>
  <si>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</si>
  <si>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</si>
  <si>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</si>
  <si>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</si>
  <si>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</si>
  <si>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</si>
  <si>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</si>
  <si>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</si>
  <si>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</si>
  <si>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</si>
  <si>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</si>
  <si>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</si>
  <si>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</si>
  <si>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</si>
  <si>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</si>
  <si>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</si>
  <si>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</si>
  <si>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</si>
  <si>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</si>
  <si>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</si>
  <si>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</si>
  <si>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</si>
  <si>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</si>
  <si>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</si>
  <si>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</si>
  <si>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</si>
  <si>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</si>
  <si>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</si>
  <si>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</si>
  <si>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</si>
  <si>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</si>
  <si>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</si>
  <si>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</si>
  <si>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</si>
  <si>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</si>
  <si>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</si>
  <si>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</si>
  <si>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</si>
  <si>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</si>
  <si>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Results</t>
  </si>
  <si>
    <t>Overall Revenue Increase</t>
  </si>
  <si>
    <t xml:space="preserve">FP-313143 - V-89; Wenatchee 8" isolation valve </t>
  </si>
  <si>
    <t>FP-315655 - MN 2" PE-32SL Burlington</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</si>
  <si>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</si>
  <si>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</si>
  <si>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</si>
  <si>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</si>
  <si>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</si>
  <si>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</si>
  <si>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Summary of Proposed Plant Additions</t>
  </si>
  <si>
    <t>UG 17_____</t>
  </si>
  <si>
    <t>MPP WP-1.1</t>
  </si>
  <si>
    <t>MPP WP-1.3</t>
  </si>
  <si>
    <t>MPP WP-1.4</t>
  </si>
  <si>
    <t>Weather Normalization</t>
  </si>
  <si>
    <t>Restate Revenues</t>
  </si>
  <si>
    <t>Pro Forma Compliance Department</t>
  </si>
  <si>
    <t>CRM Adjustment (a)</t>
  </si>
  <si>
    <t>CRM Adjustment (b)</t>
  </si>
  <si>
    <t>Month</t>
  </si>
  <si>
    <t>Margin</t>
  </si>
  <si>
    <t>Line No:</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</si>
  <si>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</si>
  <si>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</si>
  <si>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</si>
  <si>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</si>
  <si>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</si>
  <si>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</si>
  <si>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</si>
  <si>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</si>
  <si>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</si>
  <si>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</si>
  <si>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</si>
  <si>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</si>
  <si>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</si>
  <si>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</si>
  <si>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</si>
  <si>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</si>
  <si>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</si>
  <si>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</si>
  <si>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</si>
  <si>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</si>
  <si>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</si>
  <si>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</si>
  <si>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</si>
  <si>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</si>
  <si>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</si>
  <si>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</si>
  <si>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</si>
  <si>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</si>
  <si>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</si>
  <si>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</si>
  <si>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</si>
  <si>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</si>
  <si>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</si>
  <si>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</si>
  <si>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</si>
  <si>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</si>
  <si>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</si>
  <si>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</si>
  <si>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</si>
  <si>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</si>
  <si>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</si>
  <si>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</si>
  <si>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</si>
  <si>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</si>
  <si>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</si>
  <si>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</si>
  <si>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</si>
  <si>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</si>
  <si>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</si>
  <si>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</si>
  <si>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</si>
  <si>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</si>
  <si>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</si>
  <si>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</si>
  <si>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</si>
  <si>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</si>
  <si>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</si>
  <si>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</si>
  <si>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</si>
  <si>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</si>
  <si>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</si>
  <si>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</si>
  <si>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</si>
  <si>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</si>
  <si>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</si>
  <si>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</si>
  <si>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</si>
  <si>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</si>
  <si>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</si>
  <si>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</si>
  <si>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</si>
  <si>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</si>
  <si>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</si>
  <si>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</si>
  <si>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</si>
  <si>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</si>
  <si>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</si>
  <si>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</si>
  <si>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</si>
  <si>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</si>
  <si>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</si>
  <si>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</si>
  <si>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</si>
  <si>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</si>
  <si>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</si>
  <si>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</si>
  <si>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</si>
  <si>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</si>
  <si>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</si>
  <si>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</si>
  <si>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</si>
  <si>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</si>
  <si>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</si>
  <si>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</si>
  <si>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</si>
  <si>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</si>
  <si>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</si>
  <si>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</si>
  <si>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</si>
  <si>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</si>
  <si>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</si>
  <si>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</si>
  <si>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</si>
  <si>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</si>
  <si>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</si>
  <si>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</si>
  <si>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</si>
  <si>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</si>
  <si>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</si>
  <si>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</si>
  <si>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</si>
  <si>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</si>
  <si>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</si>
  <si>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</si>
  <si>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</si>
  <si>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</si>
  <si>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</si>
  <si>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</si>
  <si>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</si>
  <si>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</si>
  <si>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</si>
  <si>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</si>
  <si>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</si>
  <si>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</si>
  <si>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</si>
  <si>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</si>
  <si>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</si>
  <si>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</si>
  <si>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</si>
  <si>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</si>
  <si>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</si>
  <si>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</si>
  <si>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</si>
  <si>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</si>
  <si>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</si>
  <si>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</si>
  <si>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</si>
  <si>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</si>
  <si>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</si>
  <si>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</si>
  <si>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</si>
  <si>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</si>
  <si>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</si>
  <si>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</si>
  <si>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</si>
  <si>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</si>
  <si>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</si>
  <si>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</si>
  <si>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</si>
  <si>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</si>
  <si>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</si>
  <si>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</si>
  <si>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</si>
  <si>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</si>
  <si>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</si>
  <si>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</si>
  <si>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</si>
  <si>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</si>
  <si>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</si>
  <si>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</si>
  <si>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</si>
  <si>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</si>
  <si>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</si>
  <si>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</si>
  <si>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</si>
  <si>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</si>
  <si>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</si>
  <si>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</si>
  <si>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</si>
  <si>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</si>
  <si>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</si>
  <si>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</si>
  <si>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</si>
  <si>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</si>
  <si>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</si>
  <si>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</si>
  <si>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</si>
  <si>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</si>
  <si>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</si>
  <si>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</si>
  <si>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</si>
  <si>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</si>
  <si>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</si>
  <si>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</si>
  <si>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</si>
  <si>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</si>
  <si>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</si>
  <si>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</si>
  <si>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</si>
  <si>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</si>
  <si>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</si>
  <si>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</si>
  <si>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</si>
  <si>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</si>
  <si>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</si>
  <si>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</si>
  <si>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</si>
  <si>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</si>
  <si>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</si>
  <si>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</si>
  <si>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</si>
  <si>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</si>
  <si>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</si>
  <si>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</si>
  <si>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</si>
  <si>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</si>
  <si>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</si>
  <si>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</si>
  <si>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</si>
  <si>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</si>
  <si>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</si>
  <si>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</si>
  <si>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</si>
  <si>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</si>
  <si>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</si>
  <si>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</si>
  <si>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</si>
  <si>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</si>
  <si>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</si>
  <si>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</si>
  <si>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</si>
  <si>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</si>
  <si>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</si>
  <si>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</si>
  <si>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</si>
  <si>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</si>
  <si>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</si>
  <si>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</si>
  <si>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</si>
  <si>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</si>
  <si>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</si>
  <si>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</si>
  <si>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</si>
  <si>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</si>
  <si>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</si>
  <si>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</si>
  <si>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</si>
  <si>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</si>
  <si>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</si>
  <si>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</si>
  <si>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</si>
  <si>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</si>
  <si>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</si>
  <si>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</si>
  <si>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</si>
  <si>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</si>
  <si>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</si>
  <si>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</si>
  <si>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</si>
  <si>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</si>
  <si>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</si>
  <si>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</si>
  <si>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</si>
  <si>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</si>
  <si>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</si>
  <si>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</si>
  <si>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</si>
  <si>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</si>
  <si>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</si>
  <si>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</si>
  <si>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</si>
  <si>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</si>
  <si>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</si>
  <si>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</si>
  <si>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</si>
  <si>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</si>
  <si>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</si>
  <si>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</si>
  <si>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</si>
  <si>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</si>
  <si>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</si>
  <si>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</si>
  <si>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</si>
  <si>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</si>
  <si>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</si>
  <si>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</si>
  <si>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</si>
  <si>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</si>
  <si>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</si>
  <si>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</si>
  <si>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</si>
  <si>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</si>
  <si>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</si>
  <si>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</si>
  <si>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</si>
  <si>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</si>
  <si>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</si>
  <si>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</si>
  <si>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</si>
  <si>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</si>
  <si>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</si>
  <si>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</si>
  <si>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</si>
  <si>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</si>
  <si>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</si>
  <si>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</si>
  <si>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</si>
  <si>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</si>
  <si>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</si>
  <si>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</si>
  <si>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</si>
  <si>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</si>
  <si>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</si>
  <si>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</si>
  <si>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</si>
  <si>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</si>
  <si>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</si>
  <si>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</si>
  <si>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</si>
  <si>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</si>
  <si>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</si>
  <si>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</si>
  <si>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</si>
  <si>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</si>
  <si>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</si>
  <si>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</si>
  <si>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</si>
  <si>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</si>
  <si>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</si>
  <si>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</si>
  <si>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</si>
  <si>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</si>
  <si>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</si>
  <si>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</si>
  <si>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</si>
  <si>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</si>
  <si>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</si>
  <si>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</si>
  <si>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</si>
  <si>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</si>
  <si>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</si>
  <si>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</si>
  <si>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</si>
  <si>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</si>
  <si>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</si>
  <si>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</si>
  <si>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</si>
  <si>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</si>
  <si>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</si>
  <si>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</si>
  <si>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</si>
  <si>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</si>
  <si>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</si>
  <si>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</si>
  <si>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</si>
  <si>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</si>
  <si>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</si>
  <si>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</si>
  <si>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</si>
  <si>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</si>
  <si>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</si>
  <si>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</si>
  <si>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</si>
  <si>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</si>
  <si>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</si>
  <si>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</si>
  <si>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</si>
  <si>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</si>
  <si>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</si>
  <si>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</si>
  <si>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</si>
  <si>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</si>
  <si>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</si>
  <si>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</si>
  <si>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</si>
  <si>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</si>
  <si>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</si>
  <si>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</si>
  <si>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</si>
  <si>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</si>
  <si>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</si>
  <si>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</si>
  <si>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</si>
  <si>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</si>
  <si>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</si>
  <si>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</si>
  <si>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</si>
  <si>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</si>
  <si>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</si>
  <si>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</si>
  <si>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</si>
  <si>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</si>
  <si>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</si>
  <si>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</si>
  <si>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</si>
  <si>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</si>
  <si>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</si>
  <si>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</si>
  <si>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</si>
  <si>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</si>
  <si>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</si>
  <si>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</si>
  <si>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</si>
  <si>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</si>
  <si>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</si>
  <si>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Rate Effective 9/1/2016</t>
  </si>
  <si>
    <t>Funding Project expected incremental volumes per year</t>
  </si>
  <si>
    <t>Total incremental revenue</t>
  </si>
  <si>
    <t>Rate schedule 663 average rate</t>
  </si>
  <si>
    <t>2017 est.</t>
  </si>
  <si>
    <t>All figures above are exported from ""Power Plant" the company's plant accounting software</t>
  </si>
  <si>
    <t>Figures are exported from JDE the company's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</si>
  <si>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</si>
  <si>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</si>
  <si>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</si>
  <si>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</si>
  <si>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</si>
  <si>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</si>
  <si>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</si>
  <si>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</si>
  <si>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</si>
  <si>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</si>
  <si>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</si>
  <si>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</si>
  <si>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</si>
  <si>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</si>
  <si>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</si>
  <si>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</si>
  <si>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</si>
  <si>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</si>
  <si>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</si>
  <si>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</si>
  <si>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State Allocation Formula</t>
  </si>
  <si>
    <t>Staff Proposed</t>
  </si>
  <si>
    <t>Staff Propsed</t>
  </si>
  <si>
    <t>Remove</t>
  </si>
  <si>
    <t>decrease</t>
  </si>
  <si>
    <t xml:space="preserve">Remove </t>
  </si>
  <si>
    <t>Incentive Pay</t>
  </si>
  <si>
    <t>SISP/SERP</t>
  </si>
  <si>
    <t>ISWC</t>
  </si>
  <si>
    <t xml:space="preserve">2014 Arbitration </t>
  </si>
  <si>
    <t>per books</t>
  </si>
  <si>
    <t>UTC-1</t>
  </si>
  <si>
    <t>UTC-2</t>
  </si>
  <si>
    <t>UTC-3</t>
  </si>
  <si>
    <t>UTC-4</t>
  </si>
  <si>
    <t>(k10)</t>
  </si>
  <si>
    <t>Dave's #</t>
  </si>
  <si>
    <t>(DP)</t>
  </si>
  <si>
    <t>(AW)</t>
  </si>
  <si>
    <t>UTC-5</t>
  </si>
  <si>
    <t>(JL)</t>
  </si>
  <si>
    <t>Restating</t>
  </si>
  <si>
    <t>conversion factor</t>
  </si>
  <si>
    <t>gas revenue Cascade should have received</t>
  </si>
  <si>
    <t>gas revenue Cascade received</t>
  </si>
  <si>
    <t>booked gas cost revenue</t>
  </si>
  <si>
    <t>WN adjustment for gas cost</t>
  </si>
  <si>
    <t>unbilled and deferral adjustment</t>
  </si>
  <si>
    <t>gas cost Cascade should have incurred</t>
  </si>
  <si>
    <t>booked gas cost</t>
  </si>
  <si>
    <t>gas revenue Cascade actually incurred</t>
  </si>
  <si>
    <t>original value</t>
  </si>
  <si>
    <t>changed and linked</t>
  </si>
  <si>
    <t>changed, based on Jan-Aug 2016 rates; linked to MCR-2 instead.</t>
  </si>
  <si>
    <t>linked; not changed</t>
  </si>
  <si>
    <t>Difference from As Filed</t>
  </si>
  <si>
    <t>compare to MCR-2</t>
  </si>
  <si>
    <t>changed, W thru Z; linked.</t>
  </si>
  <si>
    <t>not changed; linked</t>
  </si>
  <si>
    <t>9-month Weather normalization adjustment priced at Jan - Aug 2016 price</t>
  </si>
  <si>
    <t>12-month Weather normalization adjustment priced at Sept 2016 price</t>
  </si>
  <si>
    <t>Difference</t>
  </si>
  <si>
    <t xml:space="preserve">Wage </t>
  </si>
  <si>
    <t>Adj</t>
  </si>
  <si>
    <t>corrected in DR</t>
  </si>
  <si>
    <t>Company's Original Workpaper</t>
  </si>
  <si>
    <t xml:space="preserve">Staff's calculation </t>
  </si>
  <si>
    <t xml:space="preserve"> Staff's Allowed Amounts</t>
  </si>
  <si>
    <r>
      <t>Amortization Period (years)</t>
    </r>
    <r>
      <rPr>
        <vertAlign val="superscript"/>
        <sz val="12"/>
        <color theme="1"/>
        <rFont val="Times New Roman"/>
        <family val="1"/>
      </rPr>
      <t>1</t>
    </r>
  </si>
  <si>
    <r>
      <rPr>
        <vertAlign val="superscript"/>
        <sz val="12"/>
        <color theme="1"/>
        <rFont val="Times New Roman"/>
        <family val="1"/>
      </rPr>
      <t>1</t>
    </r>
    <r>
      <rPr>
        <sz val="12"/>
        <color theme="1"/>
        <rFont val="Times New Roman"/>
        <family val="1"/>
      </rPr>
      <t>Remaining period of the program after rate case effective date</t>
    </r>
  </si>
  <si>
    <t>UTC-6</t>
  </si>
  <si>
    <t>and Before Tax</t>
  </si>
  <si>
    <t>Estimated Tax</t>
  </si>
  <si>
    <t>and After Tax</t>
  </si>
  <si>
    <t>Impact</t>
  </si>
  <si>
    <t>Staff</t>
  </si>
  <si>
    <t>Proposed</t>
  </si>
  <si>
    <t>Overall Impact</t>
  </si>
  <si>
    <t>of Staff's Adj.</t>
  </si>
  <si>
    <t>and Tax Impact</t>
  </si>
  <si>
    <t>(c)</t>
  </si>
  <si>
    <t>(d)</t>
  </si>
  <si>
    <t>(e)</t>
  </si>
  <si>
    <t>(f)</t>
  </si>
  <si>
    <t>(g)</t>
  </si>
  <si>
    <t>(h)</t>
  </si>
  <si>
    <t>(i)</t>
  </si>
  <si>
    <t>Net Operating Income</t>
  </si>
  <si>
    <t>Investment from Plant Additions</t>
  </si>
  <si>
    <t>P/F</t>
  </si>
  <si>
    <t>Total P/F</t>
  </si>
  <si>
    <t>Total R &amp; P/F</t>
  </si>
  <si>
    <t>2016 Restating #</t>
  </si>
  <si>
    <t>2017  P/F Cascade (FICA)</t>
  </si>
  <si>
    <t>2017 P/F Allocated (no FICA)</t>
  </si>
  <si>
    <t>N/A</t>
  </si>
  <si>
    <t>Dave Panco's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</si>
</sst>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_(&quot;$&quot;* #,##0.00000_);_(&quot;$&quot;* \(#,##0.00000\);_(&quot;$&quot;* &quot;-&quot;??_);_(@_)"/>
    <numFmt numFmtId="193" formatCode="&quot;$&quot;#,##0.00"/>
    <numFmt numFmtId="194" formatCode="#,##0.000000000_);\(#,##0.000000000\)"/>
    <numFmt numFmtId="195" formatCode="#,##0.0000000000_);[Red]\(#,##0.0000000000\)"/>
    <numFmt numFmtId="196" formatCode="0.00000%"/>
    <numFmt numFmtId="197" formatCode="&quot;$&quot;#,##0.00000_);[Red]\(&quot;$&quot;#,##0.00000\)"/>
    <numFmt numFmtId="198" formatCode="#,##0.0000_);\(#,##0.0000\)"/>
    <numFmt numFmtId="199" formatCode="mmm\-yy_)"/>
    <numFmt numFmtId="200" formatCode="0_)"/>
    <numFmt numFmtId="201" formatCode="#,##0.000000_);\(#,##0.000000\)"/>
    <numFmt numFmtId="202" formatCode="#,##0.0000000"/>
  </numFmts>
  <fonts count="15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
      <i/>
      <sz val="11"/>
      <name val="Times New Roman"/>
      <family val="1"/>
    </font>
    <font>
      <u/>
      <sz val="12"/>
      <color rgb="FF00B050"/>
      <name val="Times New Roman"/>
      <family val="1"/>
    </font>
    <font>
      <sz val="36"/>
      <color rgb="FFFF0000"/>
      <name val="Times New Roman"/>
      <family val="1"/>
    </font>
    <font>
      <sz val="12"/>
      <color rgb="FF00B050"/>
      <name val="Times New Roman"/>
      <family val="1"/>
    </font>
    <font>
      <sz val="12"/>
      <color theme="3" tint="0.39997558519241921"/>
      <name val="Times New Roman"/>
      <family val="1"/>
    </font>
    <font>
      <u val="double"/>
      <sz val="12"/>
      <color theme="1"/>
      <name val="Times New Roman"/>
      <family val="1"/>
    </font>
    <font>
      <u val="doubleAccounting"/>
      <sz val="12"/>
      <color theme="1"/>
      <name val="Times New Roman"/>
      <family val="1"/>
    </font>
    <font>
      <u val="doubleAccounting"/>
      <sz val="12"/>
      <name val="Times New Roman"/>
      <family val="1"/>
    </font>
    <font>
      <sz val="11"/>
      <color theme="1"/>
      <name val="Times New Roman"/>
      <family val="1"/>
    </font>
    <font>
      <i/>
      <sz val="11"/>
      <color theme="1"/>
      <name val="Times New Roman"/>
      <family val="1"/>
    </font>
    <font>
      <i/>
      <sz val="9"/>
      <color theme="1"/>
      <name val="Times New Roman"/>
      <family val="1"/>
    </font>
    <font>
      <vertAlign val="superscript"/>
      <sz val="12"/>
      <color theme="1"/>
      <name val="Times New Roman"/>
      <family val="1"/>
    </font>
    <font>
      <b/>
      <sz val="9"/>
      <color indexed="81"/>
      <name val="Tahoma"/>
      <charset val="1"/>
    </font>
    <font>
      <sz val="9"/>
      <color indexed="81"/>
      <name val="Tahoma"/>
      <charset val="1"/>
    </font>
  </fonts>
  <fills count="1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00B05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CC99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99CC"/>
        <bgColor indexed="64"/>
      </patternFill>
    </fill>
  </fills>
  <borders count="1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bottom/>
      <diagonal/>
    </border>
    <border>
      <left/>
      <right style="thick">
        <color indexed="64"/>
      </right>
      <top/>
      <bottom/>
      <diagonal/>
    </border>
    <border>
      <left style="thick">
        <color auto="1"/>
      </left>
      <right style="thick">
        <color auto="1"/>
      </right>
      <top/>
      <bottom/>
      <diagonal/>
    </border>
    <border>
      <left style="thick">
        <color auto="1"/>
      </left>
      <right/>
      <top style="thin">
        <color indexed="64"/>
      </top>
      <bottom/>
      <diagonal/>
    </border>
    <border>
      <left/>
      <right style="thick">
        <color indexed="64"/>
      </right>
      <top style="thin">
        <color indexed="64"/>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style="double">
        <color auto="1"/>
      </bottom>
      <diagonal/>
    </border>
    <border>
      <left style="thin">
        <color auto="1"/>
      </left>
      <right/>
      <top style="double">
        <color indexed="64"/>
      </top>
      <bottom style="double">
        <color auto="1"/>
      </bottom>
      <diagonal/>
    </border>
    <border>
      <left style="thin">
        <color auto="1"/>
      </left>
      <right style="double">
        <color auto="1"/>
      </right>
      <top style="thin">
        <color indexed="64"/>
      </top>
      <bottom/>
      <diagonal/>
    </border>
    <border>
      <left style="thick">
        <color rgb="FFCC66FF"/>
      </left>
      <right style="thick">
        <color rgb="FFCC66FF"/>
      </right>
      <top style="thick">
        <color rgb="FFCC66FF"/>
      </top>
      <bottom style="thick">
        <color rgb="FFCC66FF"/>
      </bottom>
      <diagonal/>
    </border>
  </borders>
  <cellStyleXfs count="25800">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2" applyNumberFormat="0" applyFont="0" applyAlignment="0" applyProtection="0">
      <protection locked="0"/>
    </xf>
    <xf numFmtId="0" fontId="63" fillId="59" borderId="72"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2"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2"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4" fontId="27" fillId="37" borderId="76" applyNumberFormat="0" applyProtection="0">
      <alignment vertical="center"/>
    </xf>
    <xf numFmtId="4" fontId="46" fillId="38" borderId="76" applyNumberFormat="0" applyProtection="0">
      <alignment vertical="center"/>
    </xf>
    <xf numFmtId="4" fontId="27" fillId="38" borderId="76" applyNumberFormat="0" applyProtection="0">
      <alignment horizontal="left" vertical="center" indent="1"/>
    </xf>
    <xf numFmtId="0" fontId="27" fillId="38" borderId="76" applyNumberFormat="0" applyProtection="0">
      <alignment horizontal="left" vertical="top" indent="1"/>
    </xf>
    <xf numFmtId="4" fontId="47" fillId="39" borderId="76" applyNumberFormat="0" applyProtection="0">
      <alignment horizontal="right" vertical="center"/>
    </xf>
    <xf numFmtId="4" fontId="47" fillId="40" borderId="76" applyNumberFormat="0" applyProtection="0">
      <alignment horizontal="right" vertical="center"/>
    </xf>
    <xf numFmtId="4" fontId="47" fillId="41" borderId="76" applyNumberFormat="0" applyProtection="0">
      <alignment horizontal="right" vertical="center"/>
    </xf>
    <xf numFmtId="4" fontId="47" fillId="42" borderId="76" applyNumberFormat="0" applyProtection="0">
      <alignment horizontal="right" vertical="center"/>
    </xf>
    <xf numFmtId="4" fontId="47" fillId="43" borderId="76" applyNumberFormat="0" applyProtection="0">
      <alignment horizontal="right" vertical="center"/>
    </xf>
    <xf numFmtId="4" fontId="47" fillId="44" borderId="76" applyNumberFormat="0" applyProtection="0">
      <alignment horizontal="right" vertical="center"/>
    </xf>
    <xf numFmtId="4" fontId="47" fillId="45" borderId="76" applyNumberFormat="0" applyProtection="0">
      <alignment horizontal="right" vertical="center"/>
    </xf>
    <xf numFmtId="4" fontId="47" fillId="46" borderId="76" applyNumberFormat="0" applyProtection="0">
      <alignment horizontal="right" vertical="center"/>
    </xf>
    <xf numFmtId="4" fontId="47" fillId="47" borderId="76" applyNumberFormat="0" applyProtection="0">
      <alignment horizontal="right" vertical="center"/>
    </xf>
    <xf numFmtId="4" fontId="47" fillId="51" borderId="76" applyNumberFormat="0" applyProtection="0">
      <alignment horizontal="right" vertical="center"/>
    </xf>
    <xf numFmtId="0" fontId="19" fillId="50" borderId="76" applyNumberFormat="0" applyProtection="0">
      <alignment horizontal="left" vertical="center" indent="1"/>
    </xf>
    <xf numFmtId="0" fontId="19" fillId="84" borderId="76" applyNumberFormat="0" applyProtection="0">
      <alignment horizontal="left" vertical="center" indent="1"/>
    </xf>
    <xf numFmtId="0" fontId="19" fillId="84" borderId="76" applyNumberFormat="0" applyProtection="0">
      <alignment horizontal="left" vertical="center" indent="1"/>
    </xf>
    <xf numFmtId="0" fontId="19" fillId="50" borderId="76" applyNumberFormat="0" applyProtection="0">
      <alignment horizontal="left" vertical="top" indent="1"/>
    </xf>
    <xf numFmtId="0" fontId="19" fillId="84" borderId="76" applyNumberFormat="0" applyProtection="0">
      <alignment horizontal="left" vertical="top" indent="1"/>
    </xf>
    <xf numFmtId="0" fontId="19" fillId="84" borderId="76" applyNumberFormat="0" applyProtection="0">
      <alignment horizontal="left" vertical="top" indent="1"/>
    </xf>
    <xf numFmtId="0" fontId="19" fillId="34" borderId="76" applyNumberFormat="0" applyProtection="0">
      <alignment horizontal="left" vertical="center" indent="1"/>
    </xf>
    <xf numFmtId="0" fontId="19" fillId="51" borderId="76" applyNumberFormat="0" applyProtection="0">
      <alignment horizontal="left" vertical="center" indent="1"/>
    </xf>
    <xf numFmtId="0" fontId="19" fillId="51" borderId="76" applyNumberFormat="0" applyProtection="0">
      <alignment horizontal="left" vertical="center" indent="1"/>
    </xf>
    <xf numFmtId="0" fontId="19" fillId="34" borderId="76" applyNumberFormat="0" applyProtection="0">
      <alignment horizontal="left" vertical="top" indent="1"/>
    </xf>
    <xf numFmtId="0" fontId="19" fillId="51" borderId="76" applyNumberFormat="0" applyProtection="0">
      <alignment horizontal="left" vertical="top" indent="1"/>
    </xf>
    <xf numFmtId="0" fontId="19" fillId="51" borderId="76" applyNumberFormat="0" applyProtection="0">
      <alignment horizontal="left" vertical="top" indent="1"/>
    </xf>
    <xf numFmtId="0" fontId="19" fillId="54" borderId="76" applyNumberFormat="0" applyProtection="0">
      <alignment horizontal="left" vertical="center" indent="1"/>
    </xf>
    <xf numFmtId="0" fontId="19" fillId="85" borderId="76" applyNumberFormat="0" applyProtection="0">
      <alignment horizontal="left" vertical="center" indent="1"/>
    </xf>
    <xf numFmtId="0" fontId="19" fillId="85" borderId="76" applyNumberFormat="0" applyProtection="0">
      <alignment horizontal="left" vertical="center" indent="1"/>
    </xf>
    <xf numFmtId="0" fontId="19" fillId="54" borderId="76" applyNumberFormat="0" applyProtection="0">
      <alignment horizontal="left" vertical="top" indent="1"/>
    </xf>
    <xf numFmtId="0" fontId="19" fillId="85" borderId="76" applyNumberFormat="0" applyProtection="0">
      <alignment horizontal="left" vertical="top" indent="1"/>
    </xf>
    <xf numFmtId="0" fontId="19" fillId="85" borderId="76" applyNumberFormat="0" applyProtection="0">
      <alignment horizontal="left" vertical="top" indent="1"/>
    </xf>
    <xf numFmtId="0" fontId="19" fillId="55" borderId="76" applyNumberFormat="0" applyProtection="0">
      <alignment horizontal="left" vertical="center" indent="1"/>
    </xf>
    <xf numFmtId="0" fontId="19" fillId="49" borderId="76" applyNumberFormat="0" applyProtection="0">
      <alignment horizontal="left" vertical="center" indent="1"/>
    </xf>
    <xf numFmtId="0" fontId="19" fillId="49" borderId="76" applyNumberFormat="0" applyProtection="0">
      <alignment horizontal="left" vertical="center" indent="1"/>
    </xf>
    <xf numFmtId="0" fontId="19" fillId="55" borderId="76" applyNumberFormat="0" applyProtection="0">
      <alignment horizontal="left" vertical="top" indent="1"/>
    </xf>
    <xf numFmtId="0" fontId="19" fillId="49" borderId="76" applyNumberFormat="0" applyProtection="0">
      <alignment horizontal="left" vertical="top" indent="1"/>
    </xf>
    <xf numFmtId="0" fontId="19" fillId="49" borderId="76" applyNumberFormat="0" applyProtection="0">
      <alignment horizontal="left" vertical="top" indent="1"/>
    </xf>
    <xf numFmtId="4" fontId="47" fillId="35" borderId="76" applyNumberFormat="0" applyProtection="0">
      <alignment vertical="center"/>
    </xf>
    <xf numFmtId="4" fontId="51" fillId="35" borderId="76" applyNumberFormat="0" applyProtection="0">
      <alignment vertical="center"/>
    </xf>
    <xf numFmtId="4" fontId="47" fillId="35" borderId="76" applyNumberFormat="0" applyProtection="0">
      <alignment horizontal="left" vertical="center" indent="1"/>
    </xf>
    <xf numFmtId="0" fontId="47" fillId="35" borderId="76" applyNumberFormat="0" applyProtection="0">
      <alignment horizontal="left" vertical="top" indent="1"/>
    </xf>
    <xf numFmtId="4" fontId="47" fillId="0" borderId="76" applyNumberFormat="0" applyProtection="0">
      <alignment horizontal="right" vertical="center"/>
    </xf>
    <xf numFmtId="4" fontId="51" fillId="49" borderId="76" applyNumberFormat="0" applyProtection="0">
      <alignment horizontal="right" vertical="center"/>
    </xf>
    <xf numFmtId="4" fontId="47" fillId="0" borderId="76" applyNumberFormat="0" applyProtection="0">
      <alignment horizontal="left" vertical="center" indent="1"/>
    </xf>
    <xf numFmtId="0" fontId="47" fillId="34" borderId="76" applyNumberFormat="0" applyProtection="0">
      <alignment horizontal="left" vertical="top"/>
    </xf>
    <xf numFmtId="4" fontId="25" fillId="49" borderId="76" applyNumberFormat="0" applyProtection="0">
      <alignment horizontal="right" vertical="center"/>
    </xf>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178"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7" fillId="0" borderId="0"/>
    <xf numFmtId="0" fontId="18" fillId="0" borderId="0"/>
    <xf numFmtId="44" fontId="18" fillId="0" borderId="0" applyFont="0" applyFill="0" applyBorder="0" applyProtection="0">
      <alignment horizontal="right"/>
    </xf>
  </cellStyleXfs>
  <cellXfs count="1361">
    <xf numFmtId="0" fontId="0" fillId="0" borderId="0" xfId="0"/>
    <xf numFmtId="178" fontId="32" fillId="0" borderId="0" xfId="25741" applyFont="1" applyFill="1" applyAlignment="1">
      <alignment horizontal="centerContinuous"/>
    </xf>
    <xf numFmtId="0" fontId="32" fillId="0" borderId="0" xfId="0" applyFont="1" applyAlignment="1">
      <alignment horizontal="centerContinuous"/>
    </xf>
    <xf numFmtId="0" fontId="0" fillId="0" borderId="0" xfId="0"/>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wrapText="1"/>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0" fontId="124" fillId="0" borderId="0" xfId="0" applyFont="1" applyBorder="1" applyAlignment="1">
      <alignment horizontal="center"/>
    </xf>
    <xf numFmtId="0" fontId="124" fillId="0" borderId="0" xfId="0" applyFont="1" applyBorder="1"/>
    <xf numFmtId="0" fontId="127" fillId="0" borderId="0" xfId="0" applyFont="1" applyAlignment="1">
      <alignment horizontal="center"/>
    </xf>
    <xf numFmtId="0" fontId="124" fillId="0" borderId="0" xfId="0" applyFont="1" applyBorder="1" applyAlignment="1">
      <alignment horizontal="left"/>
    </xf>
    <xf numFmtId="0" fontId="124" fillId="0" borderId="0" xfId="0" applyFont="1" applyFill="1"/>
    <xf numFmtId="0" fontId="124" fillId="0" borderId="0" xfId="0" applyFont="1" applyFill="1" applyAlignment="1">
      <alignment horizontal="center"/>
    </xf>
    <xf numFmtId="0" fontId="32" fillId="0" borderId="0" xfId="0" applyFont="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0" applyFont="1" applyAlignment="1">
      <alignment horizontal="center"/>
    </xf>
    <xf numFmtId="0" fontId="124" fillId="0" borderId="0" xfId="0" applyFont="1" applyAlignment="1"/>
    <xf numFmtId="0" fontId="123" fillId="0" borderId="0" xfId="24690" applyFont="1" applyFill="1" applyBorder="1" applyAlignment="1">
      <alignment horizontal="center"/>
    </xf>
    <xf numFmtId="0" fontId="123" fillId="0" borderId="0" xfId="0" applyFont="1" applyAlignment="1">
      <alignment horizontal="center"/>
    </xf>
    <xf numFmtId="0" fontId="123"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80" xfId="1" applyNumberFormat="1" applyFont="1" applyFill="1" applyBorder="1" applyAlignment="1">
      <alignment horizontal="center"/>
    </xf>
    <xf numFmtId="0" fontId="32" fillId="0" borderId="81" xfId="1" applyFont="1" applyBorder="1"/>
    <xf numFmtId="0" fontId="32" fillId="0" borderId="79" xfId="1" applyFont="1" applyBorder="1"/>
    <xf numFmtId="0" fontId="32" fillId="0" borderId="79" xfId="1" applyFont="1" applyBorder="1" applyAlignment="1">
      <alignment horizontal="center"/>
    </xf>
    <xf numFmtId="0" fontId="32" fillId="0" borderId="81" xfId="1" applyFont="1" applyBorder="1" applyAlignment="1">
      <alignment horizontal="center"/>
    </xf>
    <xf numFmtId="0" fontId="32" fillId="0" borderId="78"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9"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3" fillId="0" borderId="0" xfId="1" applyFont="1" applyFill="1" applyBorder="1" applyProtection="1"/>
    <xf numFmtId="38" fontId="32" fillId="0" borderId="79" xfId="2" applyNumberFormat="1" applyFont="1" applyFill="1" applyBorder="1" applyProtection="1"/>
    <xf numFmtId="38" fontId="32" fillId="0" borderId="81" xfId="2" applyNumberFormat="1" applyFont="1" applyFill="1" applyBorder="1" applyProtection="1"/>
    <xf numFmtId="38" fontId="32" fillId="0" borderId="11" xfId="2" applyNumberFormat="1" applyFont="1" applyFill="1" applyBorder="1" applyProtection="1"/>
    <xf numFmtId="168" fontId="124" fillId="0" borderId="0" xfId="25795"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4" fillId="0" borderId="0" xfId="0" applyNumberFormat="1" applyFont="1"/>
    <xf numFmtId="43" fontId="124" fillId="0" borderId="0" xfId="0" applyNumberFormat="1" applyFont="1"/>
    <xf numFmtId="38" fontId="32" fillId="0" borderId="0" xfId="2" applyNumberFormat="1" applyFont="1" applyFill="1" applyBorder="1"/>
    <xf numFmtId="38" fontId="124" fillId="0" borderId="35" xfId="0" applyNumberFormat="1" applyFont="1" applyFill="1" applyBorder="1"/>
    <xf numFmtId="0" fontId="123" fillId="0" borderId="0" xfId="1" applyFont="1" applyFill="1" applyBorder="1"/>
    <xf numFmtId="38" fontId="32" fillId="33" borderId="87" xfId="3" applyNumberFormat="1" applyFont="1" applyFill="1" applyBorder="1">
      <alignment horizontal="right"/>
    </xf>
    <xf numFmtId="38" fontId="32" fillId="33" borderId="82" xfId="3" applyNumberFormat="1" applyFont="1" applyFill="1" applyBorder="1">
      <alignment horizontal="right"/>
    </xf>
    <xf numFmtId="38" fontId="32" fillId="33" borderId="0" xfId="3" applyNumberFormat="1" applyFont="1" applyFill="1" applyBorder="1">
      <alignment horizontal="right"/>
    </xf>
    <xf numFmtId="38" fontId="32" fillId="33" borderId="86" xfId="3" applyNumberFormat="1" applyFont="1" applyFill="1" applyBorder="1">
      <alignment horizontal="right"/>
    </xf>
    <xf numFmtId="0" fontId="124"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3"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9" xfId="4" applyNumberFormat="1" applyFont="1" applyFill="1" applyBorder="1"/>
    <xf numFmtId="10" fontId="32" fillId="0" borderId="108" xfId="4" applyNumberFormat="1" applyFont="1" applyFill="1" applyBorder="1"/>
    <xf numFmtId="0" fontId="32" fillId="0" borderId="13" xfId="1" applyFont="1" applyBorder="1"/>
    <xf numFmtId="5" fontId="124" fillId="0" borderId="0" xfId="0" applyNumberFormat="1" applyFont="1"/>
    <xf numFmtId="0" fontId="32" fillId="0" borderId="0" xfId="25455" applyFont="1"/>
    <xf numFmtId="0" fontId="32" fillId="0" borderId="0" xfId="25455" applyFont="1" applyFill="1" applyBorder="1"/>
    <xf numFmtId="10" fontId="124" fillId="0" borderId="55" xfId="0" applyNumberFormat="1" applyFont="1" applyFill="1" applyBorder="1"/>
    <xf numFmtId="190" fontId="124" fillId="0" borderId="0" xfId="0" applyNumberFormat="1" applyFont="1"/>
    <xf numFmtId="190" fontId="124" fillId="0" borderId="55" xfId="0" applyNumberFormat="1" applyFont="1" applyBorder="1"/>
    <xf numFmtId="185" fontId="124" fillId="0" borderId="55" xfId="0" applyNumberFormat="1" applyFont="1" applyBorder="1"/>
    <xf numFmtId="190" fontId="126" fillId="0" borderId="82" xfId="0" applyNumberFormat="1" applyFont="1" applyBorder="1"/>
    <xf numFmtId="168" fontId="126"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32" fillId="86" borderId="11" xfId="24767" applyNumberFormat="1" applyFont="1" applyFill="1" applyBorder="1"/>
    <xf numFmtId="185" fontId="32" fillId="87" borderId="11" xfId="24767" applyNumberFormat="1" applyFont="1" applyFill="1" applyBorder="1"/>
    <xf numFmtId="185" fontId="124"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3"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9" fillId="0" borderId="0" xfId="0" applyFont="1"/>
    <xf numFmtId="37" fontId="32" fillId="0" borderId="0" xfId="25455" applyNumberFormat="1" applyFont="1"/>
    <xf numFmtId="37" fontId="124"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91"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80" xfId="25455" applyFont="1" applyBorder="1"/>
    <xf numFmtId="164" fontId="32" fillId="0" borderId="79" xfId="25455" applyNumberFormat="1" applyFont="1" applyBorder="1" applyAlignment="1"/>
    <xf numFmtId="0" fontId="32" fillId="0" borderId="81" xfId="25455" applyFont="1" applyBorder="1"/>
    <xf numFmtId="0" fontId="32" fillId="0" borderId="0" xfId="25455" applyFont="1" applyBorder="1"/>
    <xf numFmtId="0" fontId="32" fillId="0" borderId="78" xfId="25455" applyFont="1" applyFill="1" applyBorder="1" applyAlignment="1">
      <alignment horizontal="center"/>
    </xf>
    <xf numFmtId="0" fontId="32" fillId="0" borderId="78" xfId="25455" applyFont="1" applyBorder="1" applyAlignment="1">
      <alignment horizontal="center"/>
    </xf>
    <xf numFmtId="0" fontId="123" fillId="0" borderId="95"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123" fillId="0" borderId="65" xfId="25455" applyFont="1" applyBorder="1" applyAlignment="1">
      <alignment horizontal="center"/>
    </xf>
    <xf numFmtId="0" fontId="32" fillId="0" borderId="54" xfId="25455" applyFont="1" applyBorder="1"/>
    <xf numFmtId="0" fontId="123"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9"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86" borderId="14" xfId="25456" applyNumberFormat="1" applyFont="1" applyFill="1" applyBorder="1"/>
    <xf numFmtId="37" fontId="32" fillId="0" borderId="14" xfId="25456" applyNumberFormat="1" applyFont="1" applyFill="1" applyBorder="1"/>
    <xf numFmtId="37" fontId="32" fillId="87" borderId="14" xfId="25456" applyNumberFormat="1" applyFont="1" applyFill="1" applyBorder="1"/>
    <xf numFmtId="0" fontId="123" fillId="0" borderId="0" xfId="25455" applyFont="1" applyBorder="1"/>
    <xf numFmtId="0" fontId="123" fillId="0" borderId="11" xfId="25455" applyFont="1" applyBorder="1"/>
    <xf numFmtId="0" fontId="123" fillId="0" borderId="0" xfId="25455" applyFont="1"/>
    <xf numFmtId="5" fontId="123" fillId="0" borderId="51" xfId="25457" applyNumberFormat="1" applyFont="1" applyBorder="1">
      <alignment horizontal="right"/>
    </xf>
    <xf numFmtId="5" fontId="123" fillId="0" borderId="51" xfId="25457" applyNumberFormat="1" applyFont="1" applyFill="1" applyBorder="1">
      <alignment horizontal="right"/>
    </xf>
    <xf numFmtId="5" fontId="123" fillId="0" borderId="78" xfId="25457" applyNumberFormat="1" applyFont="1" applyBorder="1">
      <alignment horizontal="right"/>
    </xf>
    <xf numFmtId="5" fontId="123" fillId="0" borderId="78" xfId="25457" applyNumberFormat="1" applyFont="1" applyFill="1" applyBorder="1">
      <alignment horizontal="right"/>
    </xf>
    <xf numFmtId="5" fontId="123"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86" borderId="14" xfId="25457" applyNumberFormat="1" applyFont="1" applyFill="1" applyBorder="1">
      <alignment horizontal="right"/>
    </xf>
    <xf numFmtId="5" fontId="32" fillId="87" borderId="14" xfId="25457" applyNumberFormat="1" applyFont="1" applyFill="1" applyBorder="1">
      <alignment horizontal="right"/>
    </xf>
    <xf numFmtId="5" fontId="32" fillId="0" borderId="14" xfId="25456" applyNumberFormat="1" applyFont="1" applyBorder="1"/>
    <xf numFmtId="37" fontId="32" fillId="0" borderId="14" xfId="25456" applyNumberFormat="1" applyFont="1" applyBorder="1"/>
    <xf numFmtId="5" fontId="123" fillId="0" borderId="51" xfId="25456" applyNumberFormat="1" applyFont="1" applyBorder="1"/>
    <xf numFmtId="37" fontId="32" fillId="0" borderId="16" xfId="25456" applyNumberFormat="1" applyFont="1" applyBorder="1"/>
    <xf numFmtId="5" fontId="32" fillId="0" borderId="51" xfId="25457" applyNumberFormat="1" applyFont="1" applyBorder="1">
      <alignment horizontal="right"/>
    </xf>
    <xf numFmtId="5" fontId="123" fillId="0" borderId="64" xfId="25457" applyNumberFormat="1" applyFont="1" applyBorder="1">
      <alignment horizontal="right"/>
    </xf>
    <xf numFmtId="5" fontId="123" fillId="0" borderId="64" xfId="25457" applyNumberFormat="1" applyFont="1" applyFill="1" applyBorder="1">
      <alignment horizontal="right"/>
    </xf>
    <xf numFmtId="5" fontId="123" fillId="0" borderId="64" xfId="25456" applyNumberFormat="1" applyFont="1" applyBorder="1"/>
    <xf numFmtId="5" fontId="123"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37" fontId="32" fillId="86" borderId="16" xfId="25456" applyNumberFormat="1" applyFont="1" applyFill="1" applyBorder="1"/>
    <xf numFmtId="37" fontId="32" fillId="87" borderId="16" xfId="25456" applyNumberFormat="1" applyFont="1" applyFill="1" applyBorder="1"/>
    <xf numFmtId="5" fontId="32" fillId="0" borderId="51" xfId="25456" applyNumberFormat="1" applyFont="1" applyBorder="1"/>
    <xf numFmtId="5" fontId="32" fillId="0" borderId="51" xfId="25456" applyNumberFormat="1" applyFont="1" applyFill="1" applyBorder="1"/>
    <xf numFmtId="0" fontId="123" fillId="0" borderId="0" xfId="25455" applyFont="1" applyFill="1" applyBorder="1"/>
    <xf numFmtId="183" fontId="123" fillId="0" borderId="51" xfId="25457" applyNumberFormat="1" applyFont="1" applyFill="1" applyBorder="1">
      <alignment horizontal="right"/>
    </xf>
    <xf numFmtId="0" fontId="123" fillId="0" borderId="0" xfId="25455" applyFont="1" applyFill="1"/>
    <xf numFmtId="0" fontId="123" fillId="0" borderId="55" xfId="25455" applyFont="1" applyBorder="1"/>
    <xf numFmtId="0" fontId="123" fillId="0" borderId="55" xfId="25455" applyFont="1" applyFill="1" applyBorder="1"/>
    <xf numFmtId="0" fontId="123" fillId="0" borderId="56" xfId="25455" applyFont="1" applyBorder="1"/>
    <xf numFmtId="5" fontId="123" fillId="0" borderId="16" xfId="25455" applyNumberFormat="1" applyFont="1" applyBorder="1"/>
    <xf numFmtId="5" fontId="123" fillId="0" borderId="16" xfId="25455" applyNumberFormat="1" applyFont="1" applyFill="1" applyBorder="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4"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0" fontId="123" fillId="0" borderId="0" xfId="25752" applyFont="1" applyAlignment="1">
      <alignment horizontal="center" vertical="center" wrapText="1"/>
    </xf>
    <xf numFmtId="43" fontId="123" fillId="98" borderId="101" xfId="25744" applyFont="1" applyFill="1" applyBorder="1" applyAlignment="1">
      <alignment horizontal="center" vertical="center" wrapText="1"/>
    </xf>
    <xf numFmtId="43" fontId="123" fillId="98" borderId="0" xfId="25744" applyFont="1" applyFill="1" applyBorder="1" applyAlignment="1">
      <alignment horizontal="center" vertical="center" wrapText="1"/>
    </xf>
    <xf numFmtId="43" fontId="123" fillId="98" borderId="102" xfId="25744" applyFont="1" applyFill="1" applyBorder="1" applyAlignment="1">
      <alignment horizontal="center" vertical="center" wrapText="1"/>
    </xf>
    <xf numFmtId="43" fontId="123" fillId="99" borderId="0" xfId="25744" applyFont="1" applyFill="1" applyAlignment="1">
      <alignment horizontal="center" vertical="center" wrapText="1"/>
    </xf>
    <xf numFmtId="43" fontId="123" fillId="99" borderId="0" xfId="25744" applyFont="1" applyFill="1" applyBorder="1" applyAlignment="1">
      <alignment horizontal="center" vertical="center" wrapText="1"/>
    </xf>
    <xf numFmtId="43" fontId="123" fillId="0" borderId="0" xfId="25744" applyFont="1" applyFill="1" applyBorder="1" applyAlignment="1">
      <alignment horizontal="center" vertical="center" wrapText="1"/>
    </xf>
    <xf numFmtId="43" fontId="123" fillId="0" borderId="103" xfId="25744" applyFont="1" applyBorder="1" applyAlignment="1">
      <alignment horizontal="center" vertical="center" wrapText="1"/>
    </xf>
    <xf numFmtId="43" fontId="123" fillId="98" borderId="103" xfId="25744" applyFont="1" applyFill="1" applyBorder="1" applyAlignment="1">
      <alignment horizontal="center" vertical="center" wrapText="1"/>
    </xf>
    <xf numFmtId="43" fontId="123" fillId="99" borderId="103" xfId="25744" applyFont="1" applyFill="1" applyBorder="1" applyAlignment="1">
      <alignment horizontal="center" vertical="center" wrapText="1"/>
    </xf>
    <xf numFmtId="0" fontId="32" fillId="0" borderId="0" xfId="25796" applyFont="1"/>
    <xf numFmtId="43" fontId="32" fillId="98" borderId="101" xfId="25744" applyFont="1" applyFill="1" applyBorder="1"/>
    <xf numFmtId="43" fontId="32" fillId="98" borderId="0" xfId="25744" applyFont="1" applyFill="1" applyBorder="1"/>
    <xf numFmtId="43" fontId="32" fillId="98" borderId="102" xfId="25744" applyFont="1" applyFill="1" applyBorder="1"/>
    <xf numFmtId="43" fontId="32" fillId="99" borderId="0" xfId="25744" applyFont="1" applyFill="1"/>
    <xf numFmtId="14" fontId="32" fillId="0" borderId="0" xfId="25744" applyNumberFormat="1" applyFont="1" applyFill="1"/>
    <xf numFmtId="43" fontId="32" fillId="0" borderId="0" xfId="25744" applyFont="1" applyFill="1"/>
    <xf numFmtId="43" fontId="32" fillId="0" borderId="103" xfId="25744" applyFont="1" applyBorder="1"/>
    <xf numFmtId="39" fontId="32" fillId="0" borderId="0" xfId="25796" applyNumberFormat="1" applyFont="1"/>
    <xf numFmtId="43" fontId="32" fillId="98" borderId="103" xfId="25744" applyFont="1" applyFill="1" applyBorder="1"/>
    <xf numFmtId="43" fontId="32" fillId="99" borderId="103" xfId="25744" applyFont="1" applyFill="1" applyBorder="1"/>
    <xf numFmtId="39" fontId="32" fillId="0" borderId="0" xfId="25796" applyNumberFormat="1" applyFont="1" applyFill="1"/>
    <xf numFmtId="0" fontId="32" fillId="0" borderId="0" xfId="25796" applyFont="1" applyAlignment="1">
      <alignment horizontal="center"/>
    </xf>
    <xf numFmtId="43" fontId="32" fillId="98" borderId="89" xfId="25744" applyFont="1" applyFill="1" applyBorder="1"/>
    <xf numFmtId="0" fontId="32" fillId="0" borderId="0" xfId="25796" applyFont="1" applyFill="1"/>
    <xf numFmtId="43" fontId="32" fillId="0" borderId="101" xfId="25744" applyFont="1" applyFill="1" applyBorder="1"/>
    <xf numFmtId="43" fontId="32" fillId="0" borderId="0" xfId="25744" applyFont="1" applyFill="1" applyBorder="1"/>
    <xf numFmtId="43" fontId="32" fillId="0" borderId="102" xfId="25744" applyFont="1" applyFill="1" applyBorder="1"/>
    <xf numFmtId="43" fontId="32" fillId="0" borderId="103" xfId="25744" applyFont="1" applyFill="1" applyBorder="1"/>
    <xf numFmtId="43" fontId="32" fillId="89" borderId="103" xfId="25744" applyFont="1" applyFill="1" applyBorder="1"/>
    <xf numFmtId="0" fontId="32" fillId="0" borderId="0" xfId="25752" applyFont="1"/>
    <xf numFmtId="0" fontId="123" fillId="0" borderId="0" xfId="25752" applyFont="1" applyAlignment="1">
      <alignment horizontal="right"/>
    </xf>
    <xf numFmtId="43" fontId="32" fillId="98" borderId="104" xfId="25744" applyFont="1" applyFill="1" applyBorder="1"/>
    <xf numFmtId="43" fontId="32" fillId="98" borderId="79" xfId="25744" applyFont="1" applyFill="1" applyBorder="1"/>
    <xf numFmtId="43" fontId="32" fillId="98" borderId="105" xfId="25744" applyFont="1" applyFill="1" applyBorder="1"/>
    <xf numFmtId="43" fontId="32" fillId="99" borderId="79" xfId="25744" applyFont="1" applyFill="1" applyBorder="1"/>
    <xf numFmtId="43" fontId="32" fillId="0" borderId="79" xfId="25744" applyFont="1" applyFill="1" applyBorder="1"/>
    <xf numFmtId="43" fontId="32" fillId="0" borderId="106" xfId="25744" applyFont="1" applyBorder="1"/>
    <xf numFmtId="39" fontId="32" fillId="0" borderId="106" xfId="25744" applyNumberFormat="1" applyFont="1" applyBorder="1"/>
    <xf numFmtId="43" fontId="32" fillId="98" borderId="106" xfId="25744" applyFont="1" applyFill="1" applyBorder="1"/>
    <xf numFmtId="43" fontId="32" fillId="99" borderId="106" xfId="25744" applyFont="1" applyFill="1" applyBorder="1"/>
    <xf numFmtId="0" fontId="32" fillId="0" borderId="0" xfId="25752" applyFont="1" applyAlignment="1">
      <alignment horizontal="center"/>
    </xf>
    <xf numFmtId="43" fontId="32" fillId="99" borderId="0" xfId="25744" applyFont="1" applyFill="1" applyBorder="1"/>
    <xf numFmtId="39" fontId="32" fillId="0" borderId="0" xfId="25752" applyNumberFormat="1" applyFont="1"/>
    <xf numFmtId="43" fontId="32" fillId="0" borderId="0" xfId="25796" applyNumberFormat="1" applyFont="1"/>
    <xf numFmtId="39" fontId="32" fillId="0" borderId="103" xfId="25744" applyNumberFormat="1" applyFont="1" applyBorder="1"/>
    <xf numFmtId="39" fontId="123" fillId="0" borderId="106" xfId="25744" applyNumberFormat="1" applyFont="1" applyBorder="1"/>
    <xf numFmtId="43" fontId="32" fillId="0" borderId="0" xfId="25744" applyFont="1"/>
    <xf numFmtId="43" fontId="32" fillId="0" borderId="0" xfId="25744" applyFont="1" applyAlignment="1">
      <alignment horizontal="center"/>
    </xf>
    <xf numFmtId="0" fontId="32" fillId="0" borderId="0" xfId="25796" applyFont="1" applyAlignment="1">
      <alignment horizontal="right"/>
    </xf>
    <xf numFmtId="0" fontId="123" fillId="0" borderId="80" xfId="0" applyFont="1" applyBorder="1"/>
    <xf numFmtId="43" fontId="124" fillId="0" borderId="0" xfId="25747"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7" applyNumberFormat="1" applyFont="1" applyAlignment="1">
      <alignment horizontal="center"/>
    </xf>
    <xf numFmtId="0" fontId="32" fillId="0" borderId="79" xfId="0" applyFont="1" applyBorder="1"/>
    <xf numFmtId="0" fontId="32" fillId="92" borderId="0" xfId="0" applyFont="1" applyFill="1"/>
    <xf numFmtId="0" fontId="32" fillId="0" borderId="79" xfId="0" applyFont="1" applyBorder="1" applyAlignment="1">
      <alignment wrapText="1"/>
    </xf>
    <xf numFmtId="0" fontId="123" fillId="0" borderId="79" xfId="0" applyFont="1" applyBorder="1" applyAlignment="1">
      <alignment horizontal="center" wrapText="1"/>
    </xf>
    <xf numFmtId="0" fontId="123"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8" xfId="25455" applyNumberFormat="1" applyFont="1" applyFill="1" applyBorder="1" applyAlignment="1">
      <alignment horizontal="center"/>
    </xf>
    <xf numFmtId="39" fontId="32" fillId="0" borderId="78" xfId="25455" applyNumberFormat="1" applyFont="1" applyFill="1" applyBorder="1" applyAlignment="1">
      <alignment horizontal="center"/>
    </xf>
    <xf numFmtId="43" fontId="32" fillId="0" borderId="78" xfId="25455" applyNumberFormat="1" applyFont="1" applyBorder="1" applyAlignment="1">
      <alignment horizontal="center"/>
    </xf>
    <xf numFmtId="43" fontId="32" fillId="0" borderId="78" xfId="25747"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7" applyNumberFormat="1" applyFont="1" applyFill="1" applyBorder="1" applyAlignment="1">
      <alignment horizontal="center"/>
    </xf>
    <xf numFmtId="0" fontId="123" fillId="92" borderId="79" xfId="0" applyFont="1" applyFill="1" applyBorder="1" applyAlignment="1">
      <alignment horizontal="center"/>
    </xf>
    <xf numFmtId="39" fontId="123" fillId="92" borderId="89" xfId="25745" applyFont="1" applyFill="1" applyBorder="1" applyAlignment="1" applyProtection="1">
      <alignment horizontal="center" wrapText="1"/>
    </xf>
    <xf numFmtId="191" fontId="123" fillId="94" borderId="54" xfId="25745" applyNumberFormat="1" applyFont="1" applyFill="1" applyBorder="1" applyAlignment="1" applyProtection="1">
      <alignment horizontal="center" wrapText="1"/>
    </xf>
    <xf numFmtId="39" fontId="123" fillId="94" borderId="89" xfId="25745" applyFont="1" applyFill="1" applyBorder="1" applyAlignment="1" applyProtection="1">
      <alignment horizontal="center" wrapText="1"/>
    </xf>
    <xf numFmtId="39" fontId="123" fillId="94" borderId="56" xfId="25745" applyFont="1" applyFill="1" applyBorder="1" applyAlignment="1" applyProtection="1">
      <alignment horizontal="center" wrapText="1"/>
    </xf>
    <xf numFmtId="43" fontId="123" fillId="94" borderId="0" xfId="25745" applyNumberFormat="1" applyFont="1" applyFill="1" applyBorder="1" applyAlignment="1" applyProtection="1">
      <alignment horizontal="center" wrapText="1"/>
    </xf>
    <xf numFmtId="39" fontId="123" fillId="94" borderId="0" xfId="25745" applyNumberFormat="1" applyFont="1" applyFill="1" applyBorder="1" applyAlignment="1" applyProtection="1">
      <alignment horizontal="center" wrapText="1"/>
    </xf>
    <xf numFmtId="43" fontId="123" fillId="94" borderId="0" xfId="25747" applyNumberFormat="1" applyFont="1" applyFill="1" applyBorder="1" applyAlignment="1" applyProtection="1">
      <alignment horizontal="center" wrapText="1"/>
    </xf>
    <xf numFmtId="39" fontId="123" fillId="94" borderId="0" xfId="25745" applyFont="1" applyFill="1" applyBorder="1" applyAlignment="1" applyProtection="1">
      <alignment horizontal="center" wrapText="1"/>
    </xf>
    <xf numFmtId="39" fontId="123" fillId="0" borderId="35" xfId="25745" applyFont="1" applyBorder="1" applyAlignment="1" applyProtection="1">
      <alignment horizontal="left"/>
    </xf>
    <xf numFmtId="39" fontId="32" fillId="0" borderId="11" xfId="25745" applyFont="1" applyBorder="1"/>
    <xf numFmtId="0" fontId="32" fillId="92" borderId="0" xfId="0" applyFont="1" applyFill="1" applyBorder="1"/>
    <xf numFmtId="0" fontId="32" fillId="0" borderId="11" xfId="0" applyFont="1" applyBorder="1"/>
    <xf numFmtId="39" fontId="32" fillId="0" borderId="35" xfId="25745" applyFont="1" applyBorder="1" applyAlignment="1" applyProtection="1">
      <alignment horizontal="center"/>
    </xf>
    <xf numFmtId="39" fontId="32" fillId="0" borderId="11" xfId="25745" applyFont="1" applyBorder="1" applyAlignment="1" applyProtection="1">
      <alignment horizontal="left"/>
    </xf>
    <xf numFmtId="43" fontId="32" fillId="92"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2" borderId="53" xfId="0" applyNumberFormat="1" applyFont="1" applyFill="1" applyBorder="1"/>
    <xf numFmtId="43" fontId="32" fillId="0" borderId="84" xfId="0" applyNumberFormat="1" applyFont="1" applyBorder="1"/>
    <xf numFmtId="39" fontId="32" fillId="0" borderId="53"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7" applyNumberFormat="1" applyFont="1" applyBorder="1"/>
    <xf numFmtId="39" fontId="32" fillId="0" borderId="35" xfId="25745" applyFont="1" applyBorder="1" applyAlignment="1" applyProtection="1">
      <alignment horizontal="left"/>
    </xf>
    <xf numFmtId="43" fontId="32" fillId="0" borderId="0" xfId="0" applyNumberFormat="1" applyFont="1" applyBorder="1"/>
    <xf numFmtId="39" fontId="32" fillId="0" borderId="35" xfId="25745"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2"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2" borderId="82" xfId="0" applyNumberFormat="1" applyFont="1" applyFill="1" applyBorder="1"/>
    <xf numFmtId="43" fontId="32" fillId="0" borderId="87" xfId="0" applyNumberFormat="1" applyFont="1" applyBorder="1"/>
    <xf numFmtId="43" fontId="32" fillId="0" borderId="82" xfId="0" applyNumberFormat="1" applyFont="1" applyBorder="1"/>
    <xf numFmtId="43" fontId="32" fillId="0" borderId="86" xfId="0" applyNumberFormat="1" applyFont="1" applyBorder="1"/>
    <xf numFmtId="39" fontId="32" fillId="0" borderId="86" xfId="0" applyNumberFormat="1" applyFont="1" applyBorder="1"/>
    <xf numFmtId="43" fontId="32" fillId="0" borderId="86" xfId="25747" applyNumberFormat="1" applyFont="1" applyBorder="1"/>
    <xf numFmtId="39" fontId="32" fillId="0" borderId="35" xfId="25745" applyFont="1" applyBorder="1"/>
    <xf numFmtId="181" fontId="32" fillId="0" borderId="35" xfId="0" applyNumberFormat="1" applyFont="1" applyBorder="1"/>
    <xf numFmtId="39" fontId="123" fillId="0" borderId="11" xfId="25745" applyFont="1" applyBorder="1"/>
    <xf numFmtId="39" fontId="32" fillId="92" borderId="53" xfId="0" applyNumberFormat="1" applyFont="1" applyFill="1" applyBorder="1"/>
    <xf numFmtId="39" fontId="32" fillId="0" borderId="84" xfId="0" applyNumberFormat="1" applyFont="1" applyBorder="1"/>
    <xf numFmtId="43" fontId="32" fillId="0" borderId="11" xfId="25747" applyNumberFormat="1" applyFont="1" applyBorder="1"/>
    <xf numFmtId="43" fontId="32" fillId="92" borderId="89" xfId="0" applyNumberFormat="1" applyFont="1" applyFill="1" applyBorder="1"/>
    <xf numFmtId="43" fontId="32" fillId="0" borderId="54" xfId="0" applyNumberFormat="1" applyFont="1" applyBorder="1"/>
    <xf numFmtId="39" fontId="32" fillId="0" borderId="89"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7" applyNumberFormat="1" applyFont="1" applyBorder="1"/>
    <xf numFmtId="39" fontId="32" fillId="0" borderId="82" xfId="0" applyNumberFormat="1" applyFont="1" applyBorder="1"/>
    <xf numFmtId="49" fontId="32" fillId="0" borderId="35" xfId="25745" applyNumberFormat="1" applyFont="1" applyBorder="1" applyAlignment="1" applyProtection="1">
      <alignment horizontal="center"/>
    </xf>
    <xf numFmtId="8" fontId="124" fillId="0" borderId="0" xfId="0" applyNumberFormat="1" applyFont="1"/>
    <xf numFmtId="39" fontId="123" fillId="0" borderId="11" xfId="25745" applyFont="1" applyBorder="1" applyAlignment="1">
      <alignment horizontal="left" indent="2"/>
    </xf>
    <xf numFmtId="43" fontId="32" fillId="0" borderId="0" xfId="0" applyNumberFormat="1" applyFont="1" applyFill="1" applyBorder="1"/>
    <xf numFmtId="43" fontId="32" fillId="0" borderId="89" xfId="0" applyNumberFormat="1" applyFont="1" applyBorder="1"/>
    <xf numFmtId="5" fontId="32" fillId="0" borderId="0" xfId="0" applyNumberFormat="1" applyFont="1" applyFill="1"/>
    <xf numFmtId="39" fontId="123" fillId="0" borderId="35" xfId="25745" applyFont="1" applyBorder="1" applyAlignment="1" applyProtection="1">
      <alignment horizontal="center"/>
    </xf>
    <xf numFmtId="43" fontId="32" fillId="0" borderId="54" xfId="0" applyNumberFormat="1" applyFont="1" applyFill="1" applyBorder="1"/>
    <xf numFmtId="43" fontId="32" fillId="0" borderId="89" xfId="0" applyNumberFormat="1" applyFont="1" applyFill="1" applyBorder="1"/>
    <xf numFmtId="43" fontId="32" fillId="0" borderId="56" xfId="0" applyNumberFormat="1" applyFont="1" applyFill="1" applyBorder="1"/>
    <xf numFmtId="39" fontId="32" fillId="0" borderId="35" xfId="25745" applyFont="1" applyFill="1" applyBorder="1"/>
    <xf numFmtId="39" fontId="32" fillId="0" borderId="11" xfId="25745"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2" borderId="83" xfId="0" applyNumberFormat="1" applyFont="1" applyFill="1" applyBorder="1"/>
    <xf numFmtId="43" fontId="32" fillId="0" borderId="90" xfId="0" applyNumberFormat="1" applyFont="1" applyBorder="1"/>
    <xf numFmtId="43" fontId="32" fillId="0" borderId="83" xfId="0" applyNumberFormat="1" applyFont="1" applyBorder="1"/>
    <xf numFmtId="43" fontId="32" fillId="0" borderId="91" xfId="0" applyNumberFormat="1" applyFont="1" applyBorder="1"/>
    <xf numFmtId="39" fontId="32" fillId="0" borderId="91" xfId="0" applyNumberFormat="1" applyFont="1" applyBorder="1"/>
    <xf numFmtId="43" fontId="32" fillId="0" borderId="91" xfId="25747" applyNumberFormat="1" applyFont="1" applyBorder="1"/>
    <xf numFmtId="195" fontId="124" fillId="0" borderId="0" xfId="0" applyNumberFormat="1" applyFont="1"/>
    <xf numFmtId="39" fontId="32" fillId="0" borderId="0" xfId="0" applyNumberFormat="1" applyFont="1" applyFill="1" applyBorder="1"/>
    <xf numFmtId="181" fontId="32" fillId="0" borderId="35" xfId="25745" applyNumberFormat="1" applyFont="1" applyBorder="1" applyAlignment="1" applyProtection="1">
      <alignment horizontal="center"/>
    </xf>
    <xf numFmtId="39" fontId="123" fillId="0" borderId="35" xfId="25745" applyFont="1" applyFill="1" applyBorder="1" applyAlignment="1" applyProtection="1">
      <alignment horizontal="left"/>
    </xf>
    <xf numFmtId="39" fontId="32" fillId="86" borderId="35"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3" fillId="0" borderId="54" xfId="25745" applyFont="1" applyBorder="1" applyAlignment="1" applyProtection="1">
      <alignment horizontal="left"/>
    </xf>
    <xf numFmtId="39" fontId="32" fillId="0" borderId="56" xfId="25745" applyFont="1" applyBorder="1"/>
    <xf numFmtId="43" fontId="124" fillId="0" borderId="89" xfId="0" applyNumberFormat="1" applyFont="1" applyBorder="1"/>
    <xf numFmtId="6" fontId="124" fillId="0" borderId="0" xfId="0" applyNumberFormat="1" applyFont="1" applyFill="1"/>
    <xf numFmtId="6" fontId="124" fillId="0" borderId="89" xfId="0" applyNumberFormat="1" applyFont="1" applyFill="1" applyBorder="1"/>
    <xf numFmtId="6" fontId="126" fillId="0" borderId="53" xfId="0" applyNumberFormat="1" applyFont="1" applyBorder="1"/>
    <xf numFmtId="0" fontId="123" fillId="0" borderId="53" xfId="0" applyFont="1" applyBorder="1"/>
    <xf numFmtId="0" fontId="123" fillId="0" borderId="0" xfId="0" applyFont="1"/>
    <xf numFmtId="0" fontId="123" fillId="0" borderId="0" xfId="0" applyFont="1" applyBorder="1"/>
    <xf numFmtId="43" fontId="124" fillId="0" borderId="0" xfId="25768" applyFont="1"/>
    <xf numFmtId="49" fontId="124" fillId="0" borderId="0" xfId="0" applyNumberFormat="1" applyFont="1"/>
    <xf numFmtId="0" fontId="130" fillId="0" borderId="53" xfId="0" applyFont="1" applyBorder="1"/>
    <xf numFmtId="0" fontId="130" fillId="0" borderId="53" xfId="0" applyFont="1" applyBorder="1" applyAlignment="1">
      <alignment horizontal="center"/>
    </xf>
    <xf numFmtId="43" fontId="130" fillId="0" borderId="53" xfId="25768" applyFont="1" applyBorder="1"/>
    <xf numFmtId="0" fontId="130" fillId="0" borderId="0" xfId="0" applyFont="1" applyBorder="1"/>
    <xf numFmtId="43" fontId="130" fillId="0" borderId="0" xfId="25768" applyFont="1" applyBorder="1"/>
    <xf numFmtId="0" fontId="130" fillId="0" borderId="83" xfId="0" applyFont="1" applyBorder="1"/>
    <xf numFmtId="0" fontId="130" fillId="0" borderId="83" xfId="0" applyFont="1" applyBorder="1" applyAlignment="1">
      <alignment horizontal="center"/>
    </xf>
    <xf numFmtId="43" fontId="130" fillId="0" borderId="83" xfId="0" applyNumberFormat="1" applyFont="1" applyFill="1" applyBorder="1"/>
    <xf numFmtId="43" fontId="130" fillId="0" borderId="83" xfId="0" applyNumberFormat="1" applyFont="1" applyBorder="1"/>
    <xf numFmtId="0" fontId="32" fillId="0" borderId="0" xfId="0" applyFont="1" applyAlignment="1">
      <alignment horizontal="left"/>
    </xf>
    <xf numFmtId="44" fontId="124" fillId="0" borderId="0" xfId="25753" applyFont="1"/>
    <xf numFmtId="0" fontId="32" fillId="0" borderId="0" xfId="0" applyFont="1" applyAlignment="1">
      <alignment horizontal="right"/>
    </xf>
    <xf numFmtId="10" fontId="124" fillId="0" borderId="0" xfId="0" applyNumberFormat="1" applyFont="1"/>
    <xf numFmtId="43" fontId="124" fillId="95" borderId="0" xfId="25768" applyFont="1" applyFill="1"/>
    <xf numFmtId="49" fontId="124" fillId="0" borderId="96" xfId="0" applyNumberFormat="1" applyFont="1" applyBorder="1" applyAlignment="1">
      <alignment horizontal="center"/>
    </xf>
    <xf numFmtId="49" fontId="124" fillId="0" borderId="97" xfId="0" applyNumberFormat="1" applyFont="1" applyBorder="1" applyAlignment="1">
      <alignment horizontal="center"/>
    </xf>
    <xf numFmtId="49" fontId="124" fillId="0" borderId="98"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92" xfId="0" applyNumberFormat="1" applyFont="1" applyBorder="1" applyAlignment="1">
      <alignment horizontal="center"/>
    </xf>
    <xf numFmtId="49" fontId="124" fillId="0" borderId="0" xfId="0" applyNumberFormat="1" applyFont="1" applyBorder="1" applyAlignment="1">
      <alignment horizontal="center"/>
    </xf>
    <xf numFmtId="49" fontId="124" fillId="0" borderId="93" xfId="0" applyNumberFormat="1" applyFont="1" applyBorder="1" applyAlignment="1">
      <alignment horizontal="center"/>
    </xf>
    <xf numFmtId="0" fontId="124" fillId="92" borderId="92" xfId="0" applyFont="1" applyFill="1" applyBorder="1"/>
    <xf numFmtId="0" fontId="124" fillId="92" borderId="0" xfId="0" applyFont="1" applyFill="1" applyBorder="1"/>
    <xf numFmtId="0" fontId="124" fillId="92" borderId="93" xfId="0" applyFont="1" applyFill="1" applyBorder="1"/>
    <xf numFmtId="0" fontId="124" fillId="0" borderId="92" xfId="0" applyFont="1" applyBorder="1"/>
    <xf numFmtId="10" fontId="124" fillId="0" borderId="0" xfId="25795" applyNumberFormat="1" applyFont="1" applyBorder="1"/>
    <xf numFmtId="0" fontId="124" fillId="0" borderId="92" xfId="0" applyFont="1" applyBorder="1" applyAlignment="1">
      <alignment wrapText="1"/>
    </xf>
    <xf numFmtId="0" fontId="126" fillId="0" borderId="89" xfId="0" applyFont="1" applyBorder="1" applyAlignment="1">
      <alignment horizontal="center" wrapText="1"/>
    </xf>
    <xf numFmtId="0" fontId="126" fillId="0" borderId="109" xfId="0" applyFont="1" applyBorder="1" applyAlignment="1">
      <alignment horizontal="center" wrapText="1"/>
    </xf>
    <xf numFmtId="0" fontId="124" fillId="0" borderId="0" xfId="0" applyFont="1" applyBorder="1" applyAlignment="1">
      <alignment wrapText="1"/>
    </xf>
    <xf numFmtId="0" fontId="124" fillId="0" borderId="93" xfId="0" applyFont="1" applyBorder="1" applyAlignment="1">
      <alignment wrapText="1"/>
    </xf>
    <xf numFmtId="166" fontId="124" fillId="0" borderId="92" xfId="25744" applyNumberFormat="1" applyFont="1" applyBorder="1"/>
    <xf numFmtId="166" fontId="124" fillId="0" borderId="0" xfId="25744" applyNumberFormat="1" applyFont="1" applyBorder="1"/>
    <xf numFmtId="166" fontId="124" fillId="0" borderId="93" xfId="25744" applyNumberFormat="1" applyFont="1" applyBorder="1"/>
    <xf numFmtId="166" fontId="124" fillId="0" borderId="0" xfId="25744" applyNumberFormat="1" applyFont="1" applyFill="1" applyBorder="1"/>
    <xf numFmtId="166" fontId="124" fillId="100" borderId="92" xfId="25744" applyNumberFormat="1" applyFont="1" applyFill="1" applyBorder="1"/>
    <xf numFmtId="166" fontId="124" fillId="100" borderId="0" xfId="25744" applyNumberFormat="1" applyFont="1" applyFill="1" applyBorder="1"/>
    <xf numFmtId="166" fontId="124" fillId="100" borderId="93" xfId="25744" applyNumberFormat="1" applyFont="1" applyFill="1" applyBorder="1"/>
    <xf numFmtId="6" fontId="124" fillId="0" borderId="99" xfId="0" applyNumberFormat="1" applyFont="1" applyBorder="1"/>
    <xf numFmtId="166" fontId="126" fillId="0" borderId="110" xfId="25744" applyNumberFormat="1" applyFont="1" applyBorder="1"/>
    <xf numFmtId="166" fontId="126" fillId="0" borderId="83" xfId="25744" applyNumberFormat="1" applyFont="1" applyBorder="1"/>
    <xf numFmtId="166" fontId="126" fillId="0" borderId="111" xfId="25744" applyNumberFormat="1" applyFont="1" applyBorder="1"/>
    <xf numFmtId="6" fontId="124" fillId="0" borderId="112" xfId="0" applyNumberFormat="1" applyFont="1" applyBorder="1"/>
    <xf numFmtId="6" fontId="124" fillId="95" borderId="94" xfId="0" applyNumberFormat="1" applyFont="1" applyFill="1" applyBorder="1"/>
    <xf numFmtId="6" fontId="124" fillId="0" borderId="94" xfId="0" applyNumberFormat="1" applyFont="1" applyBorder="1"/>
    <xf numFmtId="41" fontId="124" fillId="0" borderId="0" xfId="0" applyNumberFormat="1" applyFont="1"/>
    <xf numFmtId="166" fontId="124" fillId="102" borderId="92" xfId="25744" applyNumberFormat="1" applyFont="1" applyFill="1" applyBorder="1"/>
    <xf numFmtId="166" fontId="124" fillId="102" borderId="0" xfId="25744" applyNumberFormat="1" applyFont="1" applyFill="1" applyBorder="1"/>
    <xf numFmtId="166" fontId="124" fillId="102" borderId="93" xfId="25744" applyNumberFormat="1" applyFont="1" applyFill="1" applyBorder="1"/>
    <xf numFmtId="0" fontId="124" fillId="102" borderId="92" xfId="0" applyFont="1" applyFill="1" applyBorder="1"/>
    <xf numFmtId="49" fontId="124" fillId="102" borderId="0" xfId="0" applyNumberFormat="1" applyFont="1" applyFill="1" applyBorder="1" applyAlignment="1">
      <alignment horizontal="center"/>
    </xf>
    <xf numFmtId="49" fontId="124" fillId="102" borderId="93" xfId="0" applyNumberFormat="1" applyFont="1" applyFill="1" applyBorder="1" applyAlignment="1">
      <alignment horizontal="center"/>
    </xf>
    <xf numFmtId="166" fontId="124" fillId="90" borderId="92" xfId="25744" applyNumberFormat="1" applyFont="1" applyFill="1" applyBorder="1"/>
    <xf numFmtId="166" fontId="124" fillId="90" borderId="0" xfId="25744" applyNumberFormat="1" applyFont="1" applyFill="1" applyBorder="1"/>
    <xf numFmtId="166" fontId="124" fillId="90" borderId="93" xfId="25744" applyNumberFormat="1" applyFont="1" applyFill="1" applyBorder="1"/>
    <xf numFmtId="166" fontId="124" fillId="101" borderId="0" xfId="25744" applyNumberFormat="1" applyFont="1" applyFill="1" applyBorder="1"/>
    <xf numFmtId="166" fontId="124" fillId="101" borderId="93" xfId="25744" applyNumberFormat="1" applyFont="1" applyFill="1" applyBorder="1"/>
    <xf numFmtId="166" fontId="124" fillId="101" borderId="109" xfId="25744" applyNumberFormat="1" applyFont="1" applyFill="1" applyBorder="1"/>
    <xf numFmtId="38" fontId="131" fillId="0" borderId="0" xfId="0" applyNumberFormat="1" applyFont="1"/>
    <xf numFmtId="38" fontId="124" fillId="0" borderId="96" xfId="0" applyNumberFormat="1" applyFont="1" applyBorder="1"/>
    <xf numFmtId="38" fontId="124" fillId="0" borderId="97" xfId="0" applyNumberFormat="1" applyFont="1" applyBorder="1"/>
    <xf numFmtId="38" fontId="124" fillId="0" borderId="98" xfId="0" applyNumberFormat="1" applyFont="1" applyBorder="1"/>
    <xf numFmtId="38" fontId="124" fillId="0" borderId="92" xfId="0" applyNumberFormat="1" applyFont="1" applyBorder="1"/>
    <xf numFmtId="38" fontId="124" fillId="0" borderId="0" xfId="0" applyNumberFormat="1" applyFont="1" applyBorder="1"/>
    <xf numFmtId="38" fontId="124" fillId="0" borderId="93" xfId="0" applyNumberFormat="1" applyFont="1" applyBorder="1"/>
    <xf numFmtId="38" fontId="124" fillId="0" borderId="113" xfId="0" applyNumberFormat="1" applyFont="1" applyBorder="1"/>
    <xf numFmtId="38" fontId="124" fillId="0" borderId="114" xfId="0" applyNumberFormat="1" applyFont="1" applyBorder="1"/>
    <xf numFmtId="40" fontId="124" fillId="0" borderId="92" xfId="0" applyNumberFormat="1" applyFont="1" applyBorder="1"/>
    <xf numFmtId="38" fontId="124" fillId="0" borderId="99" xfId="0" applyNumberFormat="1" applyFont="1" applyBorder="1"/>
    <xf numFmtId="38" fontId="124" fillId="0" borderId="49" xfId="0" applyNumberFormat="1" applyFont="1" applyBorder="1"/>
    <xf numFmtId="38" fontId="124" fillId="0" borderId="100" xfId="0" applyNumberFormat="1" applyFont="1" applyBorder="1"/>
    <xf numFmtId="3" fontId="124" fillId="0" borderId="0" xfId="0" applyNumberFormat="1" applyFont="1"/>
    <xf numFmtId="0" fontId="124" fillId="0" borderId="80" xfId="0" applyFont="1" applyBorder="1"/>
    <xf numFmtId="0" fontId="124" fillId="0" borderId="79" xfId="0" applyFont="1" applyBorder="1"/>
    <xf numFmtId="0" fontId="124" fillId="0" borderId="79" xfId="0" applyFont="1" applyBorder="1" applyAlignment="1">
      <alignment horizontal="center"/>
    </xf>
    <xf numFmtId="0" fontId="124" fillId="0" borderId="81" xfId="0" applyFont="1" applyBorder="1"/>
    <xf numFmtId="0" fontId="124" fillId="0" borderId="35" xfId="0" applyFont="1" applyBorder="1"/>
    <xf numFmtId="0" fontId="126" fillId="0" borderId="0" xfId="0" applyFont="1" applyBorder="1" applyAlignment="1">
      <alignment horizontal="center"/>
    </xf>
    <xf numFmtId="0" fontId="124" fillId="0" borderId="11" xfId="0" applyFont="1" applyBorder="1"/>
    <xf numFmtId="0" fontId="124" fillId="0" borderId="54" xfId="0" applyFont="1" applyBorder="1"/>
    <xf numFmtId="0" fontId="124" fillId="0" borderId="89" xfId="0" applyFont="1" applyBorder="1"/>
    <xf numFmtId="0" fontId="124" fillId="0" borderId="89" xfId="0" applyFont="1" applyBorder="1" applyAlignment="1">
      <alignment horizontal="center"/>
    </xf>
    <xf numFmtId="0" fontId="124" fillId="0" borderId="56" xfId="0" applyFont="1" applyBorder="1"/>
    <xf numFmtId="0" fontId="124" fillId="0" borderId="78" xfId="0" applyFont="1" applyBorder="1"/>
    <xf numFmtId="0" fontId="124" fillId="0" borderId="15" xfId="0" applyFont="1" applyBorder="1" applyAlignment="1">
      <alignment horizontal="center"/>
    </xf>
    <xf numFmtId="0" fontId="124" fillId="0" borderId="16" xfId="0" applyFont="1" applyBorder="1" applyAlignment="1">
      <alignment horizontal="center"/>
    </xf>
    <xf numFmtId="0" fontId="124" fillId="0" borderId="14" xfId="0" applyFont="1" applyBorder="1" applyAlignment="1">
      <alignment horizontal="center"/>
    </xf>
    <xf numFmtId="0" fontId="124" fillId="0" borderId="53" xfId="0" applyFont="1" applyBorder="1" applyAlignment="1">
      <alignment horizontal="center"/>
    </xf>
    <xf numFmtId="0" fontId="124" fillId="0" borderId="15" xfId="0" applyFont="1" applyBorder="1"/>
    <xf numFmtId="43" fontId="124" fillId="0" borderId="16" xfId="0" applyNumberFormat="1" applyFont="1" applyBorder="1"/>
    <xf numFmtId="6" fontId="124" fillId="0" borderId="15" xfId="0" applyNumberFormat="1" applyFont="1" applyBorder="1"/>
    <xf numFmtId="43" fontId="124" fillId="0" borderId="15" xfId="0" applyNumberFormat="1" applyFont="1" applyBorder="1"/>
    <xf numFmtId="6" fontId="124" fillId="0" borderId="14" xfId="0" applyNumberFormat="1" applyFont="1" applyBorder="1"/>
    <xf numFmtId="6" fontId="124" fillId="0" borderId="88" xfId="0" applyNumberFormat="1" applyFont="1" applyBorder="1"/>
    <xf numFmtId="167" fontId="124" fillId="0" borderId="88" xfId="0" applyNumberFormat="1" applyFont="1" applyBorder="1"/>
    <xf numFmtId="0" fontId="124" fillId="0" borderId="16" xfId="0" applyFont="1" applyBorder="1"/>
    <xf numFmtId="0" fontId="124" fillId="0" borderId="35" xfId="0" applyFont="1" applyBorder="1" applyAlignment="1">
      <alignment horizontal="center"/>
    </xf>
    <xf numFmtId="0" fontId="124" fillId="0" borderId="54" xfId="0" applyFont="1" applyBorder="1" applyAlignment="1">
      <alignment horizontal="center"/>
    </xf>
    <xf numFmtId="0" fontId="124" fillId="0" borderId="78" xfId="0" applyFont="1" applyBorder="1" applyAlignment="1">
      <alignment horizontal="center"/>
    </xf>
    <xf numFmtId="6" fontId="124" fillId="0" borderId="16" xfId="0" applyNumberFormat="1" applyFont="1" applyBorder="1"/>
    <xf numFmtId="167" fontId="124" fillId="0" borderId="16" xfId="0" applyNumberFormat="1" applyFont="1" applyBorder="1"/>
    <xf numFmtId="6" fontId="126" fillId="0" borderId="88" xfId="0" applyNumberFormat="1" applyFont="1" applyBorder="1"/>
    <xf numFmtId="0" fontId="124" fillId="0" borderId="89"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3"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0" fontId="125" fillId="0" borderId="80" xfId="0" applyFont="1" applyBorder="1" applyAlignment="1">
      <alignment horizontal="center"/>
    </xf>
    <xf numFmtId="0" fontId="123" fillId="33" borderId="79"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1"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3" fontId="124" fillId="0" borderId="0" xfId="0" applyNumberFormat="1" applyFont="1"/>
    <xf numFmtId="10" fontId="32" fillId="0" borderId="19" xfId="25292" applyNumberFormat="1" applyFont="1" applyBorder="1" applyAlignment="1">
      <alignment horizontal="center"/>
    </xf>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78" fontId="123"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6" fontId="32" fillId="0" borderId="0" xfId="25747" applyNumberFormat="1" applyFont="1" applyAlignment="1">
      <alignment horizontal="center"/>
    </xf>
    <xf numFmtId="0" fontId="132" fillId="0" borderId="0" xfId="0" applyFont="1"/>
    <xf numFmtId="0" fontId="132" fillId="0" borderId="0" xfId="0" applyFont="1" applyBorder="1" applyAlignment="1">
      <alignment horizontal="centerContinuous"/>
    </xf>
    <xf numFmtId="0" fontId="123" fillId="0" borderId="0" xfId="0" applyFont="1" applyBorder="1" applyAlignment="1">
      <alignment horizontal="centerContinuous"/>
    </xf>
    <xf numFmtId="0" fontId="132" fillId="0" borderId="0" xfId="0" applyFont="1" applyFill="1" applyAlignment="1">
      <alignment horizontal="center" wrapText="1"/>
    </xf>
    <xf numFmtId="0" fontId="132" fillId="0" borderId="0" xfId="0" applyFont="1" applyAlignment="1">
      <alignment horizontal="center" wrapText="1"/>
    </xf>
    <xf numFmtId="0" fontId="32" fillId="0" borderId="0" xfId="0" applyFont="1"/>
    <xf numFmtId="186" fontId="32" fillId="0" borderId="0" xfId="25747" applyNumberFormat="1" applyFont="1"/>
    <xf numFmtId="0" fontId="32" fillId="0" borderId="0" xfId="0" applyFont="1" applyFill="1"/>
    <xf numFmtId="192" fontId="32" fillId="0" borderId="0" xfId="0" applyNumberFormat="1" applyFont="1" applyFill="1"/>
    <xf numFmtId="166" fontId="32" fillId="0" borderId="0" xfId="0" applyNumberFormat="1" applyFont="1"/>
    <xf numFmtId="186" fontId="124" fillId="0" borderId="0" xfId="0" applyNumberFormat="1" applyFont="1" applyFill="1"/>
    <xf numFmtId="186" fontId="32" fillId="0" borderId="0" xfId="25747" applyNumberFormat="1" applyFont="1" applyBorder="1"/>
    <xf numFmtId="3" fontId="32" fillId="0" borderId="0" xfId="0" applyNumberFormat="1" applyFont="1"/>
    <xf numFmtId="0" fontId="132" fillId="0" borderId="83" xfId="0" applyFont="1" applyBorder="1"/>
    <xf numFmtId="0" fontId="32" fillId="0" borderId="83" xfId="0" applyFont="1" applyBorder="1"/>
    <xf numFmtId="0" fontId="32" fillId="0" borderId="83" xfId="0" applyFont="1" applyFill="1" applyBorder="1"/>
    <xf numFmtId="166" fontId="32" fillId="0" borderId="83" xfId="0" applyNumberFormat="1" applyFont="1" applyBorder="1"/>
    <xf numFmtId="186" fontId="32" fillId="0" borderId="83" xfId="25747" applyNumberFormat="1" applyFont="1" applyBorder="1"/>
    <xf numFmtId="186" fontId="124" fillId="0" borderId="83" xfId="0" applyNumberFormat="1" applyFont="1" applyFill="1" applyBorder="1"/>
    <xf numFmtId="166" fontId="32" fillId="0" borderId="0" xfId="0" applyNumberFormat="1" applyFont="1" applyBorder="1"/>
    <xf numFmtId="166" fontId="32" fillId="0" borderId="82" xfId="0" applyNumberFormat="1" applyFont="1" applyBorder="1"/>
    <xf numFmtId="186" fontId="32" fillId="0" borderId="82" xfId="25747" applyNumberFormat="1" applyFont="1" applyBorder="1"/>
    <xf numFmtId="186" fontId="124" fillId="0" borderId="0" xfId="25747" applyNumberFormat="1" applyFont="1"/>
    <xf numFmtId="186" fontId="124" fillId="0" borderId="0" xfId="25747" applyNumberFormat="1" applyFont="1" applyAlignment="1">
      <alignment horizontal="center"/>
    </xf>
    <xf numFmtId="197" fontId="124" fillId="0" borderId="89" xfId="0" applyNumberFormat="1" applyFont="1" applyBorder="1" applyAlignment="1">
      <alignment horizontal="center"/>
    </xf>
    <xf numFmtId="3" fontId="124" fillId="0" borderId="89" xfId="0" applyNumberFormat="1" applyFont="1" applyBorder="1" applyAlignment="1">
      <alignment horizontal="center"/>
    </xf>
    <xf numFmtId="3" fontId="124" fillId="0" borderId="0" xfId="0" applyNumberFormat="1" applyFont="1" applyAlignment="1">
      <alignment horizontal="center"/>
    </xf>
    <xf numFmtId="0" fontId="124" fillId="0" borderId="14" xfId="0" applyFont="1" applyBorder="1"/>
    <xf numFmtId="0" fontId="124" fillId="0" borderId="14" xfId="0" applyFont="1" applyFill="1" applyBorder="1"/>
    <xf numFmtId="43" fontId="124" fillId="0" borderId="14" xfId="25744" applyFont="1" applyBorder="1"/>
    <xf numFmtId="0" fontId="124" fillId="0" borderId="0" xfId="0" applyFont="1" applyFill="1" applyBorder="1" applyAlignment="1">
      <alignment horizontal="center"/>
    </xf>
    <xf numFmtId="43" fontId="32" fillId="0" borderId="0" xfId="0" applyNumberFormat="1" applyFont="1"/>
    <xf numFmtId="6" fontId="124" fillId="0" borderId="0" xfId="0" applyNumberFormat="1" applyFont="1" applyAlignment="1">
      <alignment horizontal="center"/>
    </xf>
    <xf numFmtId="0" fontId="131" fillId="0" borderId="0" xfId="0" applyFont="1" applyAlignment="1">
      <alignment horizontal="left"/>
    </xf>
    <xf numFmtId="6" fontId="124" fillId="0" borderId="0" xfId="0" applyNumberFormat="1" applyFont="1" applyFill="1" applyAlignment="1">
      <alignment horizontal="center"/>
    </xf>
    <xf numFmtId="166" fontId="124" fillId="0" borderId="0" xfId="25744" applyNumberFormat="1" applyFont="1" applyAlignment="1">
      <alignment horizontal="center"/>
    </xf>
    <xf numFmtId="6" fontId="124" fillId="0" borderId="0" xfId="25747" applyNumberFormat="1" applyFont="1"/>
    <xf numFmtId="6" fontId="124" fillId="0" borderId="89" xfId="25747" applyNumberFormat="1" applyFont="1" applyBorder="1"/>
    <xf numFmtId="49" fontId="123"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6" fillId="0" borderId="78" xfId="0" applyNumberFormat="1" applyFont="1" applyBorder="1"/>
    <xf numFmtId="6" fontId="126" fillId="0" borderId="108" xfId="0" applyNumberFormat="1" applyFont="1" applyBorder="1"/>
    <xf numFmtId="6" fontId="126" fillId="0" borderId="14" xfId="0" applyNumberFormat="1" applyFont="1" applyBorder="1"/>
    <xf numFmtId="0" fontId="124" fillId="0" borderId="0" xfId="0" applyFont="1" applyAlignment="1">
      <alignment horizontal="left"/>
    </xf>
    <xf numFmtId="0" fontId="126" fillId="0" borderId="89" xfId="0" applyFont="1" applyBorder="1" applyAlignment="1">
      <alignment horizontal="center"/>
    </xf>
    <xf numFmtId="0" fontId="126" fillId="0" borderId="89" xfId="0" applyFont="1" applyFill="1" applyBorder="1" applyAlignment="1">
      <alignment horizontal="center" wrapText="1"/>
    </xf>
    <xf numFmtId="37" fontId="32" fillId="0" borderId="0" xfId="25743" applyFont="1"/>
    <xf numFmtId="0" fontId="129"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3" fillId="0" borderId="0" xfId="25743" applyFont="1" applyFill="1" applyAlignment="1">
      <alignment horizontal="center"/>
    </xf>
    <xf numFmtId="188"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9" fontId="32" fillId="0" borderId="0" xfId="25743" applyNumberFormat="1" applyFont="1" applyFill="1" applyAlignment="1">
      <alignment horizontal="center"/>
    </xf>
    <xf numFmtId="37" fontId="123" fillId="0" borderId="82" xfId="25743" applyFont="1" applyFill="1" applyBorder="1" applyAlignment="1">
      <alignment horizontal="center"/>
    </xf>
    <xf numFmtId="37" fontId="32" fillId="0" borderId="0" xfId="25743" applyFont="1" applyFill="1"/>
    <xf numFmtId="187" fontId="32" fillId="0" borderId="0" xfId="24219" applyNumberFormat="1" applyFont="1"/>
    <xf numFmtId="168" fontId="32" fillId="0" borderId="0" xfId="25743" applyNumberFormat="1" applyFont="1"/>
    <xf numFmtId="49" fontId="32" fillId="0" borderId="0" xfId="25743"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9" xfId="0" applyNumberFormat="1" applyFont="1" applyBorder="1"/>
    <xf numFmtId="0" fontId="124" fillId="0" borderId="49" xfId="0" applyFont="1" applyBorder="1"/>
    <xf numFmtId="10" fontId="124" fillId="0" borderId="49" xfId="0" applyNumberFormat="1" applyFont="1" applyBorder="1"/>
    <xf numFmtId="193" fontId="124" fillId="0" borderId="49" xfId="0" applyNumberFormat="1" applyFont="1" applyBorder="1"/>
    <xf numFmtId="8" fontId="127" fillId="0" borderId="0" xfId="0" applyNumberFormat="1" applyFont="1"/>
    <xf numFmtId="8" fontId="126" fillId="0" borderId="82"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7"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9" xfId="0" applyNumberFormat="1" applyFont="1" applyBorder="1"/>
    <xf numFmtId="8" fontId="124" fillId="0" borderId="89" xfId="0" applyNumberFormat="1" applyFont="1" applyBorder="1"/>
    <xf numFmtId="193" fontId="124" fillId="0" borderId="89" xfId="0" applyNumberFormat="1" applyFont="1" applyBorder="1"/>
    <xf numFmtId="4" fontId="124" fillId="0" borderId="89" xfId="0" applyNumberFormat="1" applyFont="1" applyBorder="1"/>
    <xf numFmtId="4" fontId="124" fillId="0" borderId="33" xfId="0" applyNumberFormat="1" applyFont="1" applyBorder="1"/>
    <xf numFmtId="44" fontId="124" fillId="0" borderId="0" xfId="0" applyNumberFormat="1" applyFont="1"/>
    <xf numFmtId="0" fontId="125" fillId="0" borderId="0" xfId="0" applyFont="1" applyBorder="1" applyAlignment="1">
      <alignment horizontal="center"/>
    </xf>
    <xf numFmtId="44" fontId="124" fillId="0" borderId="0" xfId="25747" applyFont="1" applyFill="1"/>
    <xf numFmtId="44" fontId="124" fillId="0" borderId="0" xfId="0" applyNumberFormat="1" applyFont="1" applyBorder="1"/>
    <xf numFmtId="44" fontId="126" fillId="0" borderId="83" xfId="0" applyNumberFormat="1" applyFont="1" applyBorder="1"/>
    <xf numFmtId="0" fontId="124" fillId="0" borderId="49" xfId="0" applyFont="1" applyBorder="1" applyAlignment="1">
      <alignment horizontal="center"/>
    </xf>
    <xf numFmtId="0" fontId="126" fillId="0" borderId="49" xfId="0" applyFont="1" applyFill="1" applyBorder="1" applyAlignment="1">
      <alignment horizontal="center"/>
    </xf>
    <xf numFmtId="166" fontId="124" fillId="0" borderId="0" xfId="25744" applyNumberFormat="1" applyFont="1"/>
    <xf numFmtId="166" fontId="124" fillId="0" borderId="89" xfId="25744" applyNumberFormat="1" applyFont="1" applyBorder="1"/>
    <xf numFmtId="186" fontId="124" fillId="0" borderId="89" xfId="25747" applyNumberFormat="1" applyFont="1" applyBorder="1"/>
    <xf numFmtId="186" fontId="126" fillId="0" borderId="0" xfId="25747" applyNumberFormat="1" applyFont="1"/>
    <xf numFmtId="186" fontId="126" fillId="0" borderId="97" xfId="25747" applyNumberFormat="1" applyFont="1" applyBorder="1"/>
    <xf numFmtId="186" fontId="126" fillId="0" borderId="14" xfId="0" applyNumberFormat="1" applyFont="1" applyBorder="1"/>
    <xf numFmtId="0" fontId="133" fillId="0" borderId="0" xfId="0" applyFont="1" applyAlignment="1">
      <alignment horizontal="center"/>
    </xf>
    <xf numFmtId="3" fontId="129" fillId="0" borderId="0" xfId="0" applyNumberFormat="1" applyFont="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9" xfId="0" applyFont="1" applyBorder="1" applyAlignment="1">
      <alignment vertical="center"/>
    </xf>
    <xf numFmtId="0" fontId="126" fillId="0" borderId="89" xfId="0" applyFont="1" applyBorder="1" applyAlignment="1">
      <alignment horizontal="center" vertical="center"/>
    </xf>
    <xf numFmtId="0" fontId="124" fillId="93" borderId="0" xfId="0" quotePrefix="1" applyFont="1" applyFill="1" applyAlignment="1">
      <alignment vertical="center"/>
    </xf>
    <xf numFmtId="6" fontId="124" fillId="93" borderId="0" xfId="0" quotePrefix="1" applyNumberFormat="1" applyFont="1" applyFill="1" applyAlignment="1">
      <alignment horizontal="center" vertical="center"/>
    </xf>
    <xf numFmtId="0" fontId="124" fillId="93" borderId="0" xfId="0" applyFont="1" applyFill="1" applyAlignment="1">
      <alignment horizontal="center" vertical="center"/>
    </xf>
    <xf numFmtId="6" fontId="124" fillId="93" borderId="33" xfId="0" quotePrefix="1" applyNumberFormat="1" applyFont="1" applyFill="1" applyBorder="1" applyAlignment="1">
      <alignment vertical="center"/>
    </xf>
    <xf numFmtId="0" fontId="124" fillId="93" borderId="33" xfId="0" quotePrefix="1" applyFont="1" applyFill="1" applyBorder="1" applyAlignment="1">
      <alignment vertical="center"/>
    </xf>
    <xf numFmtId="190" fontId="124" fillId="93" borderId="33" xfId="0" quotePrefix="1" applyNumberFormat="1" applyFont="1" applyFill="1" applyBorder="1" applyAlignment="1">
      <alignment horizontal="center" vertical="center"/>
    </xf>
    <xf numFmtId="190" fontId="124" fillId="93" borderId="33" xfId="0" quotePrefix="1" applyNumberFormat="1" applyFont="1" applyFill="1" applyBorder="1" applyAlignment="1">
      <alignment vertical="center"/>
    </xf>
    <xf numFmtId="9" fontId="124" fillId="93" borderId="33"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90" fontId="124" fillId="0" borderId="0" xfId="0" quotePrefix="1" applyNumberFormat="1" applyFont="1" applyAlignment="1">
      <alignment horizontal="center" vertical="center"/>
    </xf>
    <xf numFmtId="190"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3" borderId="0" xfId="0" applyNumberFormat="1" applyFont="1" applyFill="1" applyAlignment="1">
      <alignment vertical="center"/>
    </xf>
    <xf numFmtId="190" fontId="124" fillId="93" borderId="0" xfId="0" quotePrefix="1" applyNumberFormat="1" applyFont="1" applyFill="1" applyAlignment="1">
      <alignment horizontal="center" vertical="center"/>
    </xf>
    <xf numFmtId="190" fontId="124" fillId="93" borderId="0" xfId="0" quotePrefix="1" applyNumberFormat="1" applyFont="1" applyFill="1" applyAlignment="1">
      <alignment vertical="center"/>
    </xf>
    <xf numFmtId="6" fontId="124" fillId="93" borderId="0" xfId="0" quotePrefix="1" applyNumberFormat="1" applyFont="1" applyFill="1" applyAlignment="1">
      <alignment vertical="center"/>
    </xf>
    <xf numFmtId="9" fontId="124" fillId="93"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9" xfId="0" applyNumberFormat="1" applyFont="1" applyBorder="1"/>
    <xf numFmtId="38" fontId="135" fillId="0" borderId="0" xfId="0" applyNumberFormat="1" applyFont="1"/>
    <xf numFmtId="38" fontId="135" fillId="0" borderId="14" xfId="0" applyNumberFormat="1" applyFont="1" applyBorder="1"/>
    <xf numFmtId="190" fontId="129" fillId="0" borderId="0" xfId="0" applyNumberFormat="1" applyFont="1"/>
    <xf numFmtId="190" fontId="135"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5" applyNumberFormat="1" applyFont="1" applyFill="1" applyAlignment="1">
      <alignment horizontal="right"/>
    </xf>
    <xf numFmtId="49" fontId="124" fillId="0" borderId="0" xfId="0" applyNumberFormat="1" applyFont="1" applyAlignment="1">
      <alignment horizontal="center"/>
    </xf>
    <xf numFmtId="10" fontId="124" fillId="0" borderId="0" xfId="25795" applyNumberFormat="1" applyFont="1"/>
    <xf numFmtId="10" fontId="124" fillId="0" borderId="0" xfId="25795" applyNumberFormat="1" applyFont="1" applyFill="1" applyAlignment="1">
      <alignment horizontal="center"/>
    </xf>
    <xf numFmtId="49" fontId="124" fillId="0" borderId="79" xfId="0" applyNumberFormat="1" applyFont="1" applyFill="1" applyBorder="1" applyAlignment="1">
      <alignment horizontal="center"/>
    </xf>
    <xf numFmtId="0" fontId="126" fillId="0" borderId="79" xfId="0" applyFont="1" applyFill="1" applyBorder="1"/>
    <xf numFmtId="0" fontId="126" fillId="0" borderId="79" xfId="0" applyFont="1" applyFill="1" applyBorder="1" applyAlignment="1">
      <alignment horizontal="center"/>
    </xf>
    <xf numFmtId="0" fontId="124" fillId="0" borderId="79" xfId="0" applyFont="1" applyFill="1" applyBorder="1"/>
    <xf numFmtId="10" fontId="124" fillId="0" borderId="81" xfId="25795" applyNumberFormat="1" applyFont="1" applyFill="1" applyBorder="1" applyAlignment="1">
      <alignment horizontal="center"/>
    </xf>
    <xf numFmtId="43" fontId="124" fillId="0" borderId="79" xfId="25744" applyFont="1" applyFill="1" applyBorder="1"/>
    <xf numFmtId="43" fontId="124" fillId="0" borderId="78" xfId="25744" applyFont="1" applyFill="1" applyBorder="1"/>
    <xf numFmtId="10" fontId="124" fillId="0" borderId="11" xfId="25795" applyNumberFormat="1" applyFont="1" applyFill="1" applyBorder="1" applyAlignment="1">
      <alignment horizontal="center"/>
    </xf>
    <xf numFmtId="43" fontId="124" fillId="0" borderId="0" xfId="25744" applyFont="1" applyFill="1" applyBorder="1"/>
    <xf numFmtId="43" fontId="124" fillId="0" borderId="15" xfId="25744" applyFont="1" applyFill="1" applyBorder="1"/>
    <xf numFmtId="49" fontId="124" fillId="0" borderId="89" xfId="0" quotePrefix="1" applyNumberFormat="1" applyFont="1" applyFill="1" applyBorder="1" applyAlignment="1">
      <alignment horizontal="center"/>
    </xf>
    <xf numFmtId="49" fontId="124" fillId="0" borderId="89" xfId="0" applyNumberFormat="1" applyFont="1" applyFill="1" applyBorder="1" applyAlignment="1">
      <alignment horizontal="center"/>
    </xf>
    <xf numFmtId="0" fontId="124" fillId="0" borderId="89" xfId="0" applyFont="1" applyFill="1" applyBorder="1"/>
    <xf numFmtId="0" fontId="124" fillId="0" borderId="89" xfId="0" applyFont="1" applyFill="1" applyBorder="1" applyAlignment="1">
      <alignment horizontal="center"/>
    </xf>
    <xf numFmtId="0" fontId="124" fillId="0" borderId="79" xfId="0" applyFont="1" applyFill="1" applyBorder="1" applyAlignment="1">
      <alignment horizontal="center"/>
    </xf>
    <xf numFmtId="43" fontId="124" fillId="0" borderId="14" xfId="25744" applyFont="1" applyFill="1" applyBorder="1"/>
    <xf numFmtId="49" fontId="124" fillId="0" borderId="0" xfId="0" applyNumberFormat="1" applyFont="1" applyFill="1" applyBorder="1"/>
    <xf numFmtId="10" fontId="124" fillId="0" borderId="56" xfId="25795" applyNumberFormat="1" applyFont="1" applyFill="1" applyBorder="1" applyAlignment="1">
      <alignment horizontal="center"/>
    </xf>
    <xf numFmtId="43" fontId="124" fillId="0" borderId="89" xfId="25744" applyFont="1" applyFill="1" applyBorder="1"/>
    <xf numFmtId="49" fontId="124" fillId="0" borderId="53" xfId="25744" applyNumberFormat="1" applyFont="1" applyFill="1" applyBorder="1" applyAlignment="1">
      <alignment horizontal="center" vertical="center"/>
    </xf>
    <xf numFmtId="0" fontId="124" fillId="0" borderId="53" xfId="0" applyFont="1" applyFill="1" applyBorder="1"/>
    <xf numFmtId="0" fontId="124" fillId="0" borderId="53" xfId="0" applyFont="1" applyFill="1" applyBorder="1" applyAlignment="1">
      <alignment horizontal="center"/>
    </xf>
    <xf numFmtId="49" fontId="124" fillId="0" borderId="53" xfId="0" applyNumberFormat="1" applyFont="1" applyFill="1" applyBorder="1" applyAlignment="1">
      <alignment horizontal="center"/>
    </xf>
    <xf numFmtId="10" fontId="124" fillId="0" borderId="53" xfId="25795" applyNumberFormat="1" applyFont="1" applyFill="1" applyBorder="1" applyAlignment="1">
      <alignment horizontal="center"/>
    </xf>
    <xf numFmtId="43" fontId="124" fillId="0" borderId="53" xfId="25744" applyFont="1" applyFill="1" applyBorder="1"/>
    <xf numFmtId="49" fontId="124" fillId="0" borderId="79" xfId="25744" applyNumberFormat="1" applyFont="1" applyFill="1" applyBorder="1" applyAlignment="1">
      <alignment horizontal="center" vertical="center"/>
    </xf>
    <xf numFmtId="10" fontId="124" fillId="0" borderId="79" xfId="25795" applyNumberFormat="1" applyFont="1" applyFill="1" applyBorder="1" applyAlignment="1">
      <alignment horizontal="center"/>
    </xf>
    <xf numFmtId="49" fontId="124" fillId="0" borderId="0" xfId="25744" applyNumberFormat="1" applyFont="1" applyFill="1" applyBorder="1" applyAlignment="1">
      <alignment horizontal="center" vertical="center"/>
    </xf>
    <xf numFmtId="10" fontId="124" fillId="0" borderId="0" xfId="25795" applyNumberFormat="1" applyFont="1" applyFill="1" applyBorder="1" applyAlignment="1">
      <alignment horizontal="center"/>
    </xf>
    <xf numFmtId="49" fontId="124" fillId="0" borderId="89" xfId="25744" applyNumberFormat="1" applyFont="1" applyFill="1" applyBorder="1" applyAlignment="1">
      <alignment horizontal="center" vertical="center"/>
    </xf>
    <xf numFmtId="10" fontId="124" fillId="0" borderId="89" xfId="25795" applyNumberFormat="1" applyFont="1" applyFill="1" applyBorder="1" applyAlignment="1">
      <alignment horizontal="center"/>
    </xf>
    <xf numFmtId="49" fontId="124" fillId="0" borderId="53" xfId="0" applyNumberFormat="1" applyFont="1" applyBorder="1" applyAlignment="1">
      <alignment horizontal="center"/>
    </xf>
    <xf numFmtId="10" fontId="124" fillId="0" borderId="53" xfId="25795" applyNumberFormat="1" applyFont="1" applyBorder="1" applyAlignment="1">
      <alignment horizontal="center"/>
    </xf>
    <xf numFmtId="43" fontId="124" fillId="0" borderId="53" xfId="25744" applyFont="1" applyBorder="1"/>
    <xf numFmtId="10" fontId="124" fillId="0" borderId="0" xfId="25795" applyNumberFormat="1" applyFont="1" applyBorder="1" applyAlignment="1">
      <alignment horizontal="center"/>
    </xf>
    <xf numFmtId="43" fontId="124" fillId="0" borderId="0" xfId="25744" applyFont="1" applyBorder="1"/>
    <xf numFmtId="43" fontId="124" fillId="0" borderId="15" xfId="25744" applyFont="1" applyBorder="1"/>
    <xf numFmtId="43" fontId="124" fillId="0" borderId="0" xfId="25795" applyNumberFormat="1" applyFont="1" applyBorder="1"/>
    <xf numFmtId="4" fontId="124" fillId="0" borderId="0" xfId="25795" applyNumberFormat="1" applyFont="1" applyBorder="1"/>
    <xf numFmtId="40" fontId="124" fillId="0" borderId="0" xfId="0" applyNumberFormat="1" applyFont="1" applyBorder="1"/>
    <xf numFmtId="38" fontId="126" fillId="0" borderId="94" xfId="0" applyNumberFormat="1" applyFont="1" applyBorder="1"/>
    <xf numFmtId="3" fontId="124" fillId="0" borderId="0" xfId="0" applyNumberFormat="1" applyFont="1" applyFill="1"/>
    <xf numFmtId="4" fontId="124" fillId="0" borderId="0" xfId="0" quotePrefix="1" applyNumberFormat="1" applyFont="1"/>
    <xf numFmtId="49" fontId="32" fillId="0" borderId="0" xfId="25766" applyNumberFormat="1" applyFont="1" applyFill="1"/>
    <xf numFmtId="49" fontId="123" fillId="0" borderId="0" xfId="25766" applyNumberFormat="1" applyFont="1" applyFill="1"/>
    <xf numFmtId="0" fontId="32" fillId="0" borderId="0" xfId="25766" applyNumberFormat="1" applyFont="1" applyFill="1"/>
    <xf numFmtId="49" fontId="32" fillId="0" borderId="0" xfId="25766" applyNumberFormat="1" applyFont="1" applyFill="1" applyAlignment="1">
      <alignment horizontal="center"/>
    </xf>
    <xf numFmtId="0" fontId="124" fillId="0" borderId="0" xfId="25767" applyFont="1"/>
    <xf numFmtId="49" fontId="124" fillId="0" borderId="0" xfId="3278" applyNumberFormat="1" applyFont="1" applyBorder="1" applyAlignment="1">
      <alignment horizontal="center"/>
    </xf>
    <xf numFmtId="49" fontId="42" fillId="0" borderId="0" xfId="25766" applyNumberFormat="1" applyFont="1" applyFill="1" applyAlignment="1">
      <alignment horizontal="center"/>
    </xf>
    <xf numFmtId="0" fontId="32" fillId="0" borderId="0" xfId="25766" applyFont="1" applyFill="1"/>
    <xf numFmtId="43" fontId="124" fillId="0" borderId="0" xfId="25767" applyNumberFormat="1" applyFont="1"/>
    <xf numFmtId="49" fontId="123" fillId="0" borderId="0" xfId="25766" applyNumberFormat="1" applyFont="1" applyFill="1" applyAlignment="1">
      <alignment horizontal="center"/>
    </xf>
    <xf numFmtId="0" fontId="123" fillId="0" borderId="0" xfId="25766" applyNumberFormat="1" applyFont="1" applyFill="1" applyAlignment="1">
      <alignment horizontal="center"/>
    </xf>
    <xf numFmtId="17" fontId="123" fillId="0" borderId="0" xfId="25766" applyNumberFormat="1" applyFont="1" applyFill="1" applyAlignment="1">
      <alignment horizontal="center"/>
    </xf>
    <xf numFmtId="0" fontId="123" fillId="0" borderId="0" xfId="25766" applyFont="1" applyFill="1" applyAlignment="1">
      <alignment horizontal="center"/>
    </xf>
    <xf numFmtId="0" fontId="126" fillId="0" borderId="0" xfId="25767" applyFont="1" applyAlignment="1">
      <alignment horizontal="center"/>
    </xf>
    <xf numFmtId="49" fontId="123" fillId="0" borderId="0" xfId="25766" applyNumberFormat="1" applyFont="1" applyAlignment="1">
      <alignment horizontal="center"/>
    </xf>
    <xf numFmtId="0" fontId="123" fillId="0" borderId="0" xfId="25766" applyFont="1" applyFill="1"/>
    <xf numFmtId="0" fontId="126" fillId="0" borderId="0" xfId="25767" applyFont="1"/>
    <xf numFmtId="0" fontId="32" fillId="0" borderId="0" xfId="25766" applyFont="1"/>
    <xf numFmtId="0" fontId="132" fillId="0" borderId="0" xfId="25766" applyNumberFormat="1" applyFont="1" applyFill="1" applyAlignment="1">
      <alignment horizontal="left"/>
    </xf>
    <xf numFmtId="49" fontId="132" fillId="0" borderId="0" xfId="25766" applyNumberFormat="1" applyFont="1" applyFill="1"/>
    <xf numFmtId="49" fontId="132" fillId="0" borderId="0" xfId="25766" applyNumberFormat="1" applyFont="1" applyFill="1" applyAlignment="1">
      <alignment horizontal="center"/>
    </xf>
    <xf numFmtId="0" fontId="126" fillId="0" borderId="89" xfId="25767" applyFont="1" applyBorder="1"/>
    <xf numFmtId="0" fontId="32" fillId="88" borderId="0" xfId="25766" applyFont="1" applyFill="1"/>
    <xf numFmtId="0" fontId="123" fillId="88" borderId="0" xfId="25766" applyFont="1" applyFill="1" applyAlignment="1">
      <alignment horizontal="center"/>
    </xf>
    <xf numFmtId="49" fontId="32" fillId="0" borderId="0" xfId="25766" applyNumberFormat="1" applyFont="1"/>
    <xf numFmtId="0" fontId="123" fillId="0" borderId="0" xfId="25766" applyNumberFormat="1" applyFont="1" applyAlignment="1">
      <alignment horizontal="center"/>
    </xf>
    <xf numFmtId="0" fontId="32" fillId="0" borderId="0" xfId="25766"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7" applyFont="1" applyFill="1"/>
    <xf numFmtId="43" fontId="124" fillId="0" borderId="0" xfId="25767"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9" xfId="173" applyFont="1" applyFill="1" applyBorder="1"/>
    <xf numFmtId="43" fontId="124" fillId="0" borderId="0" xfId="5" applyFont="1"/>
    <xf numFmtId="43" fontId="32" fillId="0" borderId="0" xfId="25746" applyFont="1" applyFill="1"/>
    <xf numFmtId="43" fontId="32" fillId="0" borderId="0" xfId="181" applyFont="1"/>
    <xf numFmtId="43" fontId="124" fillId="0" borderId="0" xfId="25746"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9" xfId="173" applyFont="1" applyFill="1" applyBorder="1"/>
    <xf numFmtId="43" fontId="32" fillId="0" borderId="89" xfId="306" applyFont="1" applyFill="1" applyBorder="1"/>
    <xf numFmtId="43" fontId="32" fillId="0" borderId="89" xfId="300" applyFont="1" applyFill="1" applyBorder="1"/>
    <xf numFmtId="43" fontId="32" fillId="0" borderId="89" xfId="289" applyFont="1" applyFill="1" applyBorder="1"/>
    <xf numFmtId="43" fontId="32" fillId="0" borderId="89" xfId="291" applyFont="1" applyFill="1" applyBorder="1"/>
    <xf numFmtId="43" fontId="32" fillId="0" borderId="89" xfId="288" applyFont="1" applyFill="1" applyBorder="1"/>
    <xf numFmtId="43" fontId="32" fillId="0" borderId="89" xfId="290" applyFont="1" applyFill="1" applyBorder="1"/>
    <xf numFmtId="43" fontId="32" fillId="0" borderId="89" xfId="282" applyFont="1" applyFill="1" applyBorder="1"/>
    <xf numFmtId="43" fontId="124" fillId="0" borderId="89" xfId="5" applyFont="1" applyFill="1" applyBorder="1"/>
    <xf numFmtId="43" fontId="32" fillId="0" borderId="89" xfId="174" applyFont="1" applyFill="1" applyBorder="1"/>
    <xf numFmtId="43" fontId="32" fillId="0" borderId="89" xfId="314" applyFont="1" applyFill="1" applyBorder="1"/>
    <xf numFmtId="43" fontId="32" fillId="0" borderId="0" xfId="173" applyNumberFormat="1" applyFont="1" applyFill="1"/>
    <xf numFmtId="43" fontId="32" fillId="0" borderId="53" xfId="173" applyNumberFormat="1" applyFont="1" applyFill="1" applyBorder="1"/>
    <xf numFmtId="43" fontId="32" fillId="0" borderId="89"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9" xfId="306" applyFont="1" applyFill="1" applyBorder="1"/>
    <xf numFmtId="43" fontId="32" fillId="0" borderId="79" xfId="300" applyFont="1" applyFill="1" applyBorder="1"/>
    <xf numFmtId="43" fontId="32" fillId="0" borderId="79" xfId="289" applyFont="1" applyFill="1" applyBorder="1"/>
    <xf numFmtId="43" fontId="32" fillId="0" borderId="79" xfId="291" applyFont="1" applyFill="1" applyBorder="1"/>
    <xf numFmtId="43" fontId="32" fillId="0" borderId="79" xfId="288" applyFont="1" applyFill="1" applyBorder="1"/>
    <xf numFmtId="43" fontId="32" fillId="0" borderId="79" xfId="290" applyFont="1" applyFill="1" applyBorder="1"/>
    <xf numFmtId="43" fontId="32" fillId="0" borderId="79" xfId="282" applyFont="1" applyFill="1" applyBorder="1"/>
    <xf numFmtId="43" fontId="124" fillId="0" borderId="79" xfId="5" applyFont="1" applyFill="1" applyBorder="1"/>
    <xf numFmtId="43" fontId="32" fillId="0" borderId="79" xfId="174" applyFont="1" applyFill="1" applyBorder="1"/>
    <xf numFmtId="43" fontId="32" fillId="0" borderId="79" xfId="314" applyFont="1" applyFill="1" applyBorder="1"/>
    <xf numFmtId="43" fontId="32" fillId="0" borderId="0" xfId="5" applyFont="1" applyFill="1"/>
    <xf numFmtId="49" fontId="123" fillId="0" borderId="0" xfId="25766"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6"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9"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6" quotePrefix="1" applyNumberFormat="1" applyFont="1"/>
    <xf numFmtId="43" fontId="124" fillId="95" borderId="0" xfId="25767" applyNumberFormat="1" applyFont="1" applyFill="1"/>
    <xf numFmtId="0" fontId="32" fillId="0" borderId="0" xfId="25766" quotePrefix="1" applyNumberFormat="1" applyFont="1"/>
    <xf numFmtId="49" fontId="86" fillId="0" borderId="0" xfId="25766" applyNumberFormat="1" applyFont="1"/>
    <xf numFmtId="0" fontId="86" fillId="0" borderId="0" xfId="25766" applyNumberFormat="1" applyFont="1"/>
    <xf numFmtId="0" fontId="86" fillId="0" borderId="0" xfId="25766" quotePrefix="1" applyNumberFormat="1" applyFont="1"/>
    <xf numFmtId="43" fontId="32" fillId="0" borderId="0" xfId="351" applyFont="1" applyFill="1"/>
    <xf numFmtId="0" fontId="32" fillId="0" borderId="0" xfId="25766" applyNumberFormat="1" applyFont="1" applyAlignment="1">
      <alignment horizontal="left"/>
    </xf>
    <xf numFmtId="43" fontId="32" fillId="0" borderId="82" xfId="173" applyFont="1" applyFill="1" applyBorder="1"/>
    <xf numFmtId="2" fontId="124" fillId="0" borderId="0" xfId="409" applyNumberFormat="1" applyFont="1" applyFill="1" applyAlignment="1">
      <alignment wrapText="1"/>
    </xf>
    <xf numFmtId="2" fontId="32" fillId="0" borderId="0" xfId="25766" applyNumberFormat="1" applyFont="1" applyAlignment="1">
      <alignment wrapText="1"/>
    </xf>
    <xf numFmtId="2" fontId="32" fillId="0" borderId="0" xfId="409" applyNumberFormat="1" applyFont="1" applyFill="1" applyAlignment="1">
      <alignment wrapText="1"/>
    </xf>
    <xf numFmtId="49" fontId="136" fillId="0" borderId="0" xfId="25766" applyNumberFormat="1" applyFont="1"/>
    <xf numFmtId="49" fontId="32" fillId="0" borderId="0" xfId="409" applyNumberFormat="1" applyFont="1" applyFill="1"/>
    <xf numFmtId="2" fontId="32" fillId="0" borderId="0" xfId="25766" applyNumberFormat="1" applyFont="1"/>
    <xf numFmtId="0" fontId="86" fillId="0" borderId="0" xfId="25766" applyNumberFormat="1" applyFont="1" applyFill="1"/>
    <xf numFmtId="49" fontId="32" fillId="0" borderId="0" xfId="58" applyNumberFormat="1" applyFont="1" applyFill="1"/>
    <xf numFmtId="190" fontId="124" fillId="0" borderId="0" xfId="25767" applyNumberFormat="1" applyFont="1"/>
    <xf numFmtId="43" fontId="124" fillId="0" borderId="0" xfId="25746" applyFont="1"/>
    <xf numFmtId="166" fontId="124" fillId="0" borderId="0" xfId="25746" applyNumberFormat="1" applyFont="1"/>
    <xf numFmtId="43" fontId="32" fillId="0" borderId="0" xfId="25766" applyNumberFormat="1" applyFont="1" applyFill="1"/>
    <xf numFmtId="0" fontId="123" fillId="96" borderId="0" xfId="25766" applyFont="1" applyFill="1"/>
    <xf numFmtId="10" fontId="126" fillId="96" borderId="0" xfId="25767" applyNumberFormat="1" applyFont="1" applyFill="1"/>
    <xf numFmtId="0" fontId="126" fillId="0" borderId="0" xfId="0" applyFont="1"/>
    <xf numFmtId="6" fontId="126" fillId="0" borderId="83" xfId="0" applyNumberFormat="1" applyFont="1" applyBorder="1" applyAlignment="1">
      <alignment horizontal="center"/>
    </xf>
    <xf numFmtId="43" fontId="32" fillId="0" borderId="0" xfId="0" applyNumberFormat="1" applyFont="1" applyFill="1"/>
    <xf numFmtId="196" fontId="124" fillId="0" borderId="0" xfId="0" applyNumberFormat="1" applyFont="1" applyFill="1" applyBorder="1"/>
    <xf numFmtId="0" fontId="0" fillId="0" borderId="0" xfId="0" applyAlignment="1">
      <alignment horizontal="right"/>
    </xf>
    <xf numFmtId="39" fontId="124" fillId="0" borderId="0" xfId="0" applyNumberFormat="1" applyFont="1" applyFill="1"/>
    <xf numFmtId="39" fontId="32" fillId="0" borderId="85" xfId="0" applyNumberFormat="1" applyFont="1" applyFill="1" applyBorder="1"/>
    <xf numFmtId="37" fontId="18" fillId="0" borderId="0" xfId="25797" applyFont="1"/>
    <xf numFmtId="37" fontId="18" fillId="0" borderId="0" xfId="25797" applyFont="1" applyFill="1"/>
    <xf numFmtId="198" fontId="18" fillId="0" borderId="0" xfId="25797" applyNumberFormat="1" applyFont="1" applyFill="1"/>
    <xf numFmtId="37" fontId="18" fillId="0" borderId="89"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100" xfId="25797" applyFont="1" applyFill="1" applyBorder="1"/>
    <xf numFmtId="37" fontId="18" fillId="0" borderId="49" xfId="25797" applyFont="1" applyFill="1" applyBorder="1"/>
    <xf numFmtId="37" fontId="18" fillId="0" borderId="99" xfId="25797" applyFont="1" applyFill="1" applyBorder="1"/>
    <xf numFmtId="10" fontId="23" fillId="0" borderId="49" xfId="25797" applyNumberFormat="1" applyFont="1" applyFill="1" applyBorder="1" applyProtection="1">
      <protection locked="0"/>
    </xf>
    <xf numFmtId="37" fontId="18" fillId="0" borderId="100" xfId="25797" applyFont="1" applyBorder="1"/>
    <xf numFmtId="37" fontId="18" fillId="0" borderId="49" xfId="25797" applyFont="1" applyBorder="1"/>
    <xf numFmtId="37" fontId="18" fillId="0" borderId="99" xfId="25797" applyFont="1" applyBorder="1"/>
    <xf numFmtId="37" fontId="18" fillId="0" borderId="93" xfId="25797" applyFont="1" applyFill="1" applyBorder="1"/>
    <xf numFmtId="37" fontId="18" fillId="0" borderId="0" xfId="25797" applyFont="1" applyFill="1" applyBorder="1"/>
    <xf numFmtId="37" fontId="18" fillId="0" borderId="92" xfId="25797" applyFont="1" applyFill="1" applyBorder="1"/>
    <xf numFmtId="10" fontId="18" fillId="0" borderId="0" xfId="25797" applyNumberFormat="1" applyFont="1" applyFill="1" applyBorder="1" applyAlignment="1" applyProtection="1">
      <alignment horizontal="left"/>
    </xf>
    <xf numFmtId="37" fontId="18" fillId="0" borderId="93" xfId="25797" applyFont="1" applyBorder="1"/>
    <xf numFmtId="37" fontId="18" fillId="0" borderId="0" xfId="25797" applyFont="1" applyBorder="1"/>
    <xf numFmtId="37" fontId="18" fillId="0" borderId="92" xfId="25797" applyFont="1" applyBorder="1"/>
    <xf numFmtId="10" fontId="18" fillId="0" borderId="93"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9" xfId="25797" applyNumberFormat="1" applyFont="1" applyFill="1" applyBorder="1" applyProtection="1"/>
    <xf numFmtId="10" fontId="18" fillId="0" borderId="89" xfId="25797" applyNumberFormat="1" applyFont="1" applyFill="1" applyBorder="1" applyProtection="1"/>
    <xf numFmtId="166" fontId="18" fillId="0" borderId="109" xfId="25768" applyNumberFormat="1" applyFont="1" applyFill="1" applyBorder="1" applyProtection="1"/>
    <xf numFmtId="166" fontId="18" fillId="0" borderId="89" xfId="25768" applyNumberFormat="1" applyFont="1" applyFill="1" applyBorder="1" applyProtection="1"/>
    <xf numFmtId="10" fontId="18" fillId="0" borderId="93"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6" fontId="18" fillId="0" borderId="93" xfId="25768" applyNumberFormat="1" applyFont="1" applyFill="1" applyBorder="1"/>
    <xf numFmtId="166" fontId="18" fillId="0" borderId="0" xfId="25768" applyNumberFormat="1" applyFont="1" applyFill="1" applyBorder="1"/>
    <xf numFmtId="10" fontId="18" fillId="0" borderId="93"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92" xfId="25797" applyNumberFormat="1" applyFont="1" applyBorder="1" applyAlignment="1" applyProtection="1">
      <alignment horizontal="left"/>
    </xf>
    <xf numFmtId="166" fontId="18" fillId="0" borderId="0" xfId="25768" applyNumberFormat="1" applyFont="1" applyFill="1" applyBorder="1" applyProtection="1"/>
    <xf numFmtId="166" fontId="18" fillId="0" borderId="0" xfId="25768" applyNumberFormat="1" applyFont="1" applyFill="1" applyBorder="1" applyAlignment="1" applyProtection="1">
      <alignment horizontal="fill"/>
    </xf>
    <xf numFmtId="10" fontId="18" fillId="0" borderId="92" xfId="25797" applyNumberFormat="1" applyFont="1" applyFill="1" applyBorder="1" applyAlignment="1" applyProtection="1">
      <alignment horizontal="left"/>
    </xf>
    <xf numFmtId="166" fontId="23" fillId="0" borderId="89" xfId="25768" applyNumberFormat="1" applyFont="1" applyFill="1" applyBorder="1" applyProtection="1">
      <protection locked="0"/>
    </xf>
    <xf numFmtId="199" fontId="18" fillId="0" borderId="0" xfId="25797" applyNumberFormat="1" applyFont="1" applyFill="1" applyBorder="1" applyProtection="1"/>
    <xf numFmtId="10" fontId="18" fillId="0" borderId="109" xfId="25797" applyNumberFormat="1" applyFont="1" applyBorder="1" applyProtection="1"/>
    <xf numFmtId="10" fontId="18" fillId="0" borderId="89" xfId="25797" applyNumberFormat="1" applyFont="1" applyBorder="1" applyProtection="1"/>
    <xf numFmtId="10" fontId="18" fillId="0" borderId="0" xfId="25750" applyNumberFormat="1" applyFont="1" applyFill="1" applyBorder="1"/>
    <xf numFmtId="166" fontId="23" fillId="0" borderId="0" xfId="25768" applyNumberFormat="1" applyFont="1" applyFill="1" applyBorder="1" applyProtection="1">
      <protection locked="0"/>
    </xf>
    <xf numFmtId="39" fontId="18" fillId="0" borderId="0" xfId="25797" applyNumberFormat="1" applyFont="1"/>
    <xf numFmtId="10" fontId="18" fillId="0" borderId="93" xfId="25797" applyNumberFormat="1" applyFont="1" applyFill="1" applyBorder="1" applyProtection="1"/>
    <xf numFmtId="166" fontId="18" fillId="0" borderId="93" xfId="25768" applyNumberFormat="1" applyFont="1" applyFill="1" applyBorder="1" applyAlignment="1" applyProtection="1">
      <alignment horizontal="fill"/>
    </xf>
    <xf numFmtId="10" fontId="18" fillId="0" borderId="109" xfId="25797" applyNumberFormat="1" applyFont="1" applyFill="1" applyBorder="1" applyAlignment="1" applyProtection="1">
      <alignment horizontal="center"/>
    </xf>
    <xf numFmtId="10" fontId="18" fillId="0" borderId="89" xfId="25797" applyNumberFormat="1" applyFont="1" applyFill="1" applyBorder="1" applyAlignment="1" applyProtection="1">
      <alignment horizontal="center"/>
    </xf>
    <xf numFmtId="10" fontId="18" fillId="0" borderId="93"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6" fontId="18" fillId="0" borderId="93" xfId="25768" applyNumberFormat="1" applyFont="1" applyFill="1" applyBorder="1" applyProtection="1"/>
    <xf numFmtId="37" fontId="18" fillId="0" borderId="93" xfId="25797" applyFont="1" applyFill="1" applyBorder="1" applyAlignment="1">
      <alignment horizontal="center"/>
    </xf>
    <xf numFmtId="200" fontId="18" fillId="0" borderId="0" xfId="25797" applyNumberFormat="1" applyFont="1" applyFill="1" applyBorder="1" applyAlignment="1" applyProtection="1">
      <alignment horizontal="center"/>
    </xf>
    <xf numFmtId="166" fontId="18" fillId="0" borderId="89" xfId="25768" applyNumberFormat="1" applyFont="1" applyFill="1" applyBorder="1" applyAlignment="1" applyProtection="1">
      <alignment horizontal="center"/>
    </xf>
    <xf numFmtId="166"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9" xfId="25797" applyNumberFormat="1" applyFont="1" applyBorder="1" applyAlignment="1" applyProtection="1">
      <alignment horizontal="center"/>
    </xf>
    <xf numFmtId="10" fontId="18" fillId="0" borderId="89" xfId="25797" applyNumberFormat="1" applyFont="1" applyBorder="1" applyAlignment="1" applyProtection="1">
      <alignment horizontal="center"/>
    </xf>
    <xf numFmtId="37" fontId="18" fillId="0" borderId="93" xfId="25797" applyFont="1" applyFill="1" applyBorder="1" applyAlignment="1">
      <alignment horizontal="centerContinuous"/>
    </xf>
    <xf numFmtId="37" fontId="18" fillId="0" borderId="0" xfId="25797" applyFont="1" applyFill="1" applyBorder="1" applyAlignment="1">
      <alignment horizontal="centerContinuous"/>
    </xf>
    <xf numFmtId="200" fontId="18" fillId="0" borderId="92" xfId="25797" applyNumberFormat="1" applyFont="1" applyFill="1" applyBorder="1" applyAlignment="1" applyProtection="1">
      <alignment horizontal="centerContinuous"/>
    </xf>
    <xf numFmtId="166" fontId="18" fillId="0" borderId="93" xfId="25768" applyNumberFormat="1" applyFont="1" applyFill="1" applyBorder="1" applyAlignment="1">
      <alignment horizontal="centerContinuous"/>
    </xf>
    <xf numFmtId="166" fontId="18" fillId="0" borderId="0" xfId="25768" applyNumberFormat="1" applyFont="1" applyFill="1" applyBorder="1" applyAlignment="1">
      <alignment horizontal="centerContinuous"/>
    </xf>
    <xf numFmtId="200" fontId="18" fillId="0" borderId="0" xfId="25797" applyNumberFormat="1" applyFont="1" applyFill="1" applyBorder="1" applyAlignment="1" applyProtection="1">
      <alignment horizontal="centerContinuous"/>
    </xf>
    <xf numFmtId="37" fontId="18" fillId="0" borderId="93" xfId="25797" applyFont="1" applyBorder="1" applyAlignment="1">
      <alignment horizontal="centerContinuous"/>
    </xf>
    <xf numFmtId="37" fontId="18" fillId="0" borderId="0" xfId="25797" applyFont="1" applyBorder="1" applyAlignment="1">
      <alignment horizontal="centerContinuous"/>
    </xf>
    <xf numFmtId="200" fontId="23" fillId="0" borderId="92" xfId="25797" applyNumberFormat="1" applyFont="1" applyBorder="1" applyAlignment="1" applyProtection="1">
      <alignment horizontal="centerContinuous"/>
      <protection locked="0"/>
    </xf>
    <xf numFmtId="10" fontId="18" fillId="0" borderId="92"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92" xfId="25797" applyNumberFormat="1" applyFont="1" applyBorder="1" applyAlignment="1" applyProtection="1">
      <alignment horizontal="centerContinuous"/>
    </xf>
    <xf numFmtId="37" fontId="18" fillId="0" borderId="98" xfId="25797" applyFont="1" applyFill="1" applyBorder="1"/>
    <xf numFmtId="37" fontId="18" fillId="0" borderId="97" xfId="25797" applyFont="1" applyFill="1" applyBorder="1"/>
    <xf numFmtId="37" fontId="18" fillId="0" borderId="96" xfId="25797" applyFont="1" applyFill="1" applyBorder="1"/>
    <xf numFmtId="166" fontId="18" fillId="0" borderId="98" xfId="25768" applyNumberFormat="1" applyFont="1" applyFill="1" applyBorder="1"/>
    <xf numFmtId="166" fontId="18" fillId="0" borderId="97" xfId="25768" applyNumberFormat="1" applyFont="1" applyFill="1" applyBorder="1"/>
    <xf numFmtId="37" fontId="18" fillId="0" borderId="98" xfId="25797" applyFont="1" applyBorder="1"/>
    <xf numFmtId="37" fontId="18" fillId="0" borderId="97" xfId="25797" applyFont="1" applyBorder="1"/>
    <xf numFmtId="37" fontId="18" fillId="0" borderId="96" xfId="25797" applyFont="1" applyBorder="1"/>
    <xf numFmtId="37" fontId="139"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5" borderId="92" xfId="25797" applyNumberFormat="1" applyFont="1" applyFill="1" applyBorder="1" applyAlignment="1" applyProtection="1">
      <alignment horizontal="left"/>
    </xf>
    <xf numFmtId="10" fontId="18" fillId="95" borderId="89" xfId="25797" applyNumberFormat="1" applyFont="1" applyFill="1" applyBorder="1" applyProtection="1"/>
    <xf numFmtId="10" fontId="18" fillId="95" borderId="109" xfId="25797" applyNumberFormat="1" applyFont="1" applyFill="1" applyBorder="1" applyProtection="1"/>
    <xf numFmtId="0" fontId="142" fillId="0" borderId="0" xfId="0" applyFont="1" applyAlignment="1"/>
    <xf numFmtId="201" fontId="18" fillId="0" borderId="0" xfId="25797" applyNumberFormat="1" applyFont="1" applyBorder="1"/>
    <xf numFmtId="0" fontId="124" fillId="0" borderId="49" xfId="0" applyFont="1" applyFill="1" applyBorder="1" applyAlignment="1">
      <alignment horizontal="center"/>
    </xf>
    <xf numFmtId="0" fontId="141" fillId="0" borderId="0" xfId="0" applyFont="1" applyAlignment="1">
      <alignment horizontal="center"/>
    </xf>
    <xf numFmtId="0" fontId="124" fillId="0" borderId="0" xfId="0" applyFont="1" applyAlignment="1">
      <alignment horizontal="left" vertical="top"/>
    </xf>
    <xf numFmtId="0" fontId="124" fillId="0" borderId="80" xfId="0" applyFont="1" applyBorder="1" applyAlignment="1">
      <alignment horizontal="center"/>
    </xf>
    <xf numFmtId="39" fontId="124" fillId="0" borderId="81" xfId="25747" applyNumberFormat="1" applyFont="1" applyBorder="1" applyAlignment="1"/>
    <xf numFmtId="4" fontId="124" fillId="0" borderId="56" xfId="0" applyNumberFormat="1" applyFont="1" applyBorder="1" applyAlignment="1"/>
    <xf numFmtId="202" fontId="124" fillId="0" borderId="56" xfId="0" applyNumberFormat="1" applyFont="1" applyBorder="1" applyAlignment="1"/>
    <xf numFmtId="4" fontId="124" fillId="0" borderId="81" xfId="0" applyNumberFormat="1" applyFont="1" applyBorder="1" applyAlignment="1"/>
    <xf numFmtId="0" fontId="124" fillId="0" borderId="11" xfId="0" applyFont="1" applyBorder="1" applyAlignment="1"/>
    <xf numFmtId="190" fontId="124" fillId="0" borderId="56" xfId="0" applyNumberFormat="1" applyFont="1" applyBorder="1" applyAlignment="1"/>
    <xf numFmtId="49" fontId="123" fillId="33" borderId="54" xfId="24690" applyNumberFormat="1" applyFont="1" applyFill="1" applyBorder="1" applyAlignment="1"/>
    <xf numFmtId="49" fontId="123" fillId="33" borderId="55" xfId="24690" applyNumberFormat="1" applyFont="1" applyFill="1" applyBorder="1" applyAlignment="1"/>
    <xf numFmtId="49" fontId="123" fillId="33" borderId="56" xfId="24690" applyNumberFormat="1" applyFont="1" applyFill="1" applyBorder="1" applyAlignment="1"/>
    <xf numFmtId="0" fontId="126"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4" fillId="0" borderId="0" xfId="0" applyFont="1" applyAlignment="1">
      <alignment horizontal="left"/>
    </xf>
    <xf numFmtId="166" fontId="124" fillId="89" borderId="0" xfId="25768" applyNumberFormat="1" applyFont="1" applyFill="1" applyAlignment="1">
      <alignment horizontal="center"/>
    </xf>
    <xf numFmtId="166" fontId="124" fillId="89" borderId="0" xfId="0" applyNumberFormat="1" applyFont="1" applyFill="1"/>
    <xf numFmtId="3" fontId="124" fillId="89" borderId="0" xfId="0" applyNumberFormat="1" applyFont="1" applyFill="1" applyAlignment="1">
      <alignment horizontal="center"/>
    </xf>
    <xf numFmtId="3" fontId="124" fillId="89" borderId="33" xfId="0" applyNumberFormat="1" applyFont="1" applyFill="1" applyBorder="1" applyAlignment="1">
      <alignment horizontal="center"/>
    </xf>
    <xf numFmtId="166" fontId="32" fillId="89" borderId="0" xfId="0" applyNumberFormat="1" applyFont="1" applyFill="1"/>
    <xf numFmtId="37" fontId="32" fillId="90" borderId="14" xfId="25456" applyNumberFormat="1" applyFont="1" applyFill="1" applyBorder="1"/>
    <xf numFmtId="5" fontId="123" fillId="90" borderId="51" xfId="25457" applyNumberFormat="1" applyFont="1" applyFill="1" applyBorder="1">
      <alignment horizontal="right"/>
    </xf>
    <xf numFmtId="5" fontId="123" fillId="90" borderId="78" xfId="25457" applyNumberFormat="1" applyFont="1" applyFill="1" applyBorder="1">
      <alignment horizontal="right"/>
    </xf>
    <xf numFmtId="5" fontId="32" fillId="90" borderId="51" xfId="25457" applyNumberFormat="1" applyFont="1" applyFill="1" applyBorder="1">
      <alignment horizontal="right"/>
    </xf>
    <xf numFmtId="37" fontId="32" fillId="90" borderId="16" xfId="25456" applyNumberFormat="1" applyFont="1" applyFill="1" applyBorder="1"/>
    <xf numFmtId="5" fontId="32" fillId="90" borderId="51" xfId="25456" applyNumberFormat="1" applyFont="1" applyFill="1" applyBorder="1"/>
    <xf numFmtId="5" fontId="123" fillId="90" borderId="16" xfId="25455" applyNumberFormat="1" applyFont="1" applyFill="1" applyBorder="1"/>
    <xf numFmtId="0" fontId="70" fillId="103" borderId="78" xfId="25455" applyFont="1" applyFill="1" applyBorder="1" applyAlignment="1">
      <alignment horizontal="center"/>
    </xf>
    <xf numFmtId="0" fontId="70" fillId="100" borderId="78" xfId="25455" applyFont="1" applyFill="1" applyBorder="1" applyAlignment="1">
      <alignment horizontal="center"/>
    </xf>
    <xf numFmtId="0" fontId="145" fillId="104" borderId="78" xfId="25455" applyFont="1" applyFill="1" applyBorder="1" applyAlignment="1">
      <alignment horizontal="center"/>
    </xf>
    <xf numFmtId="0" fontId="70" fillId="103" borderId="15" xfId="25455" applyFont="1" applyFill="1" applyBorder="1" applyAlignment="1">
      <alignment horizontal="center"/>
    </xf>
    <xf numFmtId="0" fontId="70" fillId="100" borderId="15" xfId="25455" applyFont="1" applyFill="1" applyBorder="1" applyAlignment="1">
      <alignment horizontal="center"/>
    </xf>
    <xf numFmtId="0" fontId="145" fillId="104" borderId="15" xfId="25455" applyFont="1" applyFill="1" applyBorder="1" applyAlignment="1">
      <alignment horizontal="center"/>
    </xf>
    <xf numFmtId="49" fontId="70" fillId="103" borderId="108" xfId="25455" applyNumberFormat="1" applyFont="1" applyFill="1" applyBorder="1" applyAlignment="1">
      <alignment horizontal="center"/>
    </xf>
    <xf numFmtId="49" fontId="70" fillId="100" borderId="108" xfId="25455" applyNumberFormat="1" applyFont="1" applyFill="1" applyBorder="1" applyAlignment="1">
      <alignment horizontal="center"/>
    </xf>
    <xf numFmtId="49" fontId="145" fillId="104" borderId="108" xfId="25455" applyNumberFormat="1" applyFont="1" applyFill="1" applyBorder="1" applyAlignment="1">
      <alignment horizontal="center"/>
    </xf>
    <xf numFmtId="0" fontId="32" fillId="103" borderId="89" xfId="25455" applyFont="1" applyFill="1" applyBorder="1"/>
    <xf numFmtId="0" fontId="32" fillId="100" borderId="89" xfId="25455" applyFont="1" applyFill="1" applyBorder="1"/>
    <xf numFmtId="0" fontId="32" fillId="104" borderId="89" xfId="25455" applyFont="1" applyFill="1" applyBorder="1"/>
    <xf numFmtId="5" fontId="32" fillId="103" borderId="14" xfId="25457" applyNumberFormat="1" applyFont="1" applyFill="1" applyBorder="1">
      <alignment horizontal="right"/>
    </xf>
    <xf numFmtId="5" fontId="32" fillId="100" borderId="14" xfId="25457" applyNumberFormat="1" applyFont="1" applyFill="1" applyBorder="1">
      <alignment horizontal="right"/>
    </xf>
    <xf numFmtId="5" fontId="32" fillId="104" borderId="14" xfId="25457" applyNumberFormat="1" applyFont="1" applyFill="1" applyBorder="1">
      <alignment horizontal="right"/>
    </xf>
    <xf numFmtId="37" fontId="32" fillId="103" borderId="14" xfId="25456" applyNumberFormat="1" applyFont="1" applyFill="1" applyBorder="1"/>
    <xf numFmtId="37" fontId="32" fillId="100" borderId="14" xfId="25456" applyNumberFormat="1" applyFont="1" applyFill="1" applyBorder="1"/>
    <xf numFmtId="37" fontId="32" fillId="104" borderId="14" xfId="25456" applyNumberFormat="1" applyFont="1" applyFill="1" applyBorder="1"/>
    <xf numFmtId="5" fontId="123" fillId="103" borderId="51" xfId="25457" applyNumberFormat="1" applyFont="1" applyFill="1" applyBorder="1">
      <alignment horizontal="right"/>
    </xf>
    <xf numFmtId="5" fontId="123" fillId="100" borderId="51" xfId="25457" applyNumberFormat="1" applyFont="1" applyFill="1" applyBorder="1">
      <alignment horizontal="right"/>
    </xf>
    <xf numFmtId="5" fontId="123" fillId="104" borderId="51" xfId="25457" applyNumberFormat="1" applyFont="1" applyFill="1" applyBorder="1">
      <alignment horizontal="right"/>
    </xf>
    <xf numFmtId="5" fontId="123" fillId="103" borderId="78" xfId="25457" applyNumberFormat="1" applyFont="1" applyFill="1" applyBorder="1">
      <alignment horizontal="right"/>
    </xf>
    <xf numFmtId="5" fontId="123" fillId="100" borderId="78" xfId="25457" applyNumberFormat="1" applyFont="1" applyFill="1" applyBorder="1">
      <alignment horizontal="right"/>
    </xf>
    <xf numFmtId="5" fontId="123" fillId="104" borderId="78" xfId="25457" applyNumberFormat="1" applyFont="1" applyFill="1" applyBorder="1">
      <alignment horizontal="right"/>
    </xf>
    <xf numFmtId="5" fontId="128" fillId="103" borderId="14" xfId="25457" applyNumberFormat="1" applyFont="1" applyFill="1" applyBorder="1">
      <alignment horizontal="right"/>
    </xf>
    <xf numFmtId="5" fontId="128" fillId="100" borderId="14" xfId="25457" applyNumberFormat="1" applyFont="1" applyFill="1" applyBorder="1">
      <alignment horizontal="right"/>
    </xf>
    <xf numFmtId="41" fontId="32" fillId="104" borderId="14" xfId="25457" applyNumberFormat="1" applyFont="1" applyFill="1" applyBorder="1">
      <alignment horizontal="right"/>
    </xf>
    <xf numFmtId="5" fontId="32" fillId="103" borderId="14" xfId="25456" applyNumberFormat="1" applyFont="1" applyFill="1" applyBorder="1"/>
    <xf numFmtId="5" fontId="32" fillId="100" borderId="14" xfId="25456" applyNumberFormat="1" applyFont="1" applyFill="1" applyBorder="1"/>
    <xf numFmtId="5" fontId="32" fillId="104" borderId="14" xfId="25456" applyNumberFormat="1" applyFont="1" applyFill="1" applyBorder="1"/>
    <xf numFmtId="5" fontId="32" fillId="104" borderId="51" xfId="25457" applyNumberFormat="1" applyFont="1" applyFill="1" applyBorder="1">
      <alignment horizontal="right"/>
    </xf>
    <xf numFmtId="5" fontId="123" fillId="103" borderId="64" xfId="25457" applyNumberFormat="1" applyFont="1" applyFill="1" applyBorder="1">
      <alignment horizontal="right"/>
    </xf>
    <xf numFmtId="5" fontId="123" fillId="100" borderId="64" xfId="25457" applyNumberFormat="1" applyFont="1" applyFill="1" applyBorder="1">
      <alignment horizontal="right"/>
    </xf>
    <xf numFmtId="5" fontId="123" fillId="104" borderId="64" xfId="25457" applyNumberFormat="1" applyFont="1" applyFill="1" applyBorder="1">
      <alignment horizontal="right"/>
    </xf>
    <xf numFmtId="166" fontId="32" fillId="103" borderId="108" xfId="25456" applyNumberFormat="1" applyFont="1" applyFill="1" applyBorder="1"/>
    <xf numFmtId="166" fontId="32" fillId="100" borderId="108" xfId="25456" applyNumberFormat="1" applyFont="1" applyFill="1" applyBorder="1"/>
    <xf numFmtId="166" fontId="32" fillId="104" borderId="108" xfId="25456" applyNumberFormat="1" applyFont="1" applyFill="1" applyBorder="1"/>
    <xf numFmtId="37" fontId="32" fillId="103" borderId="108" xfId="25456" applyNumberFormat="1" applyFont="1" applyFill="1" applyBorder="1"/>
    <xf numFmtId="37" fontId="32" fillId="100" borderId="108" xfId="25456" applyNumberFormat="1" applyFont="1" applyFill="1" applyBorder="1"/>
    <xf numFmtId="37" fontId="32" fillId="104" borderId="108" xfId="25456" applyNumberFormat="1" applyFont="1" applyFill="1" applyBorder="1"/>
    <xf numFmtId="5" fontId="32" fillId="103" borderId="51" xfId="25456" applyNumberFormat="1" applyFont="1" applyFill="1" applyBorder="1"/>
    <xf numFmtId="5" fontId="32" fillId="100" borderId="51" xfId="25456" applyNumberFormat="1" applyFont="1" applyFill="1" applyBorder="1"/>
    <xf numFmtId="5" fontId="32" fillId="104" borderId="51" xfId="25456" applyNumberFormat="1" applyFont="1" applyFill="1" applyBorder="1"/>
    <xf numFmtId="167" fontId="32" fillId="90" borderId="0" xfId="25292" applyNumberFormat="1" applyFont="1" applyFill="1" applyBorder="1" applyAlignment="1">
      <alignment horizontal="center"/>
    </xf>
    <xf numFmtId="10" fontId="124" fillId="90" borderId="0" xfId="0" applyNumberFormat="1" applyFont="1" applyFill="1"/>
    <xf numFmtId="37" fontId="32" fillId="90" borderId="78" xfId="25455" applyNumberFormat="1" applyFont="1" applyFill="1" applyBorder="1" applyAlignment="1">
      <alignment horizontal="center"/>
    </xf>
    <xf numFmtId="37" fontId="32" fillId="90" borderId="15" xfId="25455" applyNumberFormat="1" applyFont="1" applyFill="1" applyBorder="1" applyAlignment="1">
      <alignment horizontal="center"/>
    </xf>
    <xf numFmtId="37" fontId="32" fillId="90" borderId="16" xfId="25455" applyNumberFormat="1" applyFont="1" applyFill="1" applyBorder="1" applyAlignment="1">
      <alignment horizontal="center"/>
    </xf>
    <xf numFmtId="37" fontId="32" fillId="90" borderId="16" xfId="25455" applyNumberFormat="1" applyFont="1" applyFill="1" applyBorder="1"/>
    <xf numFmtId="37" fontId="32" fillId="90" borderId="14" xfId="25457" applyNumberFormat="1" applyFont="1" applyFill="1" applyBorder="1">
      <alignment horizontal="right"/>
    </xf>
    <xf numFmtId="37" fontId="123" fillId="90" borderId="64" xfId="25457" applyNumberFormat="1" applyFont="1" applyFill="1" applyBorder="1">
      <alignment horizontal="right"/>
    </xf>
    <xf numFmtId="37" fontId="123" fillId="90" borderId="51" xfId="25457" applyNumberFormat="1" applyFont="1" applyFill="1" applyBorder="1">
      <alignment horizontal="right"/>
    </xf>
    <xf numFmtId="39" fontId="32" fillId="87" borderId="0" xfId="25796" applyNumberFormat="1" applyFont="1" applyFill="1"/>
    <xf numFmtId="39" fontId="123" fillId="87" borderId="107" xfId="25744" applyNumberFormat="1" applyFont="1" applyFill="1" applyBorder="1"/>
    <xf numFmtId="10" fontId="32" fillId="103" borderId="0" xfId="25292" applyNumberFormat="1" applyFont="1" applyFill="1" applyBorder="1" applyAlignment="1">
      <alignment horizontal="center"/>
    </xf>
    <xf numFmtId="167" fontId="123" fillId="103" borderId="18" xfId="25292" applyNumberFormat="1" applyFont="1" applyFill="1" applyBorder="1"/>
    <xf numFmtId="0" fontId="32" fillId="87" borderId="78" xfId="25455" applyFont="1" applyFill="1" applyBorder="1" applyAlignment="1">
      <alignment horizontal="center"/>
    </xf>
    <xf numFmtId="0" fontId="32" fillId="87" borderId="15" xfId="25455" applyFont="1" applyFill="1" applyBorder="1" applyAlignment="1">
      <alignment horizontal="center"/>
    </xf>
    <xf numFmtId="49" fontId="32" fillId="87" borderId="16" xfId="25455" applyNumberFormat="1" applyFont="1" applyFill="1" applyBorder="1" applyAlignment="1">
      <alignment horizontal="center"/>
    </xf>
    <xf numFmtId="0" fontId="32" fillId="87" borderId="16" xfId="25455" applyFont="1" applyFill="1" applyBorder="1"/>
    <xf numFmtId="5" fontId="123" fillId="87" borderId="51" xfId="25457" applyNumberFormat="1" applyFont="1" applyFill="1" applyBorder="1">
      <alignment horizontal="right"/>
    </xf>
    <xf numFmtId="5" fontId="123" fillId="87" borderId="78" xfId="25457" applyNumberFormat="1" applyFont="1" applyFill="1" applyBorder="1">
      <alignment horizontal="right"/>
    </xf>
    <xf numFmtId="5" fontId="32" fillId="87" borderId="51" xfId="25457" applyNumberFormat="1" applyFont="1" applyFill="1" applyBorder="1">
      <alignment horizontal="right"/>
    </xf>
    <xf numFmtId="5" fontId="123" fillId="87" borderId="64" xfId="25457" applyNumberFormat="1" applyFont="1" applyFill="1" applyBorder="1">
      <alignment horizontal="right"/>
    </xf>
    <xf numFmtId="166" fontId="32" fillId="87" borderId="16" xfId="25456" applyNumberFormat="1" applyFont="1" applyFill="1" applyBorder="1"/>
    <xf numFmtId="5" fontId="32" fillId="87" borderId="51" xfId="25456" applyNumberFormat="1" applyFont="1" applyFill="1" applyBorder="1"/>
    <xf numFmtId="183" fontId="123" fillId="87" borderId="51" xfId="25457" applyNumberFormat="1" applyFont="1" applyFill="1" applyBorder="1">
      <alignment horizontal="right"/>
    </xf>
    <xf numFmtId="5" fontId="123" fillId="87" borderId="16" xfId="25455" applyNumberFormat="1" applyFont="1" applyFill="1" applyBorder="1"/>
    <xf numFmtId="0" fontId="32" fillId="0" borderId="16" xfId="25455" applyFont="1" applyFill="1" applyBorder="1"/>
    <xf numFmtId="41" fontId="32" fillId="0" borderId="14" xfId="25457" applyNumberFormat="1" applyFont="1" applyFill="1" applyBorder="1">
      <alignment horizontal="right"/>
    </xf>
    <xf numFmtId="5" fontId="32" fillId="0" borderId="14" xfId="25456" applyNumberFormat="1" applyFont="1" applyFill="1" applyBorder="1"/>
    <xf numFmtId="5" fontId="32" fillId="0" borderId="51" xfId="25457" applyNumberFormat="1" applyFont="1" applyFill="1" applyBorder="1">
      <alignment horizontal="right"/>
    </xf>
    <xf numFmtId="5" fontId="128" fillId="0" borderId="14" xfId="25457" applyNumberFormat="1" applyFont="1" applyFill="1" applyBorder="1">
      <alignment horizontal="right"/>
    </xf>
    <xf numFmtId="0" fontId="32" fillId="0" borderId="55" xfId="25455" applyFont="1" applyFill="1" applyBorder="1"/>
    <xf numFmtId="43" fontId="124" fillId="104" borderId="0" xfId="25744" applyFont="1" applyFill="1"/>
    <xf numFmtId="0" fontId="32" fillId="104" borderId="78" xfId="25455" applyFont="1" applyFill="1" applyBorder="1" applyAlignment="1">
      <alignment horizontal="center"/>
    </xf>
    <xf numFmtId="0" fontId="32" fillId="104" borderId="15" xfId="25455" applyFont="1" applyFill="1" applyBorder="1" applyAlignment="1">
      <alignment horizontal="center"/>
    </xf>
    <xf numFmtId="49" fontId="32" fillId="104" borderId="16" xfId="25455" applyNumberFormat="1" applyFont="1" applyFill="1" applyBorder="1" applyAlignment="1">
      <alignment horizontal="center"/>
    </xf>
    <xf numFmtId="0" fontId="32" fillId="104" borderId="16" xfId="25455" applyFont="1" applyFill="1" applyBorder="1"/>
    <xf numFmtId="166" fontId="32" fillId="104" borderId="16" xfId="25456" applyNumberFormat="1" applyFont="1" applyFill="1" applyBorder="1"/>
    <xf numFmtId="37" fontId="32" fillId="104" borderId="16" xfId="25456" applyNumberFormat="1" applyFont="1" applyFill="1" applyBorder="1"/>
    <xf numFmtId="5" fontId="123" fillId="104" borderId="16" xfId="25455" applyNumberFormat="1" applyFont="1" applyFill="1" applyBorder="1"/>
    <xf numFmtId="8" fontId="124" fillId="105" borderId="0" xfId="0" applyNumberFormat="1" applyFont="1" applyFill="1"/>
    <xf numFmtId="186" fontId="124" fillId="0" borderId="0" xfId="0" applyNumberFormat="1" applyFont="1"/>
    <xf numFmtId="10" fontId="124" fillId="105" borderId="0" xfId="25795" applyNumberFormat="1" applyFont="1" applyFill="1"/>
    <xf numFmtId="38" fontId="129" fillId="0" borderId="115" xfId="0" applyNumberFormat="1" applyFont="1" applyBorder="1"/>
    <xf numFmtId="38" fontId="32" fillId="89" borderId="35" xfId="2" applyNumberFormat="1" applyFont="1" applyFill="1" applyBorder="1" applyProtection="1"/>
    <xf numFmtId="5" fontId="32" fillId="103" borderId="51" xfId="25457" applyNumberFormat="1" applyFont="1" applyFill="1" applyBorder="1">
      <alignment horizontal="right"/>
    </xf>
    <xf numFmtId="5" fontId="32" fillId="100" borderId="51" xfId="25457" applyNumberFormat="1" applyFont="1" applyFill="1" applyBorder="1">
      <alignment horizontal="right"/>
    </xf>
    <xf numFmtId="5" fontId="123" fillId="103" borderId="16" xfId="25455" applyNumberFormat="1" applyFont="1" applyFill="1" applyBorder="1"/>
    <xf numFmtId="5" fontId="123" fillId="100" borderId="16" xfId="25455" applyNumberFormat="1" applyFont="1" applyFill="1" applyBorder="1"/>
    <xf numFmtId="5" fontId="123" fillId="100" borderId="108" xfId="25455" applyNumberFormat="1" applyFont="1" applyFill="1" applyBorder="1"/>
    <xf numFmtId="38" fontId="32" fillId="0" borderId="0" xfId="1" applyNumberFormat="1" applyFont="1" applyBorder="1"/>
    <xf numFmtId="38" fontId="32" fillId="33" borderId="91" xfId="3" applyNumberFormat="1" applyFont="1" applyFill="1" applyBorder="1">
      <alignment horizontal="right"/>
    </xf>
    <xf numFmtId="38" fontId="32" fillId="0" borderId="54" xfId="1" applyNumberFormat="1" applyFont="1" applyBorder="1"/>
    <xf numFmtId="38" fontId="32" fillId="0" borderId="35" xfId="1" applyNumberFormat="1" applyFont="1" applyBorder="1"/>
    <xf numFmtId="38" fontId="32" fillId="91" borderId="90" xfId="1" applyNumberFormat="1" applyFont="1" applyFill="1" applyBorder="1"/>
    <xf numFmtId="0" fontId="126" fillId="0" borderId="0" xfId="0" applyFont="1" applyAlignment="1">
      <alignment horizontal="center"/>
    </xf>
    <xf numFmtId="0" fontId="128" fillId="0" borderId="0" xfId="0" applyFont="1"/>
    <xf numFmtId="166" fontId="124" fillId="106" borderId="0" xfId="25744" applyNumberFormat="1" applyFont="1" applyFill="1" applyAlignment="1">
      <alignment horizontal="center"/>
    </xf>
    <xf numFmtId="0" fontId="146" fillId="0" borderId="0" xfId="0" applyFont="1"/>
    <xf numFmtId="49" fontId="123" fillId="0" borderId="0" xfId="25799" applyNumberFormat="1" applyFont="1" applyFill="1" applyBorder="1" applyAlignment="1">
      <alignment horizontal="center"/>
    </xf>
    <xf numFmtId="38" fontId="124" fillId="106" borderId="0" xfId="0" applyNumberFormat="1" applyFont="1" applyFill="1"/>
    <xf numFmtId="5" fontId="124" fillId="90" borderId="0" xfId="0" applyNumberFormat="1" applyFont="1" applyFill="1"/>
    <xf numFmtId="49" fontId="32" fillId="0" borderId="0" xfId="25799" applyNumberFormat="1" applyFont="1" applyFill="1" applyBorder="1" applyAlignment="1">
      <alignment horizontal="right"/>
    </xf>
    <xf numFmtId="38" fontId="124" fillId="101" borderId="0" xfId="0" applyNumberFormat="1" applyFont="1" applyFill="1"/>
    <xf numFmtId="6" fontId="126" fillId="107" borderId="78" xfId="0" applyNumberFormat="1" applyFont="1" applyFill="1" applyBorder="1"/>
    <xf numFmtId="38" fontId="126" fillId="0" borderId="0" xfId="0" applyNumberFormat="1" applyFont="1"/>
    <xf numFmtId="6" fontId="126" fillId="107" borderId="14" xfId="0" applyNumberFormat="1" applyFont="1" applyFill="1" applyBorder="1"/>
    <xf numFmtId="38" fontId="124" fillId="90" borderId="0" xfId="0" applyNumberFormat="1" applyFont="1" applyFill="1"/>
    <xf numFmtId="0" fontId="147" fillId="0" borderId="0" xfId="0" applyFont="1"/>
    <xf numFmtId="40" fontId="124" fillId="95" borderId="0" xfId="0" applyNumberFormat="1" applyFont="1" applyFill="1"/>
    <xf numFmtId="0" fontId="148" fillId="0" borderId="0" xfId="0" applyFont="1"/>
    <xf numFmtId="43" fontId="149" fillId="0" borderId="0" xfId="25744" applyNumberFormat="1" applyFont="1"/>
    <xf numFmtId="40" fontId="124" fillId="95" borderId="0" xfId="0" applyNumberFormat="1" applyFont="1" applyFill="1" applyBorder="1"/>
    <xf numFmtId="0" fontId="124" fillId="0" borderId="0" xfId="0" applyFont="1" applyAlignment="1">
      <alignment horizontal="right"/>
    </xf>
    <xf numFmtId="3" fontId="124" fillId="95" borderId="0" xfId="0" applyNumberFormat="1" applyFont="1" applyFill="1"/>
    <xf numFmtId="166" fontId="149" fillId="0" borderId="0" xfId="25744" applyNumberFormat="1" applyFont="1"/>
    <xf numFmtId="4" fontId="124" fillId="95" borderId="0" xfId="0" quotePrefix="1" applyNumberFormat="1" applyFont="1" applyFill="1"/>
    <xf numFmtId="0" fontId="124" fillId="87" borderId="0" xfId="0" applyFont="1" applyFill="1"/>
    <xf numFmtId="40" fontId="124" fillId="87" borderId="0" xfId="0" applyNumberFormat="1" applyFont="1" applyFill="1"/>
    <xf numFmtId="38" fontId="124" fillId="87" borderId="0" xfId="0" applyNumberFormat="1" applyFont="1" applyFill="1"/>
    <xf numFmtId="192" fontId="32" fillId="89" borderId="0" xfId="0" applyNumberFormat="1" applyFont="1" applyFill="1"/>
    <xf numFmtId="0" fontId="124" fillId="0" borderId="11" xfId="0" applyFont="1" applyBorder="1" applyAlignment="1">
      <alignment horizontal="center"/>
    </xf>
    <xf numFmtId="184" fontId="32" fillId="0" borderId="11" xfId="3" applyNumberFormat="1" applyFont="1" applyBorder="1">
      <alignment horizontal="right"/>
    </xf>
    <xf numFmtId="43" fontId="126" fillId="108" borderId="0" xfId="0" applyNumberFormat="1" applyFont="1" applyFill="1" applyAlignment="1">
      <alignment horizontal="center"/>
    </xf>
    <xf numFmtId="43" fontId="124" fillId="108" borderId="0" xfId="0" applyNumberFormat="1" applyFont="1" applyFill="1"/>
    <xf numFmtId="43" fontId="32" fillId="108" borderId="78" xfId="25455" applyNumberFormat="1" applyFont="1" applyFill="1" applyBorder="1" applyAlignment="1">
      <alignment horizontal="center"/>
    </xf>
    <xf numFmtId="43" fontId="32" fillId="108" borderId="15" xfId="25455" applyNumberFormat="1" applyFont="1" applyFill="1" applyBorder="1" applyAlignment="1">
      <alignment horizontal="center"/>
    </xf>
    <xf numFmtId="43" fontId="123" fillId="108" borderId="0" xfId="25745" applyNumberFormat="1" applyFont="1" applyFill="1" applyBorder="1" applyAlignment="1" applyProtection="1">
      <alignment horizontal="center" wrapText="1"/>
    </xf>
    <xf numFmtId="43" fontId="32" fillId="108" borderId="85" xfId="0" applyNumberFormat="1" applyFont="1" applyFill="1" applyBorder="1"/>
    <xf numFmtId="43" fontId="32" fillId="108" borderId="86" xfId="0" applyNumberFormat="1" applyFont="1" applyFill="1" applyBorder="1"/>
    <xf numFmtId="43" fontId="32" fillId="108" borderId="11" xfId="0" applyNumberFormat="1" applyFont="1" applyFill="1" applyBorder="1"/>
    <xf numFmtId="43" fontId="32" fillId="108" borderId="56" xfId="0" applyNumberFormat="1" applyFont="1" applyFill="1" applyBorder="1"/>
    <xf numFmtId="8" fontId="124" fillId="108" borderId="0" xfId="0" applyNumberFormat="1" applyFont="1" applyFill="1"/>
    <xf numFmtId="43" fontId="32" fillId="108" borderId="91" xfId="0" applyNumberFormat="1" applyFont="1" applyFill="1" applyBorder="1"/>
    <xf numFmtId="43" fontId="124" fillId="109" borderId="0" xfId="0" applyNumberFormat="1" applyFont="1" applyFill="1"/>
    <xf numFmtId="8" fontId="124" fillId="110" borderId="0" xfId="0" applyNumberFormat="1" applyFont="1" applyFill="1"/>
    <xf numFmtId="8" fontId="124" fillId="111" borderId="0" xfId="0" applyNumberFormat="1" applyFont="1" applyFill="1"/>
    <xf numFmtId="8" fontId="125" fillId="0" borderId="0" xfId="0" applyNumberFormat="1" applyFont="1"/>
    <xf numFmtId="0" fontId="125" fillId="0" borderId="0" xfId="0" applyFont="1"/>
    <xf numFmtId="0" fontId="123" fillId="111" borderId="0" xfId="24690" applyFont="1" applyFill="1" applyBorder="1" applyAlignment="1">
      <alignment horizontal="center"/>
    </xf>
    <xf numFmtId="43" fontId="126" fillId="111" borderId="0" xfId="0" applyNumberFormat="1" applyFont="1" applyFill="1" applyAlignment="1">
      <alignment horizontal="center"/>
    </xf>
    <xf numFmtId="43" fontId="124" fillId="111" borderId="0" xfId="0" applyNumberFormat="1" applyFont="1" applyFill="1"/>
    <xf numFmtId="43" fontId="32" fillId="111" borderId="78" xfId="25455" applyNumberFormat="1" applyFont="1" applyFill="1" applyBorder="1" applyAlignment="1">
      <alignment horizontal="center"/>
    </xf>
    <xf numFmtId="43" fontId="32" fillId="111" borderId="15" xfId="25455" applyNumberFormat="1" applyFont="1" applyFill="1" applyBorder="1" applyAlignment="1">
      <alignment horizontal="center"/>
    </xf>
    <xf numFmtId="43" fontId="123" fillId="111" borderId="0" xfId="25745" applyNumberFormat="1" applyFont="1" applyFill="1" applyBorder="1" applyAlignment="1" applyProtection="1">
      <alignment horizontal="center" wrapText="1"/>
    </xf>
    <xf numFmtId="43" fontId="32" fillId="111" borderId="85" xfId="0" applyNumberFormat="1" applyFont="1" applyFill="1" applyBorder="1"/>
    <xf numFmtId="43" fontId="32" fillId="111" borderId="86" xfId="0" applyNumberFormat="1" applyFont="1" applyFill="1" applyBorder="1"/>
    <xf numFmtId="43" fontId="32" fillId="111" borderId="11" xfId="0" applyNumberFormat="1" applyFont="1" applyFill="1" applyBorder="1"/>
    <xf numFmtId="43" fontId="32" fillId="111" borderId="56" xfId="0" applyNumberFormat="1" applyFont="1" applyFill="1" applyBorder="1"/>
    <xf numFmtId="8" fontId="125" fillId="111" borderId="0" xfId="0" applyNumberFormat="1" applyFont="1" applyFill="1"/>
    <xf numFmtId="43" fontId="32" fillId="111" borderId="91" xfId="0" applyNumberFormat="1" applyFont="1" applyFill="1" applyBorder="1"/>
    <xf numFmtId="0" fontId="124" fillId="110" borderId="0" xfId="0" applyFont="1" applyFill="1"/>
    <xf numFmtId="0" fontId="126" fillId="110" borderId="0" xfId="0" applyFont="1" applyFill="1" applyAlignment="1">
      <alignment horizontal="center"/>
    </xf>
    <xf numFmtId="0" fontId="124" fillId="110" borderId="0" xfId="0" applyFont="1" applyFill="1" applyAlignment="1">
      <alignment horizontal="center"/>
    </xf>
    <xf numFmtId="43" fontId="124" fillId="110" borderId="0" xfId="25744" applyFont="1" applyFill="1"/>
    <xf numFmtId="8" fontId="125" fillId="110" borderId="0" xfId="0" applyNumberFormat="1" applyFont="1" applyFill="1"/>
    <xf numFmtId="8" fontId="150" fillId="0" borderId="0" xfId="0" applyNumberFormat="1" applyFont="1"/>
    <xf numFmtId="43" fontId="151" fillId="111" borderId="0" xfId="0" applyNumberFormat="1" applyFont="1" applyFill="1"/>
    <xf numFmtId="0" fontId="151" fillId="0" borderId="0" xfId="0" applyFont="1"/>
    <xf numFmtId="0" fontId="151" fillId="110" borderId="0" xfId="0" applyFont="1" applyFill="1"/>
    <xf numFmtId="43" fontId="151" fillId="0" borderId="0" xfId="0" applyNumberFormat="1" applyFont="1"/>
    <xf numFmtId="43" fontId="152" fillId="111" borderId="85" xfId="0" applyNumberFormat="1" applyFont="1" applyFill="1" applyBorder="1"/>
    <xf numFmtId="8" fontId="151" fillId="110" borderId="0" xfId="0" applyNumberFormat="1" applyFont="1" applyFill="1"/>
    <xf numFmtId="8" fontId="151" fillId="0" borderId="0" xfId="0" applyNumberFormat="1" applyFont="1"/>
    <xf numFmtId="43" fontId="152" fillId="110" borderId="85" xfId="0" applyNumberFormat="1" applyFont="1" applyFill="1" applyBorder="1"/>
    <xf numFmtId="0" fontId="123" fillId="0" borderId="0" xfId="25798" applyFont="1" applyFill="1" applyBorder="1" applyAlignment="1">
      <alignment horizontal="center"/>
    </xf>
    <xf numFmtId="0" fontId="124" fillId="0" borderId="98" xfId="0" applyFont="1" applyBorder="1"/>
    <xf numFmtId="0" fontId="153" fillId="0" borderId="0" xfId="0" applyFont="1"/>
    <xf numFmtId="0" fontId="123" fillId="0" borderId="93" xfId="25798" applyFont="1" applyFill="1" applyBorder="1" applyAlignment="1">
      <alignment horizontal="center"/>
    </xf>
    <xf numFmtId="0" fontId="123" fillId="0" borderId="0" xfId="25798" applyFont="1" applyFill="1" applyBorder="1" applyAlignment="1"/>
    <xf numFmtId="0" fontId="134" fillId="0" borderId="49" xfId="0" applyFont="1" applyBorder="1" applyAlignment="1">
      <alignment horizontal="center"/>
    </xf>
    <xf numFmtId="0" fontId="134" fillId="0" borderId="0" xfId="0" applyFont="1" applyBorder="1" applyAlignment="1">
      <alignment horizontal="center"/>
    </xf>
    <xf numFmtId="0" fontId="134" fillId="0" borderId="0" xfId="0" applyFont="1" applyFill="1" applyBorder="1" applyAlignment="1">
      <alignment horizontal="center"/>
    </xf>
    <xf numFmtId="0" fontId="124" fillId="0" borderId="93" xfId="0" applyFont="1" applyBorder="1"/>
    <xf numFmtId="0" fontId="134" fillId="0" borderId="0" xfId="0" applyFont="1"/>
    <xf numFmtId="0" fontId="154" fillId="0" borderId="0" xfId="0" applyFont="1" applyAlignment="1">
      <alignment horizontal="center"/>
    </xf>
    <xf numFmtId="0" fontId="155" fillId="0" borderId="0" xfId="0" applyFont="1" applyAlignment="1">
      <alignment horizontal="center"/>
    </xf>
    <xf numFmtId="0" fontId="125" fillId="0" borderId="92" xfId="0" applyFont="1" applyBorder="1" applyAlignment="1">
      <alignment horizontal="center"/>
    </xf>
    <xf numFmtId="0" fontId="124" fillId="0" borderId="93" xfId="0" applyFont="1" applyBorder="1" applyAlignment="1">
      <alignment horizontal="center"/>
    </xf>
    <xf numFmtId="0" fontId="134" fillId="0" borderId="0" xfId="0" applyFont="1" applyAlignment="1">
      <alignment horizontal="center"/>
    </xf>
    <xf numFmtId="0" fontId="134" fillId="0" borderId="0" xfId="0" applyFont="1" applyAlignment="1">
      <alignment horizontal="center" wrapText="1"/>
    </xf>
    <xf numFmtId="0" fontId="134" fillId="0" borderId="0" xfId="0" applyFont="1" applyFill="1" applyAlignment="1">
      <alignment horizontal="center"/>
    </xf>
    <xf numFmtId="0" fontId="124" fillId="0" borderId="92" xfId="0" applyFont="1" applyBorder="1" applyAlignment="1">
      <alignment horizontal="center"/>
    </xf>
    <xf numFmtId="3" fontId="124" fillId="0" borderId="93" xfId="0" applyNumberFormat="1" applyFont="1" applyBorder="1"/>
    <xf numFmtId="3" fontId="134" fillId="0" borderId="0" xfId="0" applyNumberFormat="1" applyFont="1" applyAlignment="1">
      <alignment horizontal="right"/>
    </xf>
    <xf numFmtId="3" fontId="134" fillId="0" borderId="0" xfId="0" applyNumberFormat="1" applyFont="1"/>
    <xf numFmtId="3" fontId="134" fillId="0" borderId="0" xfId="0" applyNumberFormat="1" applyFont="1" applyFill="1" applyAlignment="1">
      <alignment horizontal="right"/>
    </xf>
    <xf numFmtId="3" fontId="124" fillId="0" borderId="93" xfId="0" applyNumberFormat="1" applyFont="1" applyFill="1" applyBorder="1"/>
    <xf numFmtId="166" fontId="134" fillId="0" borderId="0" xfId="25744" applyNumberFormat="1" applyFont="1"/>
    <xf numFmtId="166" fontId="134" fillId="0" borderId="0" xfId="25744" applyNumberFormat="1" applyFont="1" applyFill="1"/>
    <xf numFmtId="3" fontId="124" fillId="0" borderId="109" xfId="0" applyNumberFormat="1" applyFont="1" applyFill="1" applyBorder="1"/>
    <xf numFmtId="0" fontId="134" fillId="0" borderId="89" xfId="0" applyFont="1" applyBorder="1"/>
    <xf numFmtId="43" fontId="134" fillId="0" borderId="0" xfId="25744" applyFont="1" applyBorder="1"/>
    <xf numFmtId="0" fontId="134" fillId="0" borderId="0" xfId="0" applyFont="1" applyFill="1" applyBorder="1"/>
    <xf numFmtId="3" fontId="134" fillId="0" borderId="0" xfId="0" applyNumberFormat="1" applyFont="1" applyFill="1"/>
    <xf numFmtId="3" fontId="124" fillId="0" borderId="109" xfId="0" applyNumberFormat="1" applyFont="1" applyBorder="1"/>
    <xf numFmtId="190" fontId="124" fillId="0" borderId="111" xfId="0" applyNumberFormat="1" applyFont="1" applyFill="1" applyBorder="1"/>
    <xf numFmtId="0" fontId="153" fillId="0" borderId="0" xfId="0" applyFont="1" applyFill="1"/>
    <xf numFmtId="190" fontId="134" fillId="0" borderId="83" xfId="0" applyNumberFormat="1" applyFont="1" applyFill="1" applyBorder="1"/>
    <xf numFmtId="190" fontId="134" fillId="0" borderId="0" xfId="0" applyNumberFormat="1" applyFont="1" applyBorder="1"/>
    <xf numFmtId="190" fontId="134" fillId="0" borderId="0" xfId="0" applyNumberFormat="1" applyFont="1" applyFill="1" applyBorder="1"/>
    <xf numFmtId="0" fontId="134" fillId="0" borderId="0" xfId="0" applyFont="1" applyFill="1"/>
    <xf numFmtId="190" fontId="124" fillId="0" borderId="0" xfId="0" applyNumberFormat="1" applyFont="1" applyFill="1"/>
    <xf numFmtId="0" fontId="124" fillId="0" borderId="99" xfId="0" applyFont="1" applyBorder="1" applyAlignment="1">
      <alignment horizontal="center"/>
    </xf>
    <xf numFmtId="0" fontId="124" fillId="0" borderId="100" xfId="0" applyFont="1" applyBorder="1"/>
    <xf numFmtId="10" fontId="32" fillId="0" borderId="56" xfId="4" applyNumberFormat="1" applyFont="1" applyFill="1" applyBorder="1"/>
    <xf numFmtId="38" fontId="32" fillId="0" borderId="108" xfId="3" applyNumberFormat="1" applyFont="1" applyBorder="1">
      <alignment horizontal="right"/>
    </xf>
    <xf numFmtId="38" fontId="32" fillId="0" borderId="87" xfId="3" applyNumberFormat="1" applyFont="1" applyFill="1" applyBorder="1">
      <alignment horizontal="right"/>
    </xf>
    <xf numFmtId="38" fontId="32" fillId="0" borderId="11" xfId="1" applyNumberFormat="1" applyFont="1" applyFill="1" applyBorder="1"/>
    <xf numFmtId="38" fontId="32" fillId="0" borderId="82" xfId="3" applyNumberFormat="1" applyFont="1" applyFill="1" applyBorder="1">
      <alignment horizontal="right"/>
    </xf>
    <xf numFmtId="38" fontId="32" fillId="0" borderId="11" xfId="2" applyNumberFormat="1" applyFont="1" applyFill="1" applyBorder="1"/>
    <xf numFmtId="38" fontId="32" fillId="0" borderId="0" xfId="3" applyNumberFormat="1" applyFont="1" applyFill="1" applyBorder="1">
      <alignment horizontal="right"/>
    </xf>
    <xf numFmtId="38" fontId="32" fillId="0" borderId="86" xfId="3" applyNumberFormat="1" applyFont="1" applyFill="1" applyBorder="1">
      <alignment horizontal="right"/>
    </xf>
    <xf numFmtId="38" fontId="32" fillId="0" borderId="35" xfId="3" applyNumberFormat="1" applyFont="1" applyFill="1" applyBorder="1">
      <alignment horizontal="right"/>
    </xf>
    <xf numFmtId="38" fontId="32" fillId="0" borderId="11" xfId="3" applyNumberFormat="1" applyFont="1" applyFill="1" applyBorder="1">
      <alignment horizontal="right"/>
    </xf>
    <xf numFmtId="38" fontId="32" fillId="0" borderId="0" xfId="1" applyNumberFormat="1" applyFont="1" applyFill="1" applyBorder="1"/>
    <xf numFmtId="38" fontId="32" fillId="0" borderId="87" xfId="1" applyNumberFormat="1" applyFont="1" applyFill="1" applyBorder="1"/>
    <xf numFmtId="0" fontId="32" fillId="0" borderId="0" xfId="1" applyFont="1" applyFill="1"/>
    <xf numFmtId="38" fontId="32" fillId="0" borderId="119" xfId="3" applyNumberFormat="1" applyFont="1" applyFill="1" applyBorder="1">
      <alignment horizontal="right"/>
    </xf>
    <xf numFmtId="0" fontId="124" fillId="106" borderId="0" xfId="0" applyFont="1" applyFill="1" applyAlignment="1">
      <alignment horizontal="center"/>
    </xf>
    <xf numFmtId="0" fontId="32" fillId="106" borderId="0" xfId="25796" applyFont="1" applyFill="1"/>
    <xf numFmtId="43" fontId="32" fillId="106" borderId="101" xfId="25744" applyFont="1" applyFill="1" applyBorder="1"/>
    <xf numFmtId="43" fontId="32" fillId="106" borderId="0" xfId="25744" applyFont="1" applyFill="1" applyBorder="1"/>
    <xf numFmtId="43" fontId="32" fillId="106" borderId="102" xfId="25744" applyFont="1" applyFill="1" applyBorder="1"/>
    <xf numFmtId="43" fontId="32" fillId="106" borderId="0" xfId="25744" applyFont="1" applyFill="1"/>
    <xf numFmtId="14" fontId="32" fillId="106" borderId="0" xfId="25744" applyNumberFormat="1" applyFont="1" applyFill="1"/>
    <xf numFmtId="43" fontId="32" fillId="106" borderId="103" xfId="25744" applyFont="1" applyFill="1" applyBorder="1"/>
    <xf numFmtId="39" fontId="32" fillId="106" borderId="0" xfId="25796" applyNumberFormat="1" applyFont="1" applyFill="1"/>
    <xf numFmtId="0" fontId="32" fillId="106" borderId="0" xfId="25796" applyFont="1" applyFill="1" applyAlignment="1">
      <alignment horizontal="center"/>
    </xf>
    <xf numFmtId="0" fontId="124" fillId="106" borderId="0" xfId="0" applyFont="1" applyFill="1"/>
    <xf numFmtId="10" fontId="32" fillId="106" borderId="0" xfId="25796" applyNumberFormat="1" applyFont="1" applyFill="1"/>
    <xf numFmtId="43" fontId="32" fillId="106" borderId="0" xfId="25796" applyNumberFormat="1" applyFont="1" applyFill="1"/>
    <xf numFmtId="0" fontId="32" fillId="0" borderId="120" xfId="1" applyFont="1" applyFill="1" applyBorder="1"/>
    <xf numFmtId="0" fontId="32" fillId="0" borderId="116" xfId="1" applyFont="1" applyFill="1" applyBorder="1" applyAlignment="1">
      <alignment horizontal="center"/>
    </xf>
    <xf numFmtId="0" fontId="32" fillId="0" borderId="116" xfId="1" applyFont="1" applyFill="1" applyBorder="1"/>
    <xf numFmtId="0" fontId="32" fillId="0" borderId="117" xfId="1" applyFont="1" applyFill="1" applyBorder="1"/>
    <xf numFmtId="38" fontId="32" fillId="0" borderId="116" xfId="1" applyNumberFormat="1" applyFont="1" applyFill="1" applyBorder="1"/>
    <xf numFmtId="38" fontId="32" fillId="0" borderId="117" xfId="1" applyNumberFormat="1" applyFont="1" applyFill="1" applyBorder="1"/>
    <xf numFmtId="38" fontId="32" fillId="0" borderId="118" xfId="1" applyNumberFormat="1" applyFont="1" applyFill="1" applyBorder="1"/>
    <xf numFmtId="38" fontId="32" fillId="0" borderId="118" xfId="3" applyNumberFormat="1" applyFont="1" applyFill="1" applyBorder="1">
      <alignment horizontal="right"/>
    </xf>
    <xf numFmtId="0" fontId="32" fillId="0" borderId="54" xfId="1" applyFont="1" applyBorder="1" applyAlignment="1">
      <alignment horizontal="center"/>
    </xf>
    <xf numFmtId="0" fontId="32" fillId="0" borderId="56" xfId="1" applyFont="1" applyBorder="1" applyAlignment="1">
      <alignment horizontal="center"/>
    </xf>
    <xf numFmtId="0" fontId="32" fillId="0" borderId="89" xfId="1" applyFont="1" applyBorder="1" applyAlignment="1">
      <alignment horizontal="center"/>
    </xf>
    <xf numFmtId="0" fontId="32" fillId="0" borderId="108" xfId="1" applyFont="1" applyBorder="1" applyAlignment="1">
      <alignment horizontal="center"/>
    </xf>
    <xf numFmtId="0" fontId="32" fillId="0" borderId="117" xfId="1" applyFont="1" applyFill="1" applyBorder="1" applyAlignment="1">
      <alignment horizontal="center"/>
    </xf>
    <xf numFmtId="0" fontId="123" fillId="0" borderId="0" xfId="25798" applyFont="1" applyFill="1" applyBorder="1" applyAlignment="1">
      <alignment horizontal="center"/>
    </xf>
    <xf numFmtId="0" fontId="126" fillId="0" borderId="0" xfId="0" applyFont="1" applyAlignment="1">
      <alignment horizontal="center"/>
    </xf>
    <xf numFmtId="49" fontId="123" fillId="0" borderId="0" xfId="25799" applyNumberFormat="1" applyFont="1" applyFill="1" applyBorder="1" applyAlignment="1"/>
    <xf numFmtId="8" fontId="124" fillId="112" borderId="0" xfId="0" applyNumberFormat="1" applyFont="1" applyFill="1"/>
    <xf numFmtId="193" fontId="124" fillId="112" borderId="0" xfId="0" applyNumberFormat="1" applyFont="1" applyFill="1"/>
    <xf numFmtId="8" fontId="124" fillId="0" borderId="0" xfId="0" applyNumberFormat="1" applyFont="1" applyFill="1"/>
    <xf numFmtId="8" fontId="124" fillId="0" borderId="49" xfId="0" applyNumberFormat="1" applyFont="1" applyFill="1" applyBorder="1"/>
    <xf numFmtId="8" fontId="124" fillId="112" borderId="49" xfId="0" applyNumberFormat="1" applyFont="1" applyFill="1" applyBorder="1"/>
    <xf numFmtId="193" fontId="124" fillId="112" borderId="49" xfId="0" applyNumberFormat="1" applyFont="1" applyFill="1" applyBorder="1"/>
    <xf numFmtId="193" fontId="124" fillId="0" borderId="0" xfId="0" applyNumberFormat="1" applyFont="1" applyFill="1"/>
    <xf numFmtId="40" fontId="124" fillId="0" borderId="121" xfId="0" applyNumberFormat="1" applyFont="1" applyBorder="1"/>
    <xf numFmtId="8" fontId="124" fillId="104" borderId="0" xfId="0" applyNumberFormat="1" applyFont="1" applyFill="1"/>
    <xf numFmtId="8" fontId="124" fillId="104" borderId="89" xfId="0" applyNumberFormat="1" applyFont="1" applyFill="1" applyBorder="1"/>
    <xf numFmtId="8" fontId="124" fillId="112" borderId="89" xfId="0" applyNumberFormat="1" applyFont="1" applyFill="1" applyBorder="1"/>
    <xf numFmtId="193" fontId="124" fillId="112" borderId="89" xfId="0" applyNumberFormat="1" applyFont="1" applyFill="1" applyBorder="1"/>
    <xf numFmtId="8" fontId="125" fillId="112" borderId="0" xfId="0" applyNumberFormat="1" applyFont="1" applyFill="1"/>
    <xf numFmtId="40" fontId="124" fillId="112" borderId="0" xfId="0" applyNumberFormat="1" applyFont="1" applyFill="1"/>
    <xf numFmtId="4" fontId="124" fillId="112" borderId="0" xfId="0" applyNumberFormat="1" applyFont="1" applyFill="1"/>
    <xf numFmtId="43" fontId="124" fillId="112" borderId="0" xfId="25744" applyFont="1" applyFill="1"/>
    <xf numFmtId="4" fontId="124" fillId="112" borderId="33" xfId="0" applyNumberFormat="1" applyFont="1" applyFill="1" applyBorder="1"/>
    <xf numFmtId="0" fontId="124" fillId="0" borderId="96" xfId="0" applyFont="1" applyBorder="1"/>
    <xf numFmtId="0" fontId="124" fillId="113" borderId="97" xfId="0" applyFont="1" applyFill="1" applyBorder="1"/>
    <xf numFmtId="8" fontId="124" fillId="113" borderId="97" xfId="0" applyNumberFormat="1" applyFont="1" applyFill="1" applyBorder="1"/>
    <xf numFmtId="10" fontId="124" fillId="0" borderId="97" xfId="0" applyNumberFormat="1" applyFont="1" applyBorder="1"/>
    <xf numFmtId="0" fontId="124" fillId="0" borderId="97" xfId="0" applyFont="1" applyBorder="1"/>
    <xf numFmtId="8" fontId="124" fillId="113" borderId="98" xfId="0" applyNumberFormat="1" applyFont="1" applyFill="1" applyBorder="1"/>
    <xf numFmtId="0" fontId="124" fillId="112" borderId="92" xfId="0" applyFont="1" applyFill="1" applyBorder="1"/>
    <xf numFmtId="0" fontId="128" fillId="112" borderId="0" xfId="0" applyFont="1" applyFill="1" applyBorder="1" applyAlignment="1">
      <alignment horizontal="right"/>
    </xf>
    <xf numFmtId="8" fontId="124" fillId="112" borderId="0" xfId="0" applyNumberFormat="1" applyFont="1" applyFill="1" applyBorder="1"/>
    <xf numFmtId="10" fontId="124" fillId="0" borderId="0" xfId="0" applyNumberFormat="1" applyFont="1" applyBorder="1"/>
    <xf numFmtId="0" fontId="124" fillId="112" borderId="0" xfId="0" applyFont="1" applyFill="1" applyBorder="1"/>
    <xf numFmtId="8" fontId="124" fillId="112" borderId="93" xfId="0" applyNumberFormat="1" applyFont="1" applyFill="1" applyBorder="1"/>
    <xf numFmtId="4" fontId="125" fillId="112" borderId="0" xfId="0" applyNumberFormat="1" applyFont="1" applyFill="1" applyBorder="1"/>
    <xf numFmtId="0" fontId="124" fillId="0" borderId="0" xfId="0" applyFont="1" applyBorder="1" applyAlignment="1">
      <alignment horizontal="right"/>
    </xf>
    <xf numFmtId="0" fontId="125" fillId="112" borderId="0" xfId="0" applyFont="1" applyFill="1" applyBorder="1"/>
    <xf numFmtId="4" fontId="125" fillId="112" borderId="93" xfId="0" applyNumberFormat="1" applyFont="1" applyFill="1" applyBorder="1"/>
    <xf numFmtId="0" fontId="124" fillId="0" borderId="99" xfId="0" applyFont="1" applyBorder="1"/>
    <xf numFmtId="8" fontId="124" fillId="0" borderId="100" xfId="0" applyNumberFormat="1" applyFont="1" applyBorder="1"/>
    <xf numFmtId="0" fontId="32" fillId="109" borderId="78" xfId="25455" applyFont="1" applyFill="1" applyBorder="1" applyAlignment="1">
      <alignment horizontal="center"/>
    </xf>
    <xf numFmtId="0" fontId="32" fillId="109" borderId="15" xfId="25455" applyFont="1" applyFill="1" applyBorder="1" applyAlignment="1">
      <alignment horizontal="center"/>
    </xf>
    <xf numFmtId="49" fontId="32" fillId="109" borderId="16" xfId="25455" applyNumberFormat="1" applyFont="1" applyFill="1" applyBorder="1" applyAlignment="1">
      <alignment horizontal="center"/>
    </xf>
    <xf numFmtId="0" fontId="32" fillId="109" borderId="55" xfId="25455" applyFont="1" applyFill="1" applyBorder="1"/>
    <xf numFmtId="5" fontId="32" fillId="109" borderId="14" xfId="25457" applyNumberFormat="1" applyFont="1" applyFill="1" applyBorder="1">
      <alignment horizontal="right"/>
    </xf>
    <xf numFmtId="37" fontId="32" fillId="109" borderId="14" xfId="25456" applyNumberFormat="1" applyFont="1" applyFill="1" applyBorder="1"/>
    <xf numFmtId="5" fontId="123" fillId="109" borderId="51" xfId="25457" applyNumberFormat="1" applyFont="1" applyFill="1" applyBorder="1">
      <alignment horizontal="right"/>
    </xf>
    <xf numFmtId="5" fontId="123" fillId="109" borderId="78" xfId="25457" applyNumberFormat="1" applyFont="1" applyFill="1" applyBorder="1">
      <alignment horizontal="right"/>
    </xf>
    <xf numFmtId="5" fontId="32" fillId="109" borderId="51" xfId="25457" applyNumberFormat="1" applyFont="1" applyFill="1" applyBorder="1">
      <alignment horizontal="right"/>
    </xf>
    <xf numFmtId="5" fontId="123" fillId="109" borderId="64" xfId="25457" applyNumberFormat="1" applyFont="1" applyFill="1" applyBorder="1">
      <alignment horizontal="right"/>
    </xf>
    <xf numFmtId="166" fontId="32" fillId="109" borderId="16" xfId="25456" applyNumberFormat="1" applyFont="1" applyFill="1" applyBorder="1"/>
    <xf numFmtId="37" fontId="32" fillId="109" borderId="16" xfId="25456" applyNumberFormat="1" applyFont="1" applyFill="1" applyBorder="1"/>
    <xf numFmtId="5" fontId="32" fillId="109" borderId="51" xfId="25456" applyNumberFormat="1" applyFont="1" applyFill="1" applyBorder="1"/>
    <xf numFmtId="5" fontId="123" fillId="109" borderId="16" xfId="25455" applyNumberFormat="1" applyFont="1" applyFill="1" applyBorder="1"/>
    <xf numFmtId="0" fontId="32" fillId="109" borderId="89" xfId="25455" applyFont="1" applyFill="1" applyBorder="1" applyAlignment="1">
      <alignment horizontal="center"/>
    </xf>
    <xf numFmtId="0" fontId="32" fillId="109" borderId="54" xfId="25455" applyFont="1" applyFill="1" applyBorder="1"/>
    <xf numFmtId="182" fontId="32" fillId="109" borderId="14" xfId="25456" applyNumberFormat="1" applyFont="1" applyFill="1" applyBorder="1"/>
    <xf numFmtId="5" fontId="32" fillId="109" borderId="14" xfId="25456" applyNumberFormat="1" applyFont="1" applyFill="1" applyBorder="1"/>
    <xf numFmtId="0" fontId="32" fillId="109" borderId="89" xfId="25455" applyFont="1" applyFill="1" applyBorder="1"/>
    <xf numFmtId="6" fontId="32" fillId="109" borderId="14" xfId="25457" applyNumberFormat="1" applyFont="1" applyFill="1" applyBorder="1">
      <alignment horizontal="right"/>
    </xf>
    <xf numFmtId="43" fontId="124" fillId="87" borderId="0" xfId="25744" applyFont="1" applyFill="1"/>
    <xf numFmtId="43" fontId="123" fillId="87" borderId="0" xfId="25744" applyFont="1" applyFill="1" applyAlignment="1">
      <alignment horizontal="center" vertical="center" wrapText="1"/>
    </xf>
    <xf numFmtId="43" fontId="32" fillId="87" borderId="0" xfId="25744" applyFont="1" applyFill="1"/>
    <xf numFmtId="43" fontId="32" fillId="87" borderId="0" xfId="25744" applyFont="1" applyFill="1" applyAlignment="1">
      <alignment horizontal="center"/>
    </xf>
    <xf numFmtId="3" fontId="134" fillId="0" borderId="0" xfId="0" quotePrefix="1" applyNumberFormat="1" applyFont="1"/>
    <xf numFmtId="43" fontId="134" fillId="0" borderId="0" xfId="25744" quotePrefix="1" applyFont="1"/>
    <xf numFmtId="0" fontId="123" fillId="33" borderId="0" xfId="1" applyFont="1" applyFill="1" applyBorder="1" applyAlignment="1">
      <alignment horizontal="center"/>
    </xf>
    <xf numFmtId="0" fontId="123" fillId="33" borderId="0" xfId="1" quotePrefix="1" applyFont="1" applyFill="1" applyBorder="1" applyAlignment="1">
      <alignment horizontal="center"/>
    </xf>
    <xf numFmtId="0" fontId="123" fillId="33" borderId="0" xfId="24690" applyFont="1" applyFill="1" applyBorder="1" applyAlignment="1">
      <alignment horizontal="center"/>
    </xf>
    <xf numFmtId="0" fontId="123" fillId="0" borderId="0" xfId="25455" quotePrefix="1" applyFont="1" applyFill="1" applyAlignment="1">
      <alignment horizontal="center"/>
    </xf>
    <xf numFmtId="0" fontId="123" fillId="0" borderId="0" xfId="24690" applyFont="1" applyFill="1" applyBorder="1" applyAlignment="1">
      <alignment horizontal="center"/>
    </xf>
    <xf numFmtId="49" fontId="123" fillId="0" borderId="0" xfId="25293" applyNumberFormat="1" applyFont="1" applyFill="1" applyBorder="1" applyAlignment="1">
      <alignment horizontal="center"/>
    </xf>
    <xf numFmtId="0" fontId="123" fillId="33" borderId="10" xfId="24690" applyFont="1" applyFill="1" applyBorder="1" applyAlignment="1">
      <alignment horizontal="center"/>
    </xf>
    <xf numFmtId="0" fontId="123" fillId="33" borderId="72" xfId="24690" applyFont="1" applyFill="1" applyBorder="1" applyAlignment="1">
      <alignment horizontal="center"/>
    </xf>
    <xf numFmtId="0" fontId="123" fillId="33" borderId="71" xfId="24690" applyFont="1" applyFill="1" applyBorder="1" applyAlignment="1">
      <alignment horizontal="center"/>
    </xf>
    <xf numFmtId="0" fontId="123" fillId="33" borderId="35" xfId="24690" applyFont="1" applyFill="1" applyBorder="1" applyAlignment="1">
      <alignment horizontal="center"/>
    </xf>
    <xf numFmtId="0" fontId="123" fillId="33" borderId="11" xfId="24690" applyFont="1" applyFill="1" applyBorder="1" applyAlignment="1">
      <alignment horizontal="center"/>
    </xf>
    <xf numFmtId="49" fontId="123" fillId="33" borderId="54" xfId="24690" applyNumberFormat="1" applyFont="1" applyFill="1" applyBorder="1" applyAlignment="1">
      <alignment horizontal="center"/>
    </xf>
    <xf numFmtId="49" fontId="123" fillId="33" borderId="55" xfId="24690" applyNumberFormat="1" applyFont="1" applyFill="1" applyBorder="1" applyAlignment="1">
      <alignment horizontal="center"/>
    </xf>
    <xf numFmtId="49" fontId="123" fillId="33" borderId="56" xfId="24690" applyNumberFormat="1" applyFont="1" applyFill="1" applyBorder="1" applyAlignment="1">
      <alignment horizontal="center"/>
    </xf>
    <xf numFmtId="0" fontId="123" fillId="0" borderId="0" xfId="25798" applyFont="1" applyFill="1" applyBorder="1" applyAlignment="1">
      <alignment horizontal="center"/>
    </xf>
    <xf numFmtId="0" fontId="126" fillId="0" borderId="0" xfId="0" applyFont="1" applyAlignment="1">
      <alignment horizontal="center"/>
    </xf>
    <xf numFmtId="0" fontId="123" fillId="33" borderId="80" xfId="24690" applyFont="1" applyFill="1" applyBorder="1" applyAlignment="1">
      <alignment horizontal="center"/>
    </xf>
    <xf numFmtId="0" fontId="123" fillId="33" borderId="79" xfId="24690" applyFont="1" applyFill="1" applyBorder="1" applyAlignment="1">
      <alignment horizontal="center"/>
    </xf>
    <xf numFmtId="0" fontId="123" fillId="33" borderId="81" xfId="24690" applyFont="1" applyFill="1" applyBorder="1" applyAlignment="1">
      <alignment horizontal="center"/>
    </xf>
    <xf numFmtId="0" fontId="123" fillId="33" borderId="80" xfId="25276" applyFont="1" applyFill="1" applyBorder="1" applyAlignment="1">
      <alignment horizontal="center"/>
    </xf>
    <xf numFmtId="0" fontId="123" fillId="33" borderId="79" xfId="25276" applyFont="1" applyFill="1" applyBorder="1" applyAlignment="1">
      <alignment horizontal="center"/>
    </xf>
    <xf numFmtId="0" fontId="123" fillId="33" borderId="81" xfId="25276" applyFont="1" applyFill="1" applyBorder="1" applyAlignment="1">
      <alignment horizontal="center"/>
    </xf>
    <xf numFmtId="0" fontId="123" fillId="33" borderId="55" xfId="1" quotePrefix="1" applyFont="1" applyFill="1" applyBorder="1" applyAlignment="1">
      <alignment horizontal="center"/>
    </xf>
    <xf numFmtId="0" fontId="123" fillId="93" borderId="54" xfId="0" applyFont="1" applyFill="1" applyBorder="1" applyAlignment="1">
      <alignment horizontal="left"/>
    </xf>
    <xf numFmtId="0" fontId="123" fillId="93" borderId="56" xfId="0" applyFont="1" applyFill="1" applyBorder="1" applyAlignment="1">
      <alignment horizontal="left"/>
    </xf>
    <xf numFmtId="39" fontId="123" fillId="0" borderId="35" xfId="25745" applyFont="1" applyBorder="1" applyAlignment="1" applyProtection="1">
      <alignment horizontal="left" wrapText="1" indent="1"/>
    </xf>
    <xf numFmtId="39" fontId="123" fillId="0" borderId="11" xfId="25745" applyFont="1" applyBorder="1" applyAlignment="1" applyProtection="1">
      <alignment horizontal="left" wrapText="1" indent="1"/>
    </xf>
    <xf numFmtId="0" fontId="123" fillId="93" borderId="80" xfId="0" applyFont="1" applyFill="1" applyBorder="1" applyAlignment="1">
      <alignment horizontal="left" vertical="center"/>
    </xf>
    <xf numFmtId="0" fontId="123" fillId="93" borderId="81" xfId="0" applyFont="1" applyFill="1" applyBorder="1" applyAlignment="1">
      <alignment horizontal="left" vertical="center"/>
    </xf>
    <xf numFmtId="0" fontId="123" fillId="93" borderId="35" xfId="0" applyFont="1" applyFill="1" applyBorder="1" applyAlignment="1">
      <alignment horizontal="left" vertical="center"/>
    </xf>
    <xf numFmtId="0" fontId="123" fillId="93" borderId="11" xfId="0" applyFont="1" applyFill="1" applyBorder="1" applyAlignment="1">
      <alignment horizontal="left" vertical="center"/>
    </xf>
    <xf numFmtId="0" fontId="123" fillId="94" borderId="84" xfId="0" applyFont="1" applyFill="1" applyBorder="1" applyAlignment="1">
      <alignment horizontal="center"/>
    </xf>
    <xf numFmtId="0" fontId="123" fillId="94" borderId="53" xfId="0" applyFont="1" applyFill="1" applyBorder="1" applyAlignment="1">
      <alignment horizontal="center"/>
    </xf>
    <xf numFmtId="0" fontId="123" fillId="94" borderId="80" xfId="0" applyFont="1" applyFill="1" applyBorder="1" applyAlignment="1">
      <alignment horizontal="center"/>
    </xf>
    <xf numFmtId="0" fontId="123" fillId="94" borderId="79" xfId="0" applyFont="1" applyFill="1" applyBorder="1" applyAlignment="1">
      <alignment horizontal="center"/>
    </xf>
    <xf numFmtId="0" fontId="123" fillId="94" borderId="81" xfId="0" applyFont="1" applyFill="1" applyBorder="1" applyAlignment="1">
      <alignment horizontal="center"/>
    </xf>
    <xf numFmtId="0" fontId="126" fillId="0" borderId="96" xfId="0" applyFont="1" applyBorder="1" applyAlignment="1">
      <alignment vertical="center"/>
    </xf>
    <xf numFmtId="0" fontId="126" fillId="0" borderId="97" xfId="0" applyFont="1" applyBorder="1" applyAlignment="1">
      <alignment vertical="center"/>
    </xf>
    <xf numFmtId="0" fontId="126" fillId="0" borderId="98" xfId="0" applyFont="1" applyBorder="1" applyAlignment="1">
      <alignment vertical="center"/>
    </xf>
    <xf numFmtId="0" fontId="126" fillId="0" borderId="92" xfId="0" applyFont="1" applyBorder="1" applyAlignment="1">
      <alignment vertical="center"/>
    </xf>
    <xf numFmtId="0" fontId="126" fillId="0" borderId="0" xfId="0" applyFont="1" applyBorder="1" applyAlignment="1">
      <alignment vertical="center"/>
    </xf>
    <xf numFmtId="0" fontId="126" fillId="0" borderId="93" xfId="0" applyFont="1" applyBorder="1" applyAlignment="1">
      <alignment vertical="center"/>
    </xf>
    <xf numFmtId="0" fontId="126" fillId="0" borderId="99" xfId="0" applyFont="1" applyBorder="1" applyAlignment="1">
      <alignment vertical="center"/>
    </xf>
    <xf numFmtId="0" fontId="126" fillId="0" borderId="49" xfId="0" applyFont="1" applyBorder="1" applyAlignment="1">
      <alignment vertical="center"/>
    </xf>
    <xf numFmtId="0" fontId="126" fillId="0" borderId="100" xfId="0" applyFont="1" applyBorder="1" applyAlignment="1">
      <alignment vertical="center"/>
    </xf>
    <xf numFmtId="0" fontId="130" fillId="0" borderId="79" xfId="0" applyFont="1" applyBorder="1" applyAlignment="1">
      <alignment horizontal="left"/>
    </xf>
    <xf numFmtId="0" fontId="130" fillId="0" borderId="53" xfId="0" applyFont="1" applyBorder="1" applyAlignment="1">
      <alignment horizontal="left"/>
    </xf>
    <xf numFmtId="0" fontId="124" fillId="33" borderId="0" xfId="0" applyFont="1" applyFill="1" applyBorder="1" applyAlignment="1">
      <alignment horizontal="right"/>
    </xf>
    <xf numFmtId="0" fontId="124" fillId="33" borderId="93" xfId="0" applyFont="1" applyFill="1" applyBorder="1" applyAlignment="1">
      <alignment horizontal="right"/>
    </xf>
    <xf numFmtId="0" fontId="140" fillId="0" borderId="96" xfId="0" applyFont="1" applyBorder="1" applyAlignment="1">
      <alignment horizontal="center" vertical="center" wrapText="1"/>
    </xf>
    <xf numFmtId="0" fontId="140" fillId="0" borderId="97" xfId="0" applyFont="1" applyBorder="1" applyAlignment="1">
      <alignment horizontal="center" vertical="center" wrapText="1"/>
    </xf>
    <xf numFmtId="0" fontId="140" fillId="0" borderId="98" xfId="0" applyFont="1" applyBorder="1" applyAlignment="1">
      <alignment horizontal="center" vertical="center" wrapText="1"/>
    </xf>
    <xf numFmtId="0" fontId="140" fillId="0" borderId="92" xfId="0" applyFont="1" applyBorder="1" applyAlignment="1">
      <alignment horizontal="center" vertical="center" wrapText="1"/>
    </xf>
    <xf numFmtId="0" fontId="140" fillId="0" borderId="0" xfId="0" applyFont="1" applyBorder="1" applyAlignment="1">
      <alignment horizontal="center" vertical="center" wrapText="1"/>
    </xf>
    <xf numFmtId="0" fontId="140" fillId="0" borderId="93" xfId="0" applyFont="1" applyBorder="1" applyAlignment="1">
      <alignment horizontal="center" vertical="center" wrapText="1"/>
    </xf>
    <xf numFmtId="0" fontId="140" fillId="0" borderId="99" xfId="0" applyFont="1" applyBorder="1" applyAlignment="1">
      <alignment horizontal="center" vertical="center" wrapText="1"/>
    </xf>
    <xf numFmtId="0" fontId="140" fillId="0" borderId="49" xfId="0" applyFont="1" applyBorder="1" applyAlignment="1">
      <alignment horizontal="center" vertical="center" wrapText="1"/>
    </xf>
    <xf numFmtId="0" fontId="140" fillId="0" borderId="100" xfId="0" applyFont="1" applyBorder="1" applyAlignment="1">
      <alignment horizontal="center" vertical="center" wrapText="1"/>
    </xf>
    <xf numFmtId="0" fontId="131" fillId="0" borderId="92" xfId="0" applyFont="1" applyBorder="1" applyAlignment="1">
      <alignment horizontal="left"/>
    </xf>
    <xf numFmtId="0" fontId="131" fillId="0" borderId="0" xfId="0" applyFont="1" applyBorder="1" applyAlignment="1">
      <alignment horizontal="left"/>
    </xf>
    <xf numFmtId="0" fontId="131" fillId="0" borderId="93" xfId="0" applyFont="1" applyBorder="1" applyAlignment="1">
      <alignment horizontal="left"/>
    </xf>
    <xf numFmtId="0" fontId="124" fillId="33" borderId="97" xfId="0" applyFont="1" applyFill="1" applyBorder="1" applyAlignment="1">
      <alignment horizontal="right"/>
    </xf>
    <xf numFmtId="0" fontId="124" fillId="33" borderId="98" xfId="0" applyFont="1" applyFill="1" applyBorder="1" applyAlignment="1">
      <alignment horizontal="right"/>
    </xf>
    <xf numFmtId="0" fontId="124" fillId="0" borderId="0" xfId="0" applyFont="1" applyAlignment="1">
      <alignment horizontal="center" wrapText="1"/>
    </xf>
    <xf numFmtId="0" fontId="123" fillId="0" borderId="0" xfId="0" applyFont="1" applyAlignment="1">
      <alignment horizontal="center"/>
    </xf>
    <xf numFmtId="0" fontId="32" fillId="0" borderId="0" xfId="0" applyFont="1" applyAlignment="1">
      <alignment horizontal="center" wrapText="1"/>
    </xf>
    <xf numFmtId="0" fontId="32" fillId="0" borderId="89" xfId="0" applyFont="1" applyBorder="1" applyAlignment="1">
      <alignment horizontal="center" wrapText="1"/>
    </xf>
    <xf numFmtId="0" fontId="134" fillId="0" borderId="96" xfId="0" applyFont="1" applyBorder="1" applyAlignment="1">
      <alignment horizontal="center"/>
    </xf>
    <xf numFmtId="0" fontId="134" fillId="0" borderId="97" xfId="0" applyFont="1" applyBorder="1" applyAlignment="1">
      <alignment horizontal="center"/>
    </xf>
    <xf numFmtId="0" fontId="123" fillId="0" borderId="92" xfId="25798" applyFont="1" applyFill="1" applyBorder="1" applyAlignment="1">
      <alignment horizontal="center"/>
    </xf>
    <xf numFmtId="0" fontId="124" fillId="0" borderId="0" xfId="0" applyFont="1" applyAlignment="1">
      <alignment vertical="center" wrapText="1"/>
    </xf>
    <xf numFmtId="0" fontId="143" fillId="0" borderId="0" xfId="24690" applyFont="1" applyFill="1" applyBorder="1" applyAlignment="1">
      <alignment horizontal="center"/>
    </xf>
    <xf numFmtId="38" fontId="126" fillId="114" borderId="94" xfId="0" applyNumberFormat="1" applyFont="1" applyFill="1" applyBorder="1"/>
    <xf numFmtId="3" fontId="124" fillId="114" borderId="0" xfId="0" applyNumberFormat="1" applyFont="1" applyFill="1"/>
    <xf numFmtId="10" fontId="124" fillId="115" borderId="0" xfId="0" applyNumberFormat="1" applyFont="1" applyFill="1"/>
    <xf numFmtId="10" fontId="124" fillId="115" borderId="49" xfId="0" applyNumberFormat="1" applyFont="1" applyFill="1" applyBorder="1"/>
    <xf numFmtId="8" fontId="124" fillId="104" borderId="49" xfId="0" applyNumberFormat="1" applyFont="1" applyFill="1" applyBorder="1"/>
    <xf numFmtId="40" fontId="124" fillId="104" borderId="0" xfId="0" applyNumberFormat="1" applyFont="1" applyFill="1"/>
  </cellXfs>
  <cellStyles count="25800">
    <cellStyle name="20% - Accent1 10" xfId="666"/>
    <cellStyle name="20% - Accent1 10 2" xfId="3622"/>
    <cellStyle name="20% - Accent1 10 2 2" xfId="11601"/>
    <cellStyle name="20% - Accent1 10 2 2 2" xfId="22889"/>
    <cellStyle name="20% - Accent1 10 2 3" xfId="9607"/>
    <cellStyle name="20% - Accent1 10 2 3 2" xfId="20895"/>
    <cellStyle name="20% - Accent1 10 2 4" xfId="7613"/>
    <cellStyle name="20% - Accent1 10 2 4 2" xfId="18901"/>
    <cellStyle name="20% - Accent1 10 2 5" xfId="5619"/>
    <cellStyle name="20% - Accent1 10 2 5 2" xfId="16907"/>
    <cellStyle name="20% - Accent1 10 2 6" xfId="14913"/>
    <cellStyle name="20% - Accent1 10 3" xfId="10604"/>
    <cellStyle name="20% - Accent1 10 3 2" xfId="21892"/>
    <cellStyle name="20% - Accent1 10 4" xfId="8619"/>
    <cellStyle name="20% - Accent1 10 4 2" xfId="19907"/>
    <cellStyle name="20% - Accent1 10 5" xfId="6616"/>
    <cellStyle name="20% - Accent1 10 5 2" xfId="17904"/>
    <cellStyle name="20% - Accent1 10 6" xfId="4622"/>
    <cellStyle name="20% - Accent1 10 6 2" xfId="15910"/>
    <cellStyle name="20% - Accent1 10 7" xfId="13916"/>
    <cellStyle name="20% - Accent1 10 8" xfId="12602"/>
    <cellStyle name="20% - Accent1 11" xfId="667"/>
    <cellStyle name="20% - Accent1 11 2" xfId="3623"/>
    <cellStyle name="20% - Accent1 11 2 2" xfId="11602"/>
    <cellStyle name="20% - Accent1 11 2 2 2" xfId="22890"/>
    <cellStyle name="20% - Accent1 11 2 3" xfId="9608"/>
    <cellStyle name="20% - Accent1 11 2 3 2" xfId="20896"/>
    <cellStyle name="20% - Accent1 11 2 4" xfId="7614"/>
    <cellStyle name="20% - Accent1 11 2 4 2" xfId="18902"/>
    <cellStyle name="20% - Accent1 11 2 5" xfId="5620"/>
    <cellStyle name="20% - Accent1 11 2 5 2" xfId="16908"/>
    <cellStyle name="20% - Accent1 11 2 6" xfId="14914"/>
    <cellStyle name="20% - Accent1 11 3" xfId="10605"/>
    <cellStyle name="20% - Accent1 11 3 2" xfId="21893"/>
    <cellStyle name="20% - Accent1 11 4" xfId="8611"/>
    <cellStyle name="20% - Accent1 11 4 2" xfId="19899"/>
    <cellStyle name="20% - Accent1 11 5" xfId="6617"/>
    <cellStyle name="20% - Accent1 11 5 2" xfId="17905"/>
    <cellStyle name="20% - Accent1 11 6" xfId="4623"/>
    <cellStyle name="20% - Accent1 11 6 2" xfId="15911"/>
    <cellStyle name="20% - Accent1 11 7" xfId="13917"/>
    <cellStyle name="20% - Accent1 11 8" xfId="12603"/>
    <cellStyle name="20% - Accent1 12" xfId="668"/>
    <cellStyle name="20% - Accent1 12 2" xfId="3624"/>
    <cellStyle name="20% - Accent1 12 2 2" xfId="11603"/>
    <cellStyle name="20% - Accent1 12 2 2 2" xfId="22891"/>
    <cellStyle name="20% - Accent1 12 2 3" xfId="9609"/>
    <cellStyle name="20% - Accent1 12 2 3 2" xfId="20897"/>
    <cellStyle name="20% - Accent1 12 2 4" xfId="7615"/>
    <cellStyle name="20% - Accent1 12 2 4 2" xfId="18903"/>
    <cellStyle name="20% - Accent1 12 2 5" xfId="5621"/>
    <cellStyle name="20% - Accent1 12 2 5 2" xfId="16909"/>
    <cellStyle name="20% - Accent1 12 2 6" xfId="14915"/>
    <cellStyle name="20% - Accent1 12 3" xfId="10606"/>
    <cellStyle name="20% - Accent1 12 3 2" xfId="21894"/>
    <cellStyle name="20% - Accent1 12 4" xfId="8620"/>
    <cellStyle name="20% - Accent1 12 4 2" xfId="19908"/>
    <cellStyle name="20% - Accent1 12 5" xfId="6618"/>
    <cellStyle name="20% - Accent1 12 5 2" xfId="17906"/>
    <cellStyle name="20% - Accent1 12 6" xfId="4624"/>
    <cellStyle name="20% - Accent1 12 6 2" xfId="15912"/>
    <cellStyle name="20% - Accent1 12 7" xfId="13918"/>
    <cellStyle name="20% - Accent1 12 8" xfId="12604"/>
    <cellStyle name="20% - Accent1 13" xfId="669"/>
    <cellStyle name="20% - Accent1 13 2" xfId="3625"/>
    <cellStyle name="20% - Accent1 13 2 2" xfId="11604"/>
    <cellStyle name="20% - Accent1 13 2 2 2" xfId="22892"/>
    <cellStyle name="20% - Accent1 13 2 3" xfId="9610"/>
    <cellStyle name="20% - Accent1 13 2 3 2" xfId="20898"/>
    <cellStyle name="20% - Accent1 13 2 4" xfId="7616"/>
    <cellStyle name="20% - Accent1 13 2 4 2" xfId="18904"/>
    <cellStyle name="20% - Accent1 13 2 5" xfId="5622"/>
    <cellStyle name="20% - Accent1 13 2 5 2" xfId="16910"/>
    <cellStyle name="20% - Accent1 13 2 6" xfId="14916"/>
    <cellStyle name="20% - Accent1 13 3" xfId="10607"/>
    <cellStyle name="20% - Accent1 13 3 2" xfId="21895"/>
    <cellStyle name="20% - Accent1 13 4" xfId="8612"/>
    <cellStyle name="20% - Accent1 13 4 2" xfId="19900"/>
    <cellStyle name="20% - Accent1 13 5" xfId="6619"/>
    <cellStyle name="20% - Accent1 13 5 2" xfId="17907"/>
    <cellStyle name="20% - Accent1 13 6" xfId="4625"/>
    <cellStyle name="20% - Accent1 13 6 2" xfId="15913"/>
    <cellStyle name="20% - Accent1 13 7" xfId="13919"/>
    <cellStyle name="20% - Accent1 13 8" xfId="12605"/>
    <cellStyle name="20% - Accent1 14" xfId="670"/>
    <cellStyle name="20% - Accent1 14 2" xfId="3626"/>
    <cellStyle name="20% - Accent1 14 2 2" xfId="11605"/>
    <cellStyle name="20% - Accent1 14 2 2 2" xfId="22893"/>
    <cellStyle name="20% - Accent1 14 2 3" xfId="9611"/>
    <cellStyle name="20% - Accent1 14 2 3 2" xfId="20899"/>
    <cellStyle name="20% - Accent1 14 2 4" xfId="7617"/>
    <cellStyle name="20% - Accent1 14 2 4 2" xfId="18905"/>
    <cellStyle name="20% - Accent1 14 2 5" xfId="5623"/>
    <cellStyle name="20% - Accent1 14 2 5 2" xfId="16911"/>
    <cellStyle name="20% - Accent1 14 2 6" xfId="14917"/>
    <cellStyle name="20% - Accent1 14 3" xfId="10608"/>
    <cellStyle name="20% - Accent1 14 3 2" xfId="21896"/>
    <cellStyle name="20% - Accent1 14 4" xfId="8610"/>
    <cellStyle name="20% - Accent1 14 4 2" xfId="19898"/>
    <cellStyle name="20% - Accent1 14 5" xfId="6620"/>
    <cellStyle name="20% - Accent1 14 5 2" xfId="17908"/>
    <cellStyle name="20% - Accent1 14 6" xfId="4626"/>
    <cellStyle name="20% - Accent1 14 6 2" xfId="15914"/>
    <cellStyle name="20% - Accent1 14 7" xfId="13920"/>
    <cellStyle name="20% - Accent1 14 8" xfId="12606"/>
    <cellStyle name="20% - Accent1 15" xfId="671"/>
    <cellStyle name="20% - Accent1 15 2" xfId="3627"/>
    <cellStyle name="20% - Accent1 15 2 2" xfId="11606"/>
    <cellStyle name="20% - Accent1 15 2 2 2" xfId="22894"/>
    <cellStyle name="20% - Accent1 15 2 3" xfId="9612"/>
    <cellStyle name="20% - Accent1 15 2 3 2" xfId="20900"/>
    <cellStyle name="20% - Accent1 15 2 4" xfId="7618"/>
    <cellStyle name="20% - Accent1 15 2 4 2" xfId="18906"/>
    <cellStyle name="20% - Accent1 15 2 5" xfId="5624"/>
    <cellStyle name="20% - Accent1 15 2 5 2" xfId="16912"/>
    <cellStyle name="20% - Accent1 15 2 6" xfId="14918"/>
    <cellStyle name="20% - Accent1 15 3" xfId="10609"/>
    <cellStyle name="20% - Accent1 15 3 2" xfId="21897"/>
    <cellStyle name="20% - Accent1 15 4" xfId="8613"/>
    <cellStyle name="20% - Accent1 15 4 2" xfId="19901"/>
    <cellStyle name="20% - Accent1 15 5" xfId="6621"/>
    <cellStyle name="20% - Accent1 15 5 2" xfId="17909"/>
    <cellStyle name="20% - Accent1 15 6" xfId="4627"/>
    <cellStyle name="20% - Accent1 15 6 2" xfId="15915"/>
    <cellStyle name="20% - Accent1 15 7" xfId="13921"/>
    <cellStyle name="20% - Accent1 15 8" xfId="12607"/>
    <cellStyle name="20% - Accent1 16" xfId="672"/>
    <cellStyle name="20% - Accent1 16 2" xfId="3628"/>
    <cellStyle name="20% - Accent1 16 2 2" xfId="11607"/>
    <cellStyle name="20% - Accent1 16 2 2 2" xfId="22895"/>
    <cellStyle name="20% - Accent1 16 2 3" xfId="9613"/>
    <cellStyle name="20% - Accent1 16 2 3 2" xfId="20901"/>
    <cellStyle name="20% - Accent1 16 2 4" xfId="7619"/>
    <cellStyle name="20% - Accent1 16 2 4 2" xfId="18907"/>
    <cellStyle name="20% - Accent1 16 2 5" xfId="5625"/>
    <cellStyle name="20% - Accent1 16 2 5 2" xfId="16913"/>
    <cellStyle name="20% - Accent1 16 2 6" xfId="14919"/>
    <cellStyle name="20% - Accent1 16 3" xfId="10610"/>
    <cellStyle name="20% - Accent1 16 3 2" xfId="21898"/>
    <cellStyle name="20% - Accent1 16 4" xfId="8614"/>
    <cellStyle name="20% - Accent1 16 4 2" xfId="19902"/>
    <cellStyle name="20% - Accent1 16 5" xfId="6622"/>
    <cellStyle name="20% - Accent1 16 5 2" xfId="17910"/>
    <cellStyle name="20% - Accent1 16 6" xfId="4628"/>
    <cellStyle name="20% - Accent1 16 6 2" xfId="15916"/>
    <cellStyle name="20% - Accent1 16 7" xfId="13922"/>
    <cellStyle name="20% - Accent1 16 8" xfId="12608"/>
    <cellStyle name="20% - Accent1 17" xfId="673"/>
    <cellStyle name="20% - Accent1 17 2" xfId="3629"/>
    <cellStyle name="20% - Accent1 17 2 2" xfId="11608"/>
    <cellStyle name="20% - Accent1 17 2 2 2" xfId="22896"/>
    <cellStyle name="20% - Accent1 17 2 3" xfId="9614"/>
    <cellStyle name="20% - Accent1 17 2 3 2" xfId="20902"/>
    <cellStyle name="20% - Accent1 17 2 4" xfId="7620"/>
    <cellStyle name="20% - Accent1 17 2 4 2" xfId="18908"/>
    <cellStyle name="20% - Accent1 17 2 5" xfId="5626"/>
    <cellStyle name="20% - Accent1 17 2 5 2" xfId="16914"/>
    <cellStyle name="20% - Accent1 17 2 6" xfId="14920"/>
    <cellStyle name="20% - Accent1 17 3" xfId="10611"/>
    <cellStyle name="20% - Accent1 17 3 2" xfId="21899"/>
    <cellStyle name="20% - Accent1 17 4" xfId="8617"/>
    <cellStyle name="20% - Accent1 17 4 2" xfId="19905"/>
    <cellStyle name="20% - Accent1 17 5" xfId="6623"/>
    <cellStyle name="20% - Accent1 17 5 2" xfId="17911"/>
    <cellStyle name="20% - Accent1 17 6" xfId="4629"/>
    <cellStyle name="20% - Accent1 17 6 2" xfId="15917"/>
    <cellStyle name="20% - Accent1 17 7" xfId="13923"/>
    <cellStyle name="20% - Accent1 17 8" xfId="12609"/>
    <cellStyle name="20% - Accent1 18" xfId="674"/>
    <cellStyle name="20% - Accent1 18 2" xfId="3630"/>
    <cellStyle name="20% - Accent1 18 2 2" xfId="11609"/>
    <cellStyle name="20% - Accent1 18 2 2 2" xfId="22897"/>
    <cellStyle name="20% - Accent1 18 2 3" xfId="9615"/>
    <cellStyle name="20% - Accent1 18 2 3 2" xfId="20903"/>
    <cellStyle name="20% - Accent1 18 2 4" xfId="7621"/>
    <cellStyle name="20% - Accent1 18 2 4 2" xfId="18909"/>
    <cellStyle name="20% - Accent1 18 2 5" xfId="5627"/>
    <cellStyle name="20% - Accent1 18 2 5 2" xfId="16915"/>
    <cellStyle name="20% - Accent1 18 2 6" xfId="14921"/>
    <cellStyle name="20% - Accent1 18 3" xfId="10612"/>
    <cellStyle name="20% - Accent1 18 3 2" xfId="21900"/>
    <cellStyle name="20% - Accent1 18 4" xfId="8618"/>
    <cellStyle name="20% - Accent1 18 4 2" xfId="19906"/>
    <cellStyle name="20% - Accent1 18 5" xfId="6624"/>
    <cellStyle name="20% - Accent1 18 5 2" xfId="17912"/>
    <cellStyle name="20% - Accent1 18 6" xfId="4630"/>
    <cellStyle name="20% - Accent1 18 6 2" xfId="15918"/>
    <cellStyle name="20% - Accent1 18 7" xfId="13924"/>
    <cellStyle name="20% - Accent1 18 8" xfId="12610"/>
    <cellStyle name="20% - Accent1 19" xfId="675"/>
    <cellStyle name="20% - Accent1 19 2" xfId="3631"/>
    <cellStyle name="20% - Accent1 19 2 2" xfId="11610"/>
    <cellStyle name="20% - Accent1 19 2 2 2" xfId="22898"/>
    <cellStyle name="20% - Accent1 19 2 3" xfId="9616"/>
    <cellStyle name="20% - Accent1 19 2 3 2" xfId="20904"/>
    <cellStyle name="20% - Accent1 19 2 4" xfId="7622"/>
    <cellStyle name="20% - Accent1 19 2 4 2" xfId="18910"/>
    <cellStyle name="20% - Accent1 19 2 5" xfId="5628"/>
    <cellStyle name="20% - Accent1 19 2 5 2" xfId="16916"/>
    <cellStyle name="20% - Accent1 19 2 6" xfId="14922"/>
    <cellStyle name="20% - Accent1 19 3" xfId="10613"/>
    <cellStyle name="20% - Accent1 19 3 2" xfId="21901"/>
    <cellStyle name="20% - Accent1 19 4" xfId="8615"/>
    <cellStyle name="20% - Accent1 19 4 2" xfId="19903"/>
    <cellStyle name="20% - Accent1 19 5" xfId="6625"/>
    <cellStyle name="20% - Accent1 19 5 2" xfId="17913"/>
    <cellStyle name="20% - Accent1 19 6" xfId="4631"/>
    <cellStyle name="20% - Accent1 19 6 2" xfId="15919"/>
    <cellStyle name="20% - Accent1 19 7" xfId="13925"/>
    <cellStyle name="20% - Accent1 19 8" xfId="12611"/>
    <cellStyle name="20% - Accent1 2" xfId="676"/>
    <cellStyle name="20% - Accent1 2 10" xfId="24559"/>
    <cellStyle name="20% - Accent1 2 11" xfId="24949"/>
    <cellStyle name="20% - Accent1 2 2" xfId="3632"/>
    <cellStyle name="20% - Accent1 2 2 2" xfId="11611"/>
    <cellStyle name="20% - Accent1 2 2 2 2" xfId="22899"/>
    <cellStyle name="20% - Accent1 2 2 3" xfId="9617"/>
    <cellStyle name="20% - Accent1 2 2 3 2" xfId="20905"/>
    <cellStyle name="20% - Accent1 2 2 4" xfId="7623"/>
    <cellStyle name="20% - Accent1 2 2 4 2" xfId="18911"/>
    <cellStyle name="20% - Accent1 2 2 5" xfId="5629"/>
    <cellStyle name="20% - Accent1 2 2 5 2" xfId="16917"/>
    <cellStyle name="20% - Accent1 2 2 6" xfId="14923"/>
    <cellStyle name="20% - Accent1 2 2 7" xfId="24320"/>
    <cellStyle name="20% - Accent1 2 2 8" xfId="24784"/>
    <cellStyle name="20% - Accent1 2 2 9" xfId="25151"/>
    <cellStyle name="20% - Accent1 2 3" xfId="10614"/>
    <cellStyle name="20% - Accent1 2 3 2" xfId="21902"/>
    <cellStyle name="20% - Accent1 2 4" xfId="8616"/>
    <cellStyle name="20% - Accent1 2 4 2" xfId="19904"/>
    <cellStyle name="20% - Accent1 2 5" xfId="6626"/>
    <cellStyle name="20% - Accent1 2 5 2" xfId="17914"/>
    <cellStyle name="20% - Accent1 2 6" xfId="4632"/>
    <cellStyle name="20% - Accent1 2 6 2" xfId="15920"/>
    <cellStyle name="20% - Accent1 2 7" xfId="13926"/>
    <cellStyle name="20% - Accent1 2 8" xfId="12612"/>
    <cellStyle name="20% - Accent1 2 9" xfId="23932"/>
    <cellStyle name="20% - Accent1 20" xfId="677"/>
    <cellStyle name="20% - Accent1 20 2" xfId="3633"/>
    <cellStyle name="20% - Accent1 20 2 2" xfId="11612"/>
    <cellStyle name="20% - Accent1 20 2 2 2" xfId="22900"/>
    <cellStyle name="20% - Accent1 20 2 3" xfId="9618"/>
    <cellStyle name="20% - Accent1 20 2 3 2" xfId="20906"/>
    <cellStyle name="20% - Accent1 20 2 4" xfId="7624"/>
    <cellStyle name="20% - Accent1 20 2 4 2" xfId="18912"/>
    <cellStyle name="20% - Accent1 20 2 5" xfId="5630"/>
    <cellStyle name="20% - Accent1 20 2 5 2" xfId="16918"/>
    <cellStyle name="20% - Accent1 20 2 6" xfId="14924"/>
    <cellStyle name="20% - Accent1 20 3" xfId="10615"/>
    <cellStyle name="20% - Accent1 20 3 2" xfId="21903"/>
    <cellStyle name="20% - Accent1 20 4" xfId="8621"/>
    <cellStyle name="20% - Accent1 20 4 2" xfId="19909"/>
    <cellStyle name="20% - Accent1 20 5" xfId="6627"/>
    <cellStyle name="20% - Accent1 20 5 2" xfId="17915"/>
    <cellStyle name="20% - Accent1 20 6" xfId="4633"/>
    <cellStyle name="20% - Accent1 20 6 2" xfId="15921"/>
    <cellStyle name="20% - Accent1 20 7" xfId="13927"/>
    <cellStyle name="20% - Accent1 20 8" xfId="12613"/>
    <cellStyle name="20% - Accent1 21" xfId="678"/>
    <cellStyle name="20% - Accent1 21 2" xfId="3634"/>
    <cellStyle name="20% - Accent1 21 2 2" xfId="11613"/>
    <cellStyle name="20% - Accent1 21 2 2 2" xfId="22901"/>
    <cellStyle name="20% - Accent1 21 2 3" xfId="9619"/>
    <cellStyle name="20% - Accent1 21 2 3 2" xfId="20907"/>
    <cellStyle name="20% - Accent1 21 2 4" xfId="7625"/>
    <cellStyle name="20% - Accent1 21 2 4 2" xfId="18913"/>
    <cellStyle name="20% - Accent1 21 2 5" xfId="5631"/>
    <cellStyle name="20% - Accent1 21 2 5 2" xfId="16919"/>
    <cellStyle name="20% - Accent1 21 2 6" xfId="14925"/>
    <cellStyle name="20% - Accent1 21 3" xfId="10616"/>
    <cellStyle name="20% - Accent1 21 3 2" xfId="21904"/>
    <cellStyle name="20% - Accent1 21 4" xfId="8622"/>
    <cellStyle name="20% - Accent1 21 4 2" xfId="19910"/>
    <cellStyle name="20% - Accent1 21 5" xfId="6628"/>
    <cellStyle name="20% - Accent1 21 5 2" xfId="17916"/>
    <cellStyle name="20% - Accent1 21 6" xfId="4634"/>
    <cellStyle name="20% - Accent1 21 6 2" xfId="15922"/>
    <cellStyle name="20% - Accent1 21 7" xfId="13928"/>
    <cellStyle name="20% - Accent1 21 8" xfId="12614"/>
    <cellStyle name="20% - Accent1 22" xfId="679"/>
    <cellStyle name="20% - Accent1 22 2" xfId="3635"/>
    <cellStyle name="20% - Accent1 22 2 2" xfId="11614"/>
    <cellStyle name="20% - Accent1 22 2 2 2" xfId="22902"/>
    <cellStyle name="20% - Accent1 22 2 3" xfId="9620"/>
    <cellStyle name="20% - Accent1 22 2 3 2" xfId="20908"/>
    <cellStyle name="20% - Accent1 22 2 4" xfId="7626"/>
    <cellStyle name="20% - Accent1 22 2 4 2" xfId="18914"/>
    <cellStyle name="20% - Accent1 22 2 5" xfId="5632"/>
    <cellStyle name="20% - Accent1 22 2 5 2" xfId="16920"/>
    <cellStyle name="20% - Accent1 22 2 6" xfId="14926"/>
    <cellStyle name="20% - Accent1 22 3" xfId="10617"/>
    <cellStyle name="20% - Accent1 22 3 2" xfId="21905"/>
    <cellStyle name="20% - Accent1 22 4" xfId="8623"/>
    <cellStyle name="20% - Accent1 22 4 2" xfId="19911"/>
    <cellStyle name="20% - Accent1 22 5" xfId="6629"/>
    <cellStyle name="20% - Accent1 22 5 2" xfId="17917"/>
    <cellStyle name="20% - Accent1 22 6" xfId="4635"/>
    <cellStyle name="20% - Accent1 22 6 2" xfId="15923"/>
    <cellStyle name="20% - Accent1 22 7" xfId="13929"/>
    <cellStyle name="20% - Accent1 22 8" xfId="12615"/>
    <cellStyle name="20% - Accent1 23" xfId="680"/>
    <cellStyle name="20% - Accent1 23 2" xfId="3636"/>
    <cellStyle name="20% - Accent1 23 2 2" xfId="11615"/>
    <cellStyle name="20% - Accent1 23 2 2 2" xfId="22903"/>
    <cellStyle name="20% - Accent1 23 2 3" xfId="9621"/>
    <cellStyle name="20% - Accent1 23 2 3 2" xfId="20909"/>
    <cellStyle name="20% - Accent1 23 2 4" xfId="7627"/>
    <cellStyle name="20% - Accent1 23 2 4 2" xfId="18915"/>
    <cellStyle name="20% - Accent1 23 2 5" xfId="5633"/>
    <cellStyle name="20% - Accent1 23 2 5 2" xfId="16921"/>
    <cellStyle name="20% - Accent1 23 2 6" xfId="14927"/>
    <cellStyle name="20% - Accent1 23 3" xfId="10618"/>
    <cellStyle name="20% - Accent1 23 3 2" xfId="21906"/>
    <cellStyle name="20% - Accent1 23 4" xfId="8624"/>
    <cellStyle name="20% - Accent1 23 4 2" xfId="19912"/>
    <cellStyle name="20% - Accent1 23 5" xfId="6630"/>
    <cellStyle name="20% - Accent1 23 5 2" xfId="17918"/>
    <cellStyle name="20% - Accent1 23 6" xfId="4636"/>
    <cellStyle name="20% - Accent1 23 6 2" xfId="15924"/>
    <cellStyle name="20% - Accent1 23 7" xfId="13930"/>
    <cellStyle name="20% - Accent1 23 8" xfId="12616"/>
    <cellStyle name="20% - Accent1 24" xfId="681"/>
    <cellStyle name="20% - Accent1 24 2" xfId="3637"/>
    <cellStyle name="20% - Accent1 24 2 2" xfId="11616"/>
    <cellStyle name="20% - Accent1 24 2 2 2" xfId="22904"/>
    <cellStyle name="20% - Accent1 24 2 3" xfId="9622"/>
    <cellStyle name="20% - Accent1 24 2 3 2" xfId="20910"/>
    <cellStyle name="20% - Accent1 24 2 4" xfId="7628"/>
    <cellStyle name="20% - Accent1 24 2 4 2" xfId="18916"/>
    <cellStyle name="20% - Accent1 24 2 5" xfId="5634"/>
    <cellStyle name="20% - Accent1 24 2 5 2" xfId="16922"/>
    <cellStyle name="20% - Accent1 24 2 6" xfId="14928"/>
    <cellStyle name="20% - Accent1 24 3" xfId="10619"/>
    <cellStyle name="20% - Accent1 24 3 2" xfId="21907"/>
    <cellStyle name="20% - Accent1 24 4" xfId="8625"/>
    <cellStyle name="20% - Accent1 24 4 2" xfId="19913"/>
    <cellStyle name="20% - Accent1 24 5" xfId="6631"/>
    <cellStyle name="20% - Accent1 24 5 2" xfId="17919"/>
    <cellStyle name="20% - Accent1 24 6" xfId="4637"/>
    <cellStyle name="20% - Accent1 24 6 2" xfId="15925"/>
    <cellStyle name="20% - Accent1 24 7" xfId="13931"/>
    <cellStyle name="20% - Accent1 24 8" xfId="12617"/>
    <cellStyle name="20% - Accent1 25" xfId="682"/>
    <cellStyle name="20% - Accent1 25 2" xfId="3638"/>
    <cellStyle name="20% - Accent1 25 2 2" xfId="11617"/>
    <cellStyle name="20% - Accent1 25 2 2 2" xfId="22905"/>
    <cellStyle name="20% - Accent1 25 2 3" xfId="9623"/>
    <cellStyle name="20% - Accent1 25 2 3 2" xfId="20911"/>
    <cellStyle name="20% - Accent1 25 2 4" xfId="7629"/>
    <cellStyle name="20% - Accent1 25 2 4 2" xfId="18917"/>
    <cellStyle name="20% - Accent1 25 2 5" xfId="5635"/>
    <cellStyle name="20% - Accent1 25 2 5 2" xfId="16923"/>
    <cellStyle name="20% - Accent1 25 2 6" xfId="14929"/>
    <cellStyle name="20% - Accent1 25 3" xfId="10620"/>
    <cellStyle name="20% - Accent1 25 3 2" xfId="21908"/>
    <cellStyle name="20% - Accent1 25 4" xfId="8626"/>
    <cellStyle name="20% - Accent1 25 4 2" xfId="19914"/>
    <cellStyle name="20% - Accent1 25 5" xfId="6632"/>
    <cellStyle name="20% - Accent1 25 5 2" xfId="17920"/>
    <cellStyle name="20% - Accent1 25 6" xfId="4638"/>
    <cellStyle name="20% - Accent1 25 6 2" xfId="15926"/>
    <cellStyle name="20% - Accent1 25 7" xfId="13932"/>
    <cellStyle name="20% - Accent1 25 8" xfId="12618"/>
    <cellStyle name="20% - Accent1 26" xfId="683"/>
    <cellStyle name="20% - Accent1 26 2" xfId="3639"/>
    <cellStyle name="20% - Accent1 26 2 2" xfId="11618"/>
    <cellStyle name="20% - Accent1 26 2 2 2" xfId="22906"/>
    <cellStyle name="20% - Accent1 26 2 3" xfId="9624"/>
    <cellStyle name="20% - Accent1 26 2 3 2" xfId="20912"/>
    <cellStyle name="20% - Accent1 26 2 4" xfId="7630"/>
    <cellStyle name="20% - Accent1 26 2 4 2" xfId="18918"/>
    <cellStyle name="20% - Accent1 26 2 5" xfId="5636"/>
    <cellStyle name="20% - Accent1 26 2 5 2" xfId="16924"/>
    <cellStyle name="20% - Accent1 26 2 6" xfId="14930"/>
    <cellStyle name="20% - Accent1 26 3" xfId="10621"/>
    <cellStyle name="20% - Accent1 26 3 2" xfId="21909"/>
    <cellStyle name="20% - Accent1 26 4" xfId="8627"/>
    <cellStyle name="20% - Accent1 26 4 2" xfId="19915"/>
    <cellStyle name="20% - Accent1 26 5" xfId="6633"/>
    <cellStyle name="20% - Accent1 26 5 2" xfId="17921"/>
    <cellStyle name="20% - Accent1 26 6" xfId="4639"/>
    <cellStyle name="20% - Accent1 26 6 2" xfId="15927"/>
    <cellStyle name="20% - Accent1 26 7" xfId="13933"/>
    <cellStyle name="20% - Accent1 26 8" xfId="12619"/>
    <cellStyle name="20% - Accent1 27" xfId="684"/>
    <cellStyle name="20% - Accent1 27 2" xfId="3640"/>
    <cellStyle name="20% - Accent1 27 2 2" xfId="11619"/>
    <cellStyle name="20% - Accent1 27 2 2 2" xfId="22907"/>
    <cellStyle name="20% - Accent1 27 2 3" xfId="9625"/>
    <cellStyle name="20% - Accent1 27 2 3 2" xfId="20913"/>
    <cellStyle name="20% - Accent1 27 2 4" xfId="7631"/>
    <cellStyle name="20% - Accent1 27 2 4 2" xfId="18919"/>
    <cellStyle name="20% - Accent1 27 2 5" xfId="5637"/>
    <cellStyle name="20% - Accent1 27 2 5 2" xfId="16925"/>
    <cellStyle name="20% - Accent1 27 2 6" xfId="14931"/>
    <cellStyle name="20% - Accent1 27 3" xfId="10622"/>
    <cellStyle name="20% - Accent1 27 3 2" xfId="21910"/>
    <cellStyle name="20% - Accent1 27 4" xfId="8628"/>
    <cellStyle name="20% - Accent1 27 4 2" xfId="19916"/>
    <cellStyle name="20% - Accent1 27 5" xfId="6634"/>
    <cellStyle name="20% - Accent1 27 5 2" xfId="17922"/>
    <cellStyle name="20% - Accent1 27 6" xfId="4640"/>
    <cellStyle name="20% - Accent1 27 6 2" xfId="15928"/>
    <cellStyle name="20% - Accent1 27 7" xfId="13934"/>
    <cellStyle name="20% - Accent1 27 8" xfId="12620"/>
    <cellStyle name="20% - Accent1 28" xfId="685"/>
    <cellStyle name="20% - Accent1 28 2" xfId="3641"/>
    <cellStyle name="20% - Accent1 28 2 2" xfId="11620"/>
    <cellStyle name="20% - Accent1 28 2 2 2" xfId="22908"/>
    <cellStyle name="20% - Accent1 28 2 3" xfId="9626"/>
    <cellStyle name="20% - Accent1 28 2 3 2" xfId="20914"/>
    <cellStyle name="20% - Accent1 28 2 4" xfId="7632"/>
    <cellStyle name="20% - Accent1 28 2 4 2" xfId="18920"/>
    <cellStyle name="20% - Accent1 28 2 5" xfId="5638"/>
    <cellStyle name="20% - Accent1 28 2 5 2" xfId="16926"/>
    <cellStyle name="20% - Accent1 28 2 6" xfId="14932"/>
    <cellStyle name="20% - Accent1 28 3" xfId="10623"/>
    <cellStyle name="20% - Accent1 28 3 2" xfId="21911"/>
    <cellStyle name="20% - Accent1 28 4" xfId="8629"/>
    <cellStyle name="20% - Accent1 28 4 2" xfId="19917"/>
    <cellStyle name="20% - Accent1 28 5" xfId="6635"/>
    <cellStyle name="20% - Accent1 28 5 2" xfId="17923"/>
    <cellStyle name="20% - Accent1 28 6" xfId="4641"/>
    <cellStyle name="20% - Accent1 28 6 2" xfId="15929"/>
    <cellStyle name="20% - Accent1 28 7" xfId="13935"/>
    <cellStyle name="20% - Accent1 28 8" xfId="12621"/>
    <cellStyle name="20% - Accent1 29" xfId="686"/>
    <cellStyle name="20% - Accent1 29 2" xfId="3642"/>
    <cellStyle name="20% - Accent1 29 2 2" xfId="11621"/>
    <cellStyle name="20% - Accent1 29 2 2 2" xfId="22909"/>
    <cellStyle name="20% - Accent1 29 2 3" xfId="9627"/>
    <cellStyle name="20% - Accent1 29 2 3 2" xfId="20915"/>
    <cellStyle name="20% - Accent1 29 2 4" xfId="7633"/>
    <cellStyle name="20% - Accent1 29 2 4 2" xfId="18921"/>
    <cellStyle name="20% - Accent1 29 2 5" xfId="5639"/>
    <cellStyle name="20% - Accent1 29 2 5 2" xfId="16927"/>
    <cellStyle name="20% - Accent1 29 2 6" xfId="14933"/>
    <cellStyle name="20% - Accent1 29 3" xfId="10624"/>
    <cellStyle name="20% - Accent1 29 3 2" xfId="21912"/>
    <cellStyle name="20% - Accent1 29 4" xfId="8630"/>
    <cellStyle name="20% - Accent1 29 4 2" xfId="19918"/>
    <cellStyle name="20% - Accent1 29 5" xfId="6636"/>
    <cellStyle name="20% - Accent1 29 5 2" xfId="17924"/>
    <cellStyle name="20% - Accent1 29 6" xfId="4642"/>
    <cellStyle name="20% - Accent1 29 6 2" xfId="15930"/>
    <cellStyle name="20% - Accent1 29 7" xfId="13936"/>
    <cellStyle name="20% - Accent1 29 8" xfId="12622"/>
    <cellStyle name="20% - Accent1 3" xfId="687"/>
    <cellStyle name="20% - Accent1 3 10" xfId="24560"/>
    <cellStyle name="20% - Accent1 3 11" xfId="24950"/>
    <cellStyle name="20% - Accent1 3 2" xfId="3643"/>
    <cellStyle name="20% - Accent1 3 2 2" xfId="11622"/>
    <cellStyle name="20% - Accent1 3 2 2 2" xfId="22910"/>
    <cellStyle name="20% - Accent1 3 2 3" xfId="9628"/>
    <cellStyle name="20% - Accent1 3 2 3 2" xfId="20916"/>
    <cellStyle name="20% - Accent1 3 2 4" xfId="7634"/>
    <cellStyle name="20% - Accent1 3 2 4 2" xfId="18922"/>
    <cellStyle name="20% - Accent1 3 2 5" xfId="5640"/>
    <cellStyle name="20% - Accent1 3 2 5 2" xfId="16928"/>
    <cellStyle name="20% - Accent1 3 2 6" xfId="14934"/>
    <cellStyle name="20% - Accent1 3 2 7" xfId="24321"/>
    <cellStyle name="20% - Accent1 3 2 8" xfId="24785"/>
    <cellStyle name="20% - Accent1 3 2 9" xfId="25152"/>
    <cellStyle name="20% - Accent1 3 3" xfId="10625"/>
    <cellStyle name="20% - Accent1 3 3 2" xfId="21913"/>
    <cellStyle name="20% - Accent1 3 4" xfId="8631"/>
    <cellStyle name="20% - Accent1 3 4 2" xfId="19919"/>
    <cellStyle name="20% - Accent1 3 5" xfId="6637"/>
    <cellStyle name="20% - Accent1 3 5 2" xfId="17925"/>
    <cellStyle name="20% - Accent1 3 6" xfId="4643"/>
    <cellStyle name="20% - Accent1 3 6 2" xfId="15931"/>
    <cellStyle name="20% - Accent1 3 7" xfId="13937"/>
    <cellStyle name="20% - Accent1 3 8" xfId="12623"/>
    <cellStyle name="20% - Accent1 3 9" xfId="23933"/>
    <cellStyle name="20% - Accent1 30" xfId="688"/>
    <cellStyle name="20% - Accent1 30 2" xfId="3644"/>
    <cellStyle name="20% - Accent1 30 2 2" xfId="11623"/>
    <cellStyle name="20% - Accent1 30 2 2 2" xfId="22911"/>
    <cellStyle name="20% - Accent1 30 2 3" xfId="9629"/>
    <cellStyle name="20% - Accent1 30 2 3 2" xfId="20917"/>
    <cellStyle name="20% - Accent1 30 2 4" xfId="7635"/>
    <cellStyle name="20% - Accent1 30 2 4 2" xfId="18923"/>
    <cellStyle name="20% - Accent1 30 2 5" xfId="5641"/>
    <cellStyle name="20% - Accent1 30 2 5 2" xfId="16929"/>
    <cellStyle name="20% - Accent1 30 2 6" xfId="14935"/>
    <cellStyle name="20% - Accent1 30 3" xfId="10626"/>
    <cellStyle name="20% - Accent1 30 3 2" xfId="21914"/>
    <cellStyle name="20% - Accent1 30 4" xfId="8632"/>
    <cellStyle name="20% - Accent1 30 4 2" xfId="19920"/>
    <cellStyle name="20% - Accent1 30 5" xfId="6638"/>
    <cellStyle name="20% - Accent1 30 5 2" xfId="17926"/>
    <cellStyle name="20% - Accent1 30 6" xfId="4644"/>
    <cellStyle name="20% - Accent1 30 6 2" xfId="15932"/>
    <cellStyle name="20% - Accent1 30 7" xfId="13938"/>
    <cellStyle name="20% - Accent1 30 8" xfId="12624"/>
    <cellStyle name="20% - Accent1 31" xfId="689"/>
    <cellStyle name="20% - Accent1 31 2" xfId="3645"/>
    <cellStyle name="20% - Accent1 31 2 2" xfId="11624"/>
    <cellStyle name="20% - Accent1 31 2 2 2" xfId="22912"/>
    <cellStyle name="20% - Accent1 31 2 3" xfId="9630"/>
    <cellStyle name="20% - Accent1 31 2 3 2" xfId="20918"/>
    <cellStyle name="20% - Accent1 31 2 4" xfId="7636"/>
    <cellStyle name="20% - Accent1 31 2 4 2" xfId="18924"/>
    <cellStyle name="20% - Accent1 31 2 5" xfId="5642"/>
    <cellStyle name="20% - Accent1 31 2 5 2" xfId="16930"/>
    <cellStyle name="20% - Accent1 31 2 6" xfId="14936"/>
    <cellStyle name="20% - Accent1 31 3" xfId="10627"/>
    <cellStyle name="20% - Accent1 31 3 2" xfId="21915"/>
    <cellStyle name="20% - Accent1 31 4" xfId="8633"/>
    <cellStyle name="20% - Accent1 31 4 2" xfId="19921"/>
    <cellStyle name="20% - Accent1 31 5" xfId="6639"/>
    <cellStyle name="20% - Accent1 31 5 2" xfId="17927"/>
    <cellStyle name="20% - Accent1 31 6" xfId="4645"/>
    <cellStyle name="20% - Accent1 31 6 2" xfId="15933"/>
    <cellStyle name="20% - Accent1 31 7" xfId="13939"/>
    <cellStyle name="20% - Accent1 31 8" xfId="12625"/>
    <cellStyle name="20% - Accent1 32" xfId="690"/>
    <cellStyle name="20% - Accent1 32 2" xfId="3646"/>
    <cellStyle name="20% - Accent1 32 2 2" xfId="11625"/>
    <cellStyle name="20% - Accent1 32 2 2 2" xfId="22913"/>
    <cellStyle name="20% - Accent1 32 2 3" xfId="9631"/>
    <cellStyle name="20% - Accent1 32 2 3 2" xfId="20919"/>
    <cellStyle name="20% - Accent1 32 2 4" xfId="7637"/>
    <cellStyle name="20% - Accent1 32 2 4 2" xfId="18925"/>
    <cellStyle name="20% - Accent1 32 2 5" xfId="5643"/>
    <cellStyle name="20% - Accent1 32 2 5 2" xfId="16931"/>
    <cellStyle name="20% - Accent1 32 2 6" xfId="14937"/>
    <cellStyle name="20% - Accent1 32 3" xfId="10628"/>
    <cellStyle name="20% - Accent1 32 3 2" xfId="21916"/>
    <cellStyle name="20% - Accent1 32 4" xfId="8634"/>
    <cellStyle name="20% - Accent1 32 4 2" xfId="19922"/>
    <cellStyle name="20% - Accent1 32 5" xfId="6640"/>
    <cellStyle name="20% - Accent1 32 5 2" xfId="17928"/>
    <cellStyle name="20% - Accent1 32 6" xfId="4646"/>
    <cellStyle name="20% - Accent1 32 6 2" xfId="15934"/>
    <cellStyle name="20% - Accent1 32 7" xfId="13940"/>
    <cellStyle name="20% - Accent1 32 8" xfId="12626"/>
    <cellStyle name="20% - Accent1 33" xfId="691"/>
    <cellStyle name="20% - Accent1 33 2" xfId="3647"/>
    <cellStyle name="20% - Accent1 33 2 2" xfId="11626"/>
    <cellStyle name="20% - Accent1 33 2 2 2" xfId="22914"/>
    <cellStyle name="20% - Accent1 33 2 3" xfId="9632"/>
    <cellStyle name="20% - Accent1 33 2 3 2" xfId="20920"/>
    <cellStyle name="20% - Accent1 33 2 4" xfId="7638"/>
    <cellStyle name="20% - Accent1 33 2 4 2" xfId="18926"/>
    <cellStyle name="20% - Accent1 33 2 5" xfId="5644"/>
    <cellStyle name="20% - Accent1 33 2 5 2" xfId="16932"/>
    <cellStyle name="20% - Accent1 33 2 6" xfId="14938"/>
    <cellStyle name="20% - Accent1 33 3" xfId="10629"/>
    <cellStyle name="20% - Accent1 33 3 2" xfId="21917"/>
    <cellStyle name="20% - Accent1 33 4" xfId="8635"/>
    <cellStyle name="20% - Accent1 33 4 2" xfId="19923"/>
    <cellStyle name="20% - Accent1 33 5" xfId="6641"/>
    <cellStyle name="20% - Accent1 33 5 2" xfId="17929"/>
    <cellStyle name="20% - Accent1 33 6" xfId="4647"/>
    <cellStyle name="20% - Accent1 33 6 2" xfId="15935"/>
    <cellStyle name="20% - Accent1 33 7" xfId="13941"/>
    <cellStyle name="20% - Accent1 33 8" xfId="12627"/>
    <cellStyle name="20% - Accent1 34" xfId="692"/>
    <cellStyle name="20% - Accent1 34 2" xfId="3648"/>
    <cellStyle name="20% - Accent1 34 2 2" xfId="11627"/>
    <cellStyle name="20% - Accent1 34 2 2 2" xfId="22915"/>
    <cellStyle name="20% - Accent1 34 2 3" xfId="9633"/>
    <cellStyle name="20% - Accent1 34 2 3 2" xfId="20921"/>
    <cellStyle name="20% - Accent1 34 2 4" xfId="7639"/>
    <cellStyle name="20% - Accent1 34 2 4 2" xfId="18927"/>
    <cellStyle name="20% - Accent1 34 2 5" xfId="5645"/>
    <cellStyle name="20% - Accent1 34 2 5 2" xfId="16933"/>
    <cellStyle name="20% - Accent1 34 2 6" xfId="14939"/>
    <cellStyle name="20% - Accent1 34 3" xfId="10630"/>
    <cellStyle name="20% - Accent1 34 3 2" xfId="21918"/>
    <cellStyle name="20% - Accent1 34 4" xfId="8636"/>
    <cellStyle name="20% - Accent1 34 4 2" xfId="19924"/>
    <cellStyle name="20% - Accent1 34 5" xfId="6642"/>
    <cellStyle name="20% - Accent1 34 5 2" xfId="17930"/>
    <cellStyle name="20% - Accent1 34 6" xfId="4648"/>
    <cellStyle name="20% - Accent1 34 6 2" xfId="15936"/>
    <cellStyle name="20% - Accent1 34 7" xfId="13942"/>
    <cellStyle name="20% - Accent1 34 8" xfId="12628"/>
    <cellStyle name="20% - Accent1 35" xfId="693"/>
    <cellStyle name="20% - Accent1 35 2" xfId="3649"/>
    <cellStyle name="20% - Accent1 35 2 2" xfId="11628"/>
    <cellStyle name="20% - Accent1 35 2 2 2" xfId="22916"/>
    <cellStyle name="20% - Accent1 35 2 3" xfId="9634"/>
    <cellStyle name="20% - Accent1 35 2 3 2" xfId="20922"/>
    <cellStyle name="20% - Accent1 35 2 4" xfId="7640"/>
    <cellStyle name="20% - Accent1 35 2 4 2" xfId="18928"/>
    <cellStyle name="20% - Accent1 35 2 5" xfId="5646"/>
    <cellStyle name="20% - Accent1 35 2 5 2" xfId="16934"/>
    <cellStyle name="20% - Accent1 35 2 6" xfId="14940"/>
    <cellStyle name="20% - Accent1 35 3" xfId="10631"/>
    <cellStyle name="20% - Accent1 35 3 2" xfId="21919"/>
    <cellStyle name="20% - Accent1 35 4" xfId="8637"/>
    <cellStyle name="20% - Accent1 35 4 2" xfId="19925"/>
    <cellStyle name="20% - Accent1 35 5" xfId="6643"/>
    <cellStyle name="20% - Accent1 35 5 2" xfId="17931"/>
    <cellStyle name="20% - Accent1 35 6" xfId="4649"/>
    <cellStyle name="20% - Accent1 35 6 2" xfId="15937"/>
    <cellStyle name="20% - Accent1 35 7" xfId="13943"/>
    <cellStyle name="20% - Accent1 35 8" xfId="12629"/>
    <cellStyle name="20% - Accent1 36" xfId="694"/>
    <cellStyle name="20% - Accent1 36 2" xfId="3650"/>
    <cellStyle name="20% - Accent1 36 2 2" xfId="11629"/>
    <cellStyle name="20% - Accent1 36 2 2 2" xfId="22917"/>
    <cellStyle name="20% - Accent1 36 2 3" xfId="9635"/>
    <cellStyle name="20% - Accent1 36 2 3 2" xfId="20923"/>
    <cellStyle name="20% - Accent1 36 2 4" xfId="7641"/>
    <cellStyle name="20% - Accent1 36 2 4 2" xfId="18929"/>
    <cellStyle name="20% - Accent1 36 2 5" xfId="5647"/>
    <cellStyle name="20% - Accent1 36 2 5 2" xfId="16935"/>
    <cellStyle name="20% - Accent1 36 2 6" xfId="14941"/>
    <cellStyle name="20% - Accent1 36 3" xfId="10632"/>
    <cellStyle name="20% - Accent1 36 3 2" xfId="21920"/>
    <cellStyle name="20% - Accent1 36 4" xfId="8638"/>
    <cellStyle name="20% - Accent1 36 4 2" xfId="19926"/>
    <cellStyle name="20% - Accent1 36 5" xfId="6644"/>
    <cellStyle name="20% - Accent1 36 5 2" xfId="17932"/>
    <cellStyle name="20% - Accent1 36 6" xfId="4650"/>
    <cellStyle name="20% - Accent1 36 6 2" xfId="15938"/>
    <cellStyle name="20% - Accent1 36 7" xfId="13944"/>
    <cellStyle name="20% - Accent1 36 8" xfId="12630"/>
    <cellStyle name="20% - Accent1 37" xfId="695"/>
    <cellStyle name="20% - Accent1 37 2" xfId="3651"/>
    <cellStyle name="20% - Accent1 37 2 2" xfId="11630"/>
    <cellStyle name="20% - Accent1 37 2 2 2" xfId="22918"/>
    <cellStyle name="20% - Accent1 37 2 3" xfId="9636"/>
    <cellStyle name="20% - Accent1 37 2 3 2" xfId="20924"/>
    <cellStyle name="20% - Accent1 37 2 4" xfId="7642"/>
    <cellStyle name="20% - Accent1 37 2 4 2" xfId="18930"/>
    <cellStyle name="20% - Accent1 37 2 5" xfId="5648"/>
    <cellStyle name="20% - Accent1 37 2 5 2" xfId="16936"/>
    <cellStyle name="20% - Accent1 37 2 6" xfId="14942"/>
    <cellStyle name="20% - Accent1 37 3" xfId="10633"/>
    <cellStyle name="20% - Accent1 37 3 2" xfId="21921"/>
    <cellStyle name="20% - Accent1 37 4" xfId="8639"/>
    <cellStyle name="20% - Accent1 37 4 2" xfId="19927"/>
    <cellStyle name="20% - Accent1 37 5" xfId="6645"/>
    <cellStyle name="20% - Accent1 37 5 2" xfId="17933"/>
    <cellStyle name="20% - Accent1 37 6" xfId="4651"/>
    <cellStyle name="20% - Accent1 37 6 2" xfId="15939"/>
    <cellStyle name="20% - Accent1 37 7" xfId="13945"/>
    <cellStyle name="20% - Accent1 37 8" xfId="12631"/>
    <cellStyle name="20% - Accent1 38" xfId="696"/>
    <cellStyle name="20% - Accent1 38 2" xfId="3652"/>
    <cellStyle name="20% - Accent1 38 2 2" xfId="11631"/>
    <cellStyle name="20% - Accent1 38 2 2 2" xfId="22919"/>
    <cellStyle name="20% - Accent1 38 2 3" xfId="9637"/>
    <cellStyle name="20% - Accent1 38 2 3 2" xfId="20925"/>
    <cellStyle name="20% - Accent1 38 2 4" xfId="7643"/>
    <cellStyle name="20% - Accent1 38 2 4 2" xfId="18931"/>
    <cellStyle name="20% - Accent1 38 2 5" xfId="5649"/>
    <cellStyle name="20% - Accent1 38 2 5 2" xfId="16937"/>
    <cellStyle name="20% - Accent1 38 2 6" xfId="14943"/>
    <cellStyle name="20% - Accent1 38 3" xfId="10634"/>
    <cellStyle name="20% - Accent1 38 3 2" xfId="21922"/>
    <cellStyle name="20% - Accent1 38 4" xfId="8640"/>
    <cellStyle name="20% - Accent1 38 4 2" xfId="19928"/>
    <cellStyle name="20% - Accent1 38 5" xfId="6646"/>
    <cellStyle name="20% - Accent1 38 5 2" xfId="17934"/>
    <cellStyle name="20% - Accent1 38 6" xfId="4652"/>
    <cellStyle name="20% - Accent1 38 6 2" xfId="15940"/>
    <cellStyle name="20% - Accent1 38 7" xfId="13946"/>
    <cellStyle name="20% - Accent1 38 8" xfId="12632"/>
    <cellStyle name="20% - Accent1 39" xfId="697"/>
    <cellStyle name="20% - Accent1 39 2" xfId="3653"/>
    <cellStyle name="20% - Accent1 39 2 2" xfId="11632"/>
    <cellStyle name="20% - Accent1 39 2 2 2" xfId="22920"/>
    <cellStyle name="20% - Accent1 39 2 3" xfId="9638"/>
    <cellStyle name="20% - Accent1 39 2 3 2" xfId="20926"/>
    <cellStyle name="20% - Accent1 39 2 4" xfId="7644"/>
    <cellStyle name="20% - Accent1 39 2 4 2" xfId="18932"/>
    <cellStyle name="20% - Accent1 39 2 5" xfId="5650"/>
    <cellStyle name="20% - Accent1 39 2 5 2" xfId="16938"/>
    <cellStyle name="20% - Accent1 39 2 6" xfId="14944"/>
    <cellStyle name="20% - Accent1 39 3" xfId="10635"/>
    <cellStyle name="20% - Accent1 39 3 2" xfId="21923"/>
    <cellStyle name="20% - Accent1 39 4" xfId="8641"/>
    <cellStyle name="20% - Accent1 39 4 2" xfId="19929"/>
    <cellStyle name="20% - Accent1 39 5" xfId="6647"/>
    <cellStyle name="20% - Accent1 39 5 2" xfId="17935"/>
    <cellStyle name="20% - Accent1 39 6" xfId="4653"/>
    <cellStyle name="20% - Accent1 39 6 2" xfId="15941"/>
    <cellStyle name="20% - Accent1 39 7" xfId="13947"/>
    <cellStyle name="20% - Accent1 39 8" xfId="12633"/>
    <cellStyle name="20% - Accent1 4" xfId="698"/>
    <cellStyle name="20% - Accent1 4 10" xfId="24561"/>
    <cellStyle name="20% - Accent1 4 11" xfId="24951"/>
    <cellStyle name="20% - Accent1 4 2" xfId="3654"/>
    <cellStyle name="20% - Accent1 4 2 2" xfId="11633"/>
    <cellStyle name="20% - Accent1 4 2 2 2" xfId="22921"/>
    <cellStyle name="20% - Accent1 4 2 3" xfId="9639"/>
    <cellStyle name="20% - Accent1 4 2 3 2" xfId="20927"/>
    <cellStyle name="20% - Accent1 4 2 4" xfId="7645"/>
    <cellStyle name="20% - Accent1 4 2 4 2" xfId="18933"/>
    <cellStyle name="20% - Accent1 4 2 5" xfId="5651"/>
    <cellStyle name="20% - Accent1 4 2 5 2" xfId="16939"/>
    <cellStyle name="20% - Accent1 4 2 6" xfId="14945"/>
    <cellStyle name="20% - Accent1 4 2 7" xfId="24322"/>
    <cellStyle name="20% - Accent1 4 2 8" xfId="24786"/>
    <cellStyle name="20% - Accent1 4 2 9" xfId="25153"/>
    <cellStyle name="20% - Accent1 4 3" xfId="10636"/>
    <cellStyle name="20% - Accent1 4 3 2" xfId="21924"/>
    <cellStyle name="20% - Accent1 4 4" xfId="8642"/>
    <cellStyle name="20% - Accent1 4 4 2" xfId="19930"/>
    <cellStyle name="20% - Accent1 4 5" xfId="6648"/>
    <cellStyle name="20% - Accent1 4 5 2" xfId="17936"/>
    <cellStyle name="20% - Accent1 4 6" xfId="4654"/>
    <cellStyle name="20% - Accent1 4 6 2" xfId="15942"/>
    <cellStyle name="20% - Accent1 4 7" xfId="13948"/>
    <cellStyle name="20% - Accent1 4 8" xfId="12634"/>
    <cellStyle name="20% - Accent1 4 9" xfId="23934"/>
    <cellStyle name="20% - Accent1 40" xfId="699"/>
    <cellStyle name="20% - Accent1 40 2" xfId="3655"/>
    <cellStyle name="20% - Accent1 40 2 2" xfId="11634"/>
    <cellStyle name="20% - Accent1 40 2 2 2" xfId="22922"/>
    <cellStyle name="20% - Accent1 40 2 3" xfId="9640"/>
    <cellStyle name="20% - Accent1 40 2 3 2" xfId="20928"/>
    <cellStyle name="20% - Accent1 40 2 4" xfId="7646"/>
    <cellStyle name="20% - Accent1 40 2 4 2" xfId="18934"/>
    <cellStyle name="20% - Accent1 40 2 5" xfId="5652"/>
    <cellStyle name="20% - Accent1 40 2 5 2" xfId="16940"/>
    <cellStyle name="20% - Accent1 40 2 6" xfId="14946"/>
    <cellStyle name="20% - Accent1 40 3" xfId="10637"/>
    <cellStyle name="20% - Accent1 40 3 2" xfId="21925"/>
    <cellStyle name="20% - Accent1 40 4" xfId="8643"/>
    <cellStyle name="20% - Accent1 40 4 2" xfId="19931"/>
    <cellStyle name="20% - Accent1 40 5" xfId="6649"/>
    <cellStyle name="20% - Accent1 40 5 2" xfId="17937"/>
    <cellStyle name="20% - Accent1 40 6" xfId="4655"/>
    <cellStyle name="20% - Accent1 40 6 2" xfId="15943"/>
    <cellStyle name="20% - Accent1 40 7" xfId="13949"/>
    <cellStyle name="20% - Accent1 40 8" xfId="12635"/>
    <cellStyle name="20% - Accent1 41" xfId="700"/>
    <cellStyle name="20% - Accent1 41 2" xfId="3656"/>
    <cellStyle name="20% - Accent1 41 2 2" xfId="11635"/>
    <cellStyle name="20% - Accent1 41 2 2 2" xfId="22923"/>
    <cellStyle name="20% - Accent1 41 2 3" xfId="9641"/>
    <cellStyle name="20% - Accent1 41 2 3 2" xfId="20929"/>
    <cellStyle name="20% - Accent1 41 2 4" xfId="7647"/>
    <cellStyle name="20% - Accent1 41 2 4 2" xfId="18935"/>
    <cellStyle name="20% - Accent1 41 2 5" xfId="5653"/>
    <cellStyle name="20% - Accent1 41 2 5 2" xfId="16941"/>
    <cellStyle name="20% - Accent1 41 2 6" xfId="14947"/>
    <cellStyle name="20% - Accent1 41 3" xfId="10638"/>
    <cellStyle name="20% - Accent1 41 3 2" xfId="21926"/>
    <cellStyle name="20% - Accent1 41 4" xfId="8644"/>
    <cellStyle name="20% - Accent1 41 4 2" xfId="19932"/>
    <cellStyle name="20% - Accent1 41 5" xfId="6650"/>
    <cellStyle name="20% - Accent1 41 5 2" xfId="17938"/>
    <cellStyle name="20% - Accent1 41 6" xfId="4656"/>
    <cellStyle name="20% - Accent1 41 6 2" xfId="15944"/>
    <cellStyle name="20% - Accent1 41 7" xfId="13950"/>
    <cellStyle name="20% - Accent1 41 8" xfId="12636"/>
    <cellStyle name="20% - Accent1 42" xfId="701"/>
    <cellStyle name="20% - Accent1 42 2" xfId="3657"/>
    <cellStyle name="20% - Accent1 42 2 2" xfId="11636"/>
    <cellStyle name="20% - Accent1 42 2 2 2" xfId="22924"/>
    <cellStyle name="20% - Accent1 42 2 3" xfId="9642"/>
    <cellStyle name="20% - Accent1 42 2 3 2" xfId="20930"/>
    <cellStyle name="20% - Accent1 42 2 4" xfId="7648"/>
    <cellStyle name="20% - Accent1 42 2 4 2" xfId="18936"/>
    <cellStyle name="20% - Accent1 42 2 5" xfId="5654"/>
    <cellStyle name="20% - Accent1 42 2 5 2" xfId="16942"/>
    <cellStyle name="20% - Accent1 42 2 6" xfId="14948"/>
    <cellStyle name="20% - Accent1 42 3" xfId="10639"/>
    <cellStyle name="20% - Accent1 42 3 2" xfId="21927"/>
    <cellStyle name="20% - Accent1 42 4" xfId="8645"/>
    <cellStyle name="20% - Accent1 42 4 2" xfId="19933"/>
    <cellStyle name="20% - Accent1 42 5" xfId="6651"/>
    <cellStyle name="20% - Accent1 42 5 2" xfId="17939"/>
    <cellStyle name="20% - Accent1 42 6" xfId="4657"/>
    <cellStyle name="20% - Accent1 42 6 2" xfId="15945"/>
    <cellStyle name="20% - Accent1 42 7" xfId="13951"/>
    <cellStyle name="20% - Accent1 42 8" xfId="12637"/>
    <cellStyle name="20% - Accent1 43" xfId="702"/>
    <cellStyle name="20% - Accent1 43 2" xfId="3658"/>
    <cellStyle name="20% - Accent1 43 2 2" xfId="11637"/>
    <cellStyle name="20% - Accent1 43 2 2 2" xfId="22925"/>
    <cellStyle name="20% - Accent1 43 2 3" xfId="9643"/>
    <cellStyle name="20% - Accent1 43 2 3 2" xfId="20931"/>
    <cellStyle name="20% - Accent1 43 2 4" xfId="7649"/>
    <cellStyle name="20% - Accent1 43 2 4 2" xfId="18937"/>
    <cellStyle name="20% - Accent1 43 2 5" xfId="5655"/>
    <cellStyle name="20% - Accent1 43 2 5 2" xfId="16943"/>
    <cellStyle name="20% - Accent1 43 2 6" xfId="14949"/>
    <cellStyle name="20% - Accent1 43 3" xfId="10640"/>
    <cellStyle name="20% - Accent1 43 3 2" xfId="21928"/>
    <cellStyle name="20% - Accent1 43 4" xfId="8646"/>
    <cellStyle name="20% - Accent1 43 4 2" xfId="19934"/>
    <cellStyle name="20% - Accent1 43 5" xfId="6652"/>
    <cellStyle name="20% - Accent1 43 5 2" xfId="17940"/>
    <cellStyle name="20% - Accent1 43 6" xfId="4658"/>
    <cellStyle name="20% - Accent1 43 6 2" xfId="15946"/>
    <cellStyle name="20% - Accent1 43 7" xfId="13952"/>
    <cellStyle name="20% - Accent1 43 8" xfId="12638"/>
    <cellStyle name="20% - Accent1 44" xfId="703"/>
    <cellStyle name="20% - Accent1 44 2" xfId="3659"/>
    <cellStyle name="20% - Accent1 44 2 2" xfId="11638"/>
    <cellStyle name="20% - Accent1 44 2 2 2" xfId="22926"/>
    <cellStyle name="20% - Accent1 44 2 3" xfId="9644"/>
    <cellStyle name="20% - Accent1 44 2 3 2" xfId="20932"/>
    <cellStyle name="20% - Accent1 44 2 4" xfId="7650"/>
    <cellStyle name="20% - Accent1 44 2 4 2" xfId="18938"/>
    <cellStyle name="20% - Accent1 44 2 5" xfId="5656"/>
    <cellStyle name="20% - Accent1 44 2 5 2" xfId="16944"/>
    <cellStyle name="20% - Accent1 44 2 6" xfId="14950"/>
    <cellStyle name="20% - Accent1 44 3" xfId="10641"/>
    <cellStyle name="20% - Accent1 44 3 2" xfId="21929"/>
    <cellStyle name="20% - Accent1 44 4" xfId="8647"/>
    <cellStyle name="20% - Accent1 44 4 2" xfId="19935"/>
    <cellStyle name="20% - Accent1 44 5" xfId="6653"/>
    <cellStyle name="20% - Accent1 44 5 2" xfId="17941"/>
    <cellStyle name="20% - Accent1 44 6" xfId="4659"/>
    <cellStyle name="20% - Accent1 44 6 2" xfId="15947"/>
    <cellStyle name="20% - Accent1 44 7" xfId="13953"/>
    <cellStyle name="20% - Accent1 44 8" xfId="12639"/>
    <cellStyle name="20% - Accent1 45" xfId="704"/>
    <cellStyle name="20% - Accent1 45 2" xfId="3660"/>
    <cellStyle name="20% - Accent1 45 2 2" xfId="11639"/>
    <cellStyle name="20% - Accent1 45 2 2 2" xfId="22927"/>
    <cellStyle name="20% - Accent1 45 2 3" xfId="9645"/>
    <cellStyle name="20% - Accent1 45 2 3 2" xfId="20933"/>
    <cellStyle name="20% - Accent1 45 2 4" xfId="7651"/>
    <cellStyle name="20% - Accent1 45 2 4 2" xfId="18939"/>
    <cellStyle name="20% - Accent1 45 2 5" xfId="5657"/>
    <cellStyle name="20% - Accent1 45 2 5 2" xfId="16945"/>
    <cellStyle name="20% - Accent1 45 2 6" xfId="14951"/>
    <cellStyle name="20% - Accent1 45 3" xfId="10642"/>
    <cellStyle name="20% - Accent1 45 3 2" xfId="21930"/>
    <cellStyle name="20% - Accent1 45 4" xfId="8648"/>
    <cellStyle name="20% - Accent1 45 4 2" xfId="19936"/>
    <cellStyle name="20% - Accent1 45 5" xfId="6654"/>
    <cellStyle name="20% - Accent1 45 5 2" xfId="17942"/>
    <cellStyle name="20% - Accent1 45 6" xfId="4660"/>
    <cellStyle name="20% - Accent1 45 6 2" xfId="15948"/>
    <cellStyle name="20% - Accent1 45 7" xfId="13954"/>
    <cellStyle name="20% - Accent1 45 8" xfId="12640"/>
    <cellStyle name="20% - Accent1 46" xfId="705"/>
    <cellStyle name="20% - Accent1 46 2" xfId="3661"/>
    <cellStyle name="20% - Accent1 46 2 2" xfId="11640"/>
    <cellStyle name="20% - Accent1 46 2 2 2" xfId="22928"/>
    <cellStyle name="20% - Accent1 46 2 3" xfId="9646"/>
    <cellStyle name="20% - Accent1 46 2 3 2" xfId="20934"/>
    <cellStyle name="20% - Accent1 46 2 4" xfId="7652"/>
    <cellStyle name="20% - Accent1 46 2 4 2" xfId="18940"/>
    <cellStyle name="20% - Accent1 46 2 5" xfId="5658"/>
    <cellStyle name="20% - Accent1 46 2 5 2" xfId="16946"/>
    <cellStyle name="20% - Accent1 46 2 6" xfId="14952"/>
    <cellStyle name="20% - Accent1 46 3" xfId="10643"/>
    <cellStyle name="20% - Accent1 46 3 2" xfId="21931"/>
    <cellStyle name="20% - Accent1 46 4" xfId="8649"/>
    <cellStyle name="20% - Accent1 46 4 2" xfId="19937"/>
    <cellStyle name="20% - Accent1 46 5" xfId="6655"/>
    <cellStyle name="20% - Accent1 46 5 2" xfId="17943"/>
    <cellStyle name="20% - Accent1 46 6" xfId="4661"/>
    <cellStyle name="20% - Accent1 46 6 2" xfId="15949"/>
    <cellStyle name="20% - Accent1 46 7" xfId="13955"/>
    <cellStyle name="20% - Accent1 46 8" xfId="12641"/>
    <cellStyle name="20% - Accent1 47" xfId="706"/>
    <cellStyle name="20% - Accent1 47 2" xfId="3662"/>
    <cellStyle name="20% - Accent1 47 2 2" xfId="11641"/>
    <cellStyle name="20% - Accent1 47 2 2 2" xfId="22929"/>
    <cellStyle name="20% - Accent1 47 2 3" xfId="9647"/>
    <cellStyle name="20% - Accent1 47 2 3 2" xfId="20935"/>
    <cellStyle name="20% - Accent1 47 2 4" xfId="7653"/>
    <cellStyle name="20% - Accent1 47 2 4 2" xfId="18941"/>
    <cellStyle name="20% - Accent1 47 2 5" xfId="5659"/>
    <cellStyle name="20% - Accent1 47 2 5 2" xfId="16947"/>
    <cellStyle name="20% - Accent1 47 2 6" xfId="14953"/>
    <cellStyle name="20% - Accent1 47 3" xfId="10644"/>
    <cellStyle name="20% - Accent1 47 3 2" xfId="21932"/>
    <cellStyle name="20% - Accent1 47 4" xfId="8650"/>
    <cellStyle name="20% - Accent1 47 4 2" xfId="19938"/>
    <cellStyle name="20% - Accent1 47 5" xfId="6656"/>
    <cellStyle name="20% - Accent1 47 5 2" xfId="17944"/>
    <cellStyle name="20% - Accent1 47 6" xfId="4662"/>
    <cellStyle name="20% - Accent1 47 6 2" xfId="15950"/>
    <cellStyle name="20% - Accent1 47 7" xfId="13956"/>
    <cellStyle name="20% - Accent1 47 8" xfId="12642"/>
    <cellStyle name="20% - Accent1 48" xfId="707"/>
    <cellStyle name="20% - Accent1 48 2" xfId="3663"/>
    <cellStyle name="20% - Accent1 48 2 2" xfId="11642"/>
    <cellStyle name="20% - Accent1 48 2 2 2" xfId="22930"/>
    <cellStyle name="20% - Accent1 48 2 3" xfId="9648"/>
    <cellStyle name="20% - Accent1 48 2 3 2" xfId="20936"/>
    <cellStyle name="20% - Accent1 48 2 4" xfId="7654"/>
    <cellStyle name="20% - Accent1 48 2 4 2" xfId="18942"/>
    <cellStyle name="20% - Accent1 48 2 5" xfId="5660"/>
    <cellStyle name="20% - Accent1 48 2 5 2" xfId="16948"/>
    <cellStyle name="20% - Accent1 48 2 6" xfId="14954"/>
    <cellStyle name="20% - Accent1 48 3" xfId="10645"/>
    <cellStyle name="20% - Accent1 48 3 2" xfId="21933"/>
    <cellStyle name="20% - Accent1 48 4" xfId="8651"/>
    <cellStyle name="20% - Accent1 48 4 2" xfId="19939"/>
    <cellStyle name="20% - Accent1 48 5" xfId="6657"/>
    <cellStyle name="20% - Accent1 48 5 2" xfId="17945"/>
    <cellStyle name="20% - Accent1 48 6" xfId="4663"/>
    <cellStyle name="20% - Accent1 48 6 2" xfId="15951"/>
    <cellStyle name="20% - Accent1 48 7" xfId="13957"/>
    <cellStyle name="20% - Accent1 48 8" xfId="12643"/>
    <cellStyle name="20% - Accent1 49" xfId="708"/>
    <cellStyle name="20% - Accent1 49 2" xfId="3664"/>
    <cellStyle name="20% - Accent1 49 2 2" xfId="11643"/>
    <cellStyle name="20% - Accent1 49 2 2 2" xfId="22931"/>
    <cellStyle name="20% - Accent1 49 2 3" xfId="9649"/>
    <cellStyle name="20% - Accent1 49 2 3 2" xfId="20937"/>
    <cellStyle name="20% - Accent1 49 2 4" xfId="7655"/>
    <cellStyle name="20% - Accent1 49 2 4 2" xfId="18943"/>
    <cellStyle name="20% - Accent1 49 2 5" xfId="5661"/>
    <cellStyle name="20% - Accent1 49 2 5 2" xfId="16949"/>
    <cellStyle name="20% - Accent1 49 2 6" xfId="14955"/>
    <cellStyle name="20% - Accent1 49 3" xfId="10646"/>
    <cellStyle name="20% - Accent1 49 3 2" xfId="21934"/>
    <cellStyle name="20% - Accent1 49 4" xfId="8652"/>
    <cellStyle name="20% - Accent1 49 4 2" xfId="19940"/>
    <cellStyle name="20% - Accent1 49 5" xfId="6658"/>
    <cellStyle name="20% - Accent1 49 5 2" xfId="17946"/>
    <cellStyle name="20% - Accent1 49 6" xfId="4664"/>
    <cellStyle name="20% - Accent1 49 6 2" xfId="15952"/>
    <cellStyle name="20% - Accent1 49 7" xfId="13958"/>
    <cellStyle name="20% - Accent1 49 8" xfId="12644"/>
    <cellStyle name="20% - Accent1 5" xfId="709"/>
    <cellStyle name="20% - Accent1 5 10" xfId="24562"/>
    <cellStyle name="20% - Accent1 5 11" xfId="24952"/>
    <cellStyle name="20% - Accent1 5 2" xfId="3665"/>
    <cellStyle name="20% - Accent1 5 2 2" xfId="11644"/>
    <cellStyle name="20% - Accent1 5 2 2 2" xfId="22932"/>
    <cellStyle name="20% - Accent1 5 2 3" xfId="9650"/>
    <cellStyle name="20% - Accent1 5 2 3 2" xfId="20938"/>
    <cellStyle name="20% - Accent1 5 2 4" xfId="7656"/>
    <cellStyle name="20% - Accent1 5 2 4 2" xfId="18944"/>
    <cellStyle name="20% - Accent1 5 2 5" xfId="5662"/>
    <cellStyle name="20% - Accent1 5 2 5 2" xfId="16950"/>
    <cellStyle name="20% - Accent1 5 2 6" xfId="14956"/>
    <cellStyle name="20% - Accent1 5 2 7" xfId="24323"/>
    <cellStyle name="20% - Accent1 5 2 8" xfId="24787"/>
    <cellStyle name="20% - Accent1 5 2 9" xfId="25154"/>
    <cellStyle name="20% - Accent1 5 3" xfId="10647"/>
    <cellStyle name="20% - Accent1 5 3 2" xfId="21935"/>
    <cellStyle name="20% - Accent1 5 4" xfId="8653"/>
    <cellStyle name="20% - Accent1 5 4 2" xfId="19941"/>
    <cellStyle name="20% - Accent1 5 5" xfId="6659"/>
    <cellStyle name="20% - Accent1 5 5 2" xfId="17947"/>
    <cellStyle name="20% - Accent1 5 6" xfId="4665"/>
    <cellStyle name="20% - Accent1 5 6 2" xfId="15953"/>
    <cellStyle name="20% - Accent1 5 7" xfId="13959"/>
    <cellStyle name="20% - Accent1 5 8" xfId="12645"/>
    <cellStyle name="20% - Accent1 5 9" xfId="23935"/>
    <cellStyle name="20% - Accent1 50" xfId="710"/>
    <cellStyle name="20% - Accent1 50 2" xfId="3666"/>
    <cellStyle name="20% - Accent1 50 2 2" xfId="11645"/>
    <cellStyle name="20% - Accent1 50 2 2 2" xfId="22933"/>
    <cellStyle name="20% - Accent1 50 2 3" xfId="9651"/>
    <cellStyle name="20% - Accent1 50 2 3 2" xfId="20939"/>
    <cellStyle name="20% - Accent1 50 2 4" xfId="7657"/>
    <cellStyle name="20% - Accent1 50 2 4 2" xfId="18945"/>
    <cellStyle name="20% - Accent1 50 2 5" xfId="5663"/>
    <cellStyle name="20% - Accent1 50 2 5 2" xfId="16951"/>
    <cellStyle name="20% - Accent1 50 2 6" xfId="14957"/>
    <cellStyle name="20% - Accent1 50 3" xfId="10648"/>
    <cellStyle name="20% - Accent1 50 3 2" xfId="21936"/>
    <cellStyle name="20% - Accent1 50 4" xfId="8654"/>
    <cellStyle name="20% - Accent1 50 4 2" xfId="19942"/>
    <cellStyle name="20% - Accent1 50 5" xfId="6660"/>
    <cellStyle name="20% - Accent1 50 5 2" xfId="17948"/>
    <cellStyle name="20% - Accent1 50 6" xfId="4666"/>
    <cellStyle name="20% - Accent1 50 6 2" xfId="15954"/>
    <cellStyle name="20% - Accent1 50 7" xfId="13960"/>
    <cellStyle name="20% - Accent1 50 8" xfId="12646"/>
    <cellStyle name="20% - Accent1 51" xfId="711"/>
    <cellStyle name="20% - Accent1 51 2" xfId="3667"/>
    <cellStyle name="20% - Accent1 51 2 2" xfId="11646"/>
    <cellStyle name="20% - Accent1 51 2 2 2" xfId="22934"/>
    <cellStyle name="20% - Accent1 51 2 3" xfId="9652"/>
    <cellStyle name="20% - Accent1 51 2 3 2" xfId="20940"/>
    <cellStyle name="20% - Accent1 51 2 4" xfId="7658"/>
    <cellStyle name="20% - Accent1 51 2 4 2" xfId="18946"/>
    <cellStyle name="20% - Accent1 51 2 5" xfId="5664"/>
    <cellStyle name="20% - Accent1 51 2 5 2" xfId="16952"/>
    <cellStyle name="20% - Accent1 51 2 6" xfId="14958"/>
    <cellStyle name="20% - Accent1 51 3" xfId="10649"/>
    <cellStyle name="20% - Accent1 51 3 2" xfId="21937"/>
    <cellStyle name="20% - Accent1 51 4" xfId="8655"/>
    <cellStyle name="20% - Accent1 51 4 2" xfId="19943"/>
    <cellStyle name="20% - Accent1 51 5" xfId="6661"/>
    <cellStyle name="20% - Accent1 51 5 2" xfId="17949"/>
    <cellStyle name="20% - Accent1 51 6" xfId="4667"/>
    <cellStyle name="20% - Accent1 51 6 2" xfId="15955"/>
    <cellStyle name="20% - Accent1 51 7" xfId="13961"/>
    <cellStyle name="20% - Accent1 51 8" xfId="12647"/>
    <cellStyle name="20% - Accent1 52" xfId="712"/>
    <cellStyle name="20% - Accent1 52 2" xfId="3668"/>
    <cellStyle name="20% - Accent1 52 2 2" xfId="11647"/>
    <cellStyle name="20% - Accent1 52 2 2 2" xfId="22935"/>
    <cellStyle name="20% - Accent1 52 2 3" xfId="9653"/>
    <cellStyle name="20% - Accent1 52 2 3 2" xfId="20941"/>
    <cellStyle name="20% - Accent1 52 2 4" xfId="7659"/>
    <cellStyle name="20% - Accent1 52 2 4 2" xfId="18947"/>
    <cellStyle name="20% - Accent1 52 2 5" xfId="5665"/>
    <cellStyle name="20% - Accent1 52 2 5 2" xfId="16953"/>
    <cellStyle name="20% - Accent1 52 2 6" xfId="14959"/>
    <cellStyle name="20% - Accent1 52 3" xfId="10650"/>
    <cellStyle name="20% - Accent1 52 3 2" xfId="21938"/>
    <cellStyle name="20% - Accent1 52 4" xfId="8656"/>
    <cellStyle name="20% - Accent1 52 4 2" xfId="19944"/>
    <cellStyle name="20% - Accent1 52 5" xfId="6662"/>
    <cellStyle name="20% - Accent1 52 5 2" xfId="17950"/>
    <cellStyle name="20% - Accent1 52 6" xfId="4668"/>
    <cellStyle name="20% - Accent1 52 6 2" xfId="15956"/>
    <cellStyle name="20% - Accent1 52 7" xfId="13962"/>
    <cellStyle name="20% - Accent1 52 8" xfId="12648"/>
    <cellStyle name="20% - Accent1 53" xfId="713"/>
    <cellStyle name="20% - Accent1 53 2" xfId="3669"/>
    <cellStyle name="20% - Accent1 53 2 2" xfId="11648"/>
    <cellStyle name="20% - Accent1 53 2 2 2" xfId="22936"/>
    <cellStyle name="20% - Accent1 53 2 3" xfId="9654"/>
    <cellStyle name="20% - Accent1 53 2 3 2" xfId="20942"/>
    <cellStyle name="20% - Accent1 53 2 4" xfId="7660"/>
    <cellStyle name="20% - Accent1 53 2 4 2" xfId="18948"/>
    <cellStyle name="20% - Accent1 53 2 5" xfId="5666"/>
    <cellStyle name="20% - Accent1 53 2 5 2" xfId="16954"/>
    <cellStyle name="20% - Accent1 53 2 6" xfId="14960"/>
    <cellStyle name="20% - Accent1 53 3" xfId="10651"/>
    <cellStyle name="20% - Accent1 53 3 2" xfId="21939"/>
    <cellStyle name="20% - Accent1 53 4" xfId="8657"/>
    <cellStyle name="20% - Accent1 53 4 2" xfId="19945"/>
    <cellStyle name="20% - Accent1 53 5" xfId="6663"/>
    <cellStyle name="20% - Accent1 53 5 2" xfId="17951"/>
    <cellStyle name="20% - Accent1 53 6" xfId="4669"/>
    <cellStyle name="20% - Accent1 53 6 2" xfId="15957"/>
    <cellStyle name="20% - Accent1 53 7" xfId="13963"/>
    <cellStyle name="20% - Accent1 53 8" xfId="12649"/>
    <cellStyle name="20% - Accent1 54" xfId="714"/>
    <cellStyle name="20% - Accent1 54 2" xfId="3670"/>
    <cellStyle name="20% - Accent1 54 2 2" xfId="11649"/>
    <cellStyle name="20% - Accent1 54 2 2 2" xfId="22937"/>
    <cellStyle name="20% - Accent1 54 2 3" xfId="9655"/>
    <cellStyle name="20% - Accent1 54 2 3 2" xfId="20943"/>
    <cellStyle name="20% - Accent1 54 2 4" xfId="7661"/>
    <cellStyle name="20% - Accent1 54 2 4 2" xfId="18949"/>
    <cellStyle name="20% - Accent1 54 2 5" xfId="5667"/>
    <cellStyle name="20% - Accent1 54 2 5 2" xfId="16955"/>
    <cellStyle name="20% - Accent1 54 2 6" xfId="14961"/>
    <cellStyle name="20% - Accent1 54 3" xfId="10652"/>
    <cellStyle name="20% - Accent1 54 3 2" xfId="21940"/>
    <cellStyle name="20% - Accent1 54 4" xfId="8658"/>
    <cellStyle name="20% - Accent1 54 4 2" xfId="19946"/>
    <cellStyle name="20% - Accent1 54 5" xfId="6664"/>
    <cellStyle name="20% - Accent1 54 5 2" xfId="17952"/>
    <cellStyle name="20% - Accent1 54 6" xfId="4670"/>
    <cellStyle name="20% - Accent1 54 6 2" xfId="15958"/>
    <cellStyle name="20% - Accent1 54 7" xfId="13964"/>
    <cellStyle name="20% - Accent1 54 8" xfId="12650"/>
    <cellStyle name="20% - Accent1 55" xfId="715"/>
    <cellStyle name="20% - Accent1 55 2" xfId="3671"/>
    <cellStyle name="20% - Accent1 55 2 2" xfId="11650"/>
    <cellStyle name="20% - Accent1 55 2 2 2" xfId="22938"/>
    <cellStyle name="20% - Accent1 55 2 3" xfId="9656"/>
    <cellStyle name="20% - Accent1 55 2 3 2" xfId="20944"/>
    <cellStyle name="20% - Accent1 55 2 4" xfId="7662"/>
    <cellStyle name="20% - Accent1 55 2 4 2" xfId="18950"/>
    <cellStyle name="20% - Accent1 55 2 5" xfId="5668"/>
    <cellStyle name="20% - Accent1 55 2 5 2" xfId="16956"/>
    <cellStyle name="20% - Accent1 55 2 6" xfId="14962"/>
    <cellStyle name="20% - Accent1 55 3" xfId="10653"/>
    <cellStyle name="20% - Accent1 55 3 2" xfId="21941"/>
    <cellStyle name="20% - Accent1 55 4" xfId="8659"/>
    <cellStyle name="20% - Accent1 55 4 2" xfId="19947"/>
    <cellStyle name="20% - Accent1 55 5" xfId="6665"/>
    <cellStyle name="20% - Accent1 55 5 2" xfId="17953"/>
    <cellStyle name="20% - Accent1 55 6" xfId="4671"/>
    <cellStyle name="20% - Accent1 55 6 2" xfId="15959"/>
    <cellStyle name="20% - Accent1 55 7" xfId="13965"/>
    <cellStyle name="20% - Accent1 55 8" xfId="12651"/>
    <cellStyle name="20% - Accent1 56" xfId="716"/>
    <cellStyle name="20% - Accent1 56 2" xfId="3672"/>
    <cellStyle name="20% - Accent1 56 2 2" xfId="11651"/>
    <cellStyle name="20% - Accent1 56 2 2 2" xfId="22939"/>
    <cellStyle name="20% - Accent1 56 2 3" xfId="9657"/>
    <cellStyle name="20% - Accent1 56 2 3 2" xfId="20945"/>
    <cellStyle name="20% - Accent1 56 2 4" xfId="7663"/>
    <cellStyle name="20% - Accent1 56 2 4 2" xfId="18951"/>
    <cellStyle name="20% - Accent1 56 2 5" xfId="5669"/>
    <cellStyle name="20% - Accent1 56 2 5 2" xfId="16957"/>
    <cellStyle name="20% - Accent1 56 2 6" xfId="14963"/>
    <cellStyle name="20% - Accent1 56 3" xfId="10654"/>
    <cellStyle name="20% - Accent1 56 3 2" xfId="21942"/>
    <cellStyle name="20% - Accent1 56 4" xfId="8660"/>
    <cellStyle name="20% - Accent1 56 4 2" xfId="19948"/>
    <cellStyle name="20% - Accent1 56 5" xfId="6666"/>
    <cellStyle name="20% - Accent1 56 5 2" xfId="17954"/>
    <cellStyle name="20% - Accent1 56 6" xfId="4672"/>
    <cellStyle name="20% - Accent1 56 6 2" xfId="15960"/>
    <cellStyle name="20% - Accent1 56 7" xfId="13966"/>
    <cellStyle name="20% - Accent1 56 8" xfId="12652"/>
    <cellStyle name="20% - Accent1 57" xfId="717"/>
    <cellStyle name="20% - Accent1 57 2" xfId="3673"/>
    <cellStyle name="20% - Accent1 57 2 2" xfId="11652"/>
    <cellStyle name="20% - Accent1 57 2 2 2" xfId="22940"/>
    <cellStyle name="20% - Accent1 57 2 3" xfId="9658"/>
    <cellStyle name="20% - Accent1 57 2 3 2" xfId="20946"/>
    <cellStyle name="20% - Accent1 57 2 4" xfId="7664"/>
    <cellStyle name="20% - Accent1 57 2 4 2" xfId="18952"/>
    <cellStyle name="20% - Accent1 57 2 5" xfId="5670"/>
    <cellStyle name="20% - Accent1 57 2 5 2" xfId="16958"/>
    <cellStyle name="20% - Accent1 57 2 6" xfId="14964"/>
    <cellStyle name="20% - Accent1 57 3" xfId="10655"/>
    <cellStyle name="20% - Accent1 57 3 2" xfId="21943"/>
    <cellStyle name="20% - Accent1 57 4" xfId="8661"/>
    <cellStyle name="20% - Accent1 57 4 2" xfId="19949"/>
    <cellStyle name="20% - Accent1 57 5" xfId="6667"/>
    <cellStyle name="20% - Accent1 57 5 2" xfId="17955"/>
    <cellStyle name="20% - Accent1 57 6" xfId="4673"/>
    <cellStyle name="20% - Accent1 57 6 2" xfId="15961"/>
    <cellStyle name="20% - Accent1 57 7" xfId="13967"/>
    <cellStyle name="20% - Accent1 57 8" xfId="12653"/>
    <cellStyle name="20% - Accent1 58" xfId="718"/>
    <cellStyle name="20% - Accent1 58 2" xfId="3674"/>
    <cellStyle name="20% - Accent1 58 2 2" xfId="11653"/>
    <cellStyle name="20% - Accent1 58 2 2 2" xfId="22941"/>
    <cellStyle name="20% - Accent1 58 2 3" xfId="9659"/>
    <cellStyle name="20% - Accent1 58 2 3 2" xfId="20947"/>
    <cellStyle name="20% - Accent1 58 2 4" xfId="7665"/>
    <cellStyle name="20% - Accent1 58 2 4 2" xfId="18953"/>
    <cellStyle name="20% - Accent1 58 2 5" xfId="5671"/>
    <cellStyle name="20% - Accent1 58 2 5 2" xfId="16959"/>
    <cellStyle name="20% - Accent1 58 2 6" xfId="14965"/>
    <cellStyle name="20% - Accent1 58 3" xfId="10656"/>
    <cellStyle name="20% - Accent1 58 3 2" xfId="21944"/>
    <cellStyle name="20% - Accent1 58 4" xfId="8662"/>
    <cellStyle name="20% - Accent1 58 4 2" xfId="19950"/>
    <cellStyle name="20% - Accent1 58 5" xfId="6668"/>
    <cellStyle name="20% - Accent1 58 5 2" xfId="17956"/>
    <cellStyle name="20% - Accent1 58 6" xfId="4674"/>
    <cellStyle name="20% - Accent1 58 6 2" xfId="15962"/>
    <cellStyle name="20% - Accent1 58 7" xfId="13968"/>
    <cellStyle name="20% - Accent1 58 8" xfId="12654"/>
    <cellStyle name="20% - Accent1 59" xfId="719"/>
    <cellStyle name="20% - Accent1 59 2" xfId="3675"/>
    <cellStyle name="20% - Accent1 59 2 2" xfId="11654"/>
    <cellStyle name="20% - Accent1 59 2 2 2" xfId="22942"/>
    <cellStyle name="20% - Accent1 59 2 3" xfId="9660"/>
    <cellStyle name="20% - Accent1 59 2 3 2" xfId="20948"/>
    <cellStyle name="20% - Accent1 59 2 4" xfId="7666"/>
    <cellStyle name="20% - Accent1 59 2 4 2" xfId="18954"/>
    <cellStyle name="20% - Accent1 59 2 5" xfId="5672"/>
    <cellStyle name="20% - Accent1 59 2 5 2" xfId="16960"/>
    <cellStyle name="20% - Accent1 59 2 6" xfId="14966"/>
    <cellStyle name="20% - Accent1 59 3" xfId="10657"/>
    <cellStyle name="20% - Accent1 59 3 2" xfId="21945"/>
    <cellStyle name="20% - Accent1 59 4" xfId="8663"/>
    <cellStyle name="20% - Accent1 59 4 2" xfId="19951"/>
    <cellStyle name="20% - Accent1 59 5" xfId="6669"/>
    <cellStyle name="20% - Accent1 59 5 2" xfId="17957"/>
    <cellStyle name="20% - Accent1 59 6" xfId="4675"/>
    <cellStyle name="20% - Accent1 59 6 2" xfId="15963"/>
    <cellStyle name="20% - Accent1 59 7" xfId="13969"/>
    <cellStyle name="20% - Accent1 59 8" xfId="12655"/>
    <cellStyle name="20% - Accent1 6" xfId="720"/>
    <cellStyle name="20% - Accent1 6 10" xfId="24563"/>
    <cellStyle name="20% - Accent1 6 11" xfId="24953"/>
    <cellStyle name="20% - Accent1 6 2" xfId="3676"/>
    <cellStyle name="20% - Accent1 6 2 2" xfId="11655"/>
    <cellStyle name="20% - Accent1 6 2 2 2" xfId="22943"/>
    <cellStyle name="20% - Accent1 6 2 3" xfId="9661"/>
    <cellStyle name="20% - Accent1 6 2 3 2" xfId="20949"/>
    <cellStyle name="20% - Accent1 6 2 4" xfId="7667"/>
    <cellStyle name="20% - Accent1 6 2 4 2" xfId="18955"/>
    <cellStyle name="20% - Accent1 6 2 5" xfId="5673"/>
    <cellStyle name="20% - Accent1 6 2 5 2" xfId="16961"/>
    <cellStyle name="20% - Accent1 6 2 6" xfId="14967"/>
    <cellStyle name="20% - Accent1 6 2 7" xfId="24324"/>
    <cellStyle name="20% - Accent1 6 2 8" xfId="24788"/>
    <cellStyle name="20% - Accent1 6 2 9" xfId="25155"/>
    <cellStyle name="20% - Accent1 6 3" xfId="10658"/>
    <cellStyle name="20% - Accent1 6 3 2" xfId="21946"/>
    <cellStyle name="20% - Accent1 6 4" xfId="8664"/>
    <cellStyle name="20% - Accent1 6 4 2" xfId="19952"/>
    <cellStyle name="20% - Accent1 6 5" xfId="6670"/>
    <cellStyle name="20% - Accent1 6 5 2" xfId="17958"/>
    <cellStyle name="20% - Accent1 6 6" xfId="4676"/>
    <cellStyle name="20% - Accent1 6 6 2" xfId="15964"/>
    <cellStyle name="20% - Accent1 6 7" xfId="13970"/>
    <cellStyle name="20% - Accent1 6 8" xfId="12656"/>
    <cellStyle name="20% - Accent1 6 9" xfId="23936"/>
    <cellStyle name="20% - Accent1 60" xfId="721"/>
    <cellStyle name="20% - Accent1 60 2" xfId="3677"/>
    <cellStyle name="20% - Accent1 60 2 2" xfId="11656"/>
    <cellStyle name="20% - Accent1 60 2 2 2" xfId="22944"/>
    <cellStyle name="20% - Accent1 60 2 3" xfId="9662"/>
    <cellStyle name="20% - Accent1 60 2 3 2" xfId="20950"/>
    <cellStyle name="20% - Accent1 60 2 4" xfId="7668"/>
    <cellStyle name="20% - Accent1 60 2 4 2" xfId="18956"/>
    <cellStyle name="20% - Accent1 60 2 5" xfId="5674"/>
    <cellStyle name="20% - Accent1 60 2 5 2" xfId="16962"/>
    <cellStyle name="20% - Accent1 60 2 6" xfId="14968"/>
    <cellStyle name="20% - Accent1 60 3" xfId="10659"/>
    <cellStyle name="20% - Accent1 60 3 2" xfId="21947"/>
    <cellStyle name="20% - Accent1 60 4" xfId="8665"/>
    <cellStyle name="20% - Accent1 60 4 2" xfId="19953"/>
    <cellStyle name="20% - Accent1 60 5" xfId="6671"/>
    <cellStyle name="20% - Accent1 60 5 2" xfId="17959"/>
    <cellStyle name="20% - Accent1 60 6" xfId="4677"/>
    <cellStyle name="20% - Accent1 60 6 2" xfId="15965"/>
    <cellStyle name="20% - Accent1 60 7" xfId="13971"/>
    <cellStyle name="20% - Accent1 60 8" xfId="12657"/>
    <cellStyle name="20% - Accent1 61" xfId="722"/>
    <cellStyle name="20% - Accent1 61 2" xfId="3678"/>
    <cellStyle name="20% - Accent1 61 2 2" xfId="11657"/>
    <cellStyle name="20% - Accent1 61 2 2 2" xfId="22945"/>
    <cellStyle name="20% - Accent1 61 2 3" xfId="9663"/>
    <cellStyle name="20% - Accent1 61 2 3 2" xfId="20951"/>
    <cellStyle name="20% - Accent1 61 2 4" xfId="7669"/>
    <cellStyle name="20% - Accent1 61 2 4 2" xfId="18957"/>
    <cellStyle name="20% - Accent1 61 2 5" xfId="5675"/>
    <cellStyle name="20% - Accent1 61 2 5 2" xfId="16963"/>
    <cellStyle name="20% - Accent1 61 2 6" xfId="14969"/>
    <cellStyle name="20% - Accent1 61 3" xfId="10660"/>
    <cellStyle name="20% - Accent1 61 3 2" xfId="21948"/>
    <cellStyle name="20% - Accent1 61 4" xfId="8666"/>
    <cellStyle name="20% - Accent1 61 4 2" xfId="19954"/>
    <cellStyle name="20% - Accent1 61 5" xfId="6672"/>
    <cellStyle name="20% - Accent1 61 5 2" xfId="17960"/>
    <cellStyle name="20% - Accent1 61 6" xfId="4678"/>
    <cellStyle name="20% - Accent1 61 6 2" xfId="15966"/>
    <cellStyle name="20% - Accent1 61 7" xfId="13972"/>
    <cellStyle name="20% - Accent1 61 8" xfId="12658"/>
    <cellStyle name="20% - Accent1 62" xfId="723"/>
    <cellStyle name="20% - Accent1 62 2" xfId="3679"/>
    <cellStyle name="20% - Accent1 62 2 2" xfId="11658"/>
    <cellStyle name="20% - Accent1 62 2 2 2" xfId="22946"/>
    <cellStyle name="20% - Accent1 62 2 3" xfId="9664"/>
    <cellStyle name="20% - Accent1 62 2 3 2" xfId="20952"/>
    <cellStyle name="20% - Accent1 62 2 4" xfId="7670"/>
    <cellStyle name="20% - Accent1 62 2 4 2" xfId="18958"/>
    <cellStyle name="20% - Accent1 62 2 5" xfId="5676"/>
    <cellStyle name="20% - Accent1 62 2 5 2" xfId="16964"/>
    <cellStyle name="20% - Accent1 62 2 6" xfId="14970"/>
    <cellStyle name="20% - Accent1 62 3" xfId="10661"/>
    <cellStyle name="20% - Accent1 62 3 2" xfId="21949"/>
    <cellStyle name="20% - Accent1 62 4" xfId="8667"/>
    <cellStyle name="20% - Accent1 62 4 2" xfId="19955"/>
    <cellStyle name="20% - Accent1 62 5" xfId="6673"/>
    <cellStyle name="20% - Accent1 62 5 2" xfId="17961"/>
    <cellStyle name="20% - Accent1 62 6" xfId="4679"/>
    <cellStyle name="20% - Accent1 62 6 2" xfId="15967"/>
    <cellStyle name="20% - Accent1 62 7" xfId="13973"/>
    <cellStyle name="20% - Accent1 62 8" xfId="12659"/>
    <cellStyle name="20% - Accent1 63" xfId="724"/>
    <cellStyle name="20% - Accent1 63 2" xfId="3680"/>
    <cellStyle name="20% - Accent1 63 2 2" xfId="11659"/>
    <cellStyle name="20% - Accent1 63 2 2 2" xfId="22947"/>
    <cellStyle name="20% - Accent1 63 2 3" xfId="9665"/>
    <cellStyle name="20% - Accent1 63 2 3 2" xfId="20953"/>
    <cellStyle name="20% - Accent1 63 2 4" xfId="7671"/>
    <cellStyle name="20% - Accent1 63 2 4 2" xfId="18959"/>
    <cellStyle name="20% - Accent1 63 2 5" xfId="5677"/>
    <cellStyle name="20% - Accent1 63 2 5 2" xfId="16965"/>
    <cellStyle name="20% - Accent1 63 2 6" xfId="14971"/>
    <cellStyle name="20% - Accent1 63 3" xfId="10662"/>
    <cellStyle name="20% - Accent1 63 3 2" xfId="21950"/>
    <cellStyle name="20% - Accent1 63 4" xfId="8668"/>
    <cellStyle name="20% - Accent1 63 4 2" xfId="19956"/>
    <cellStyle name="20% - Accent1 63 5" xfId="6674"/>
    <cellStyle name="20% - Accent1 63 5 2" xfId="17962"/>
    <cellStyle name="20% - Accent1 63 6" xfId="4680"/>
    <cellStyle name="20% - Accent1 63 6 2" xfId="15968"/>
    <cellStyle name="20% - Accent1 63 7" xfId="13974"/>
    <cellStyle name="20% - Accent1 63 8" xfId="12660"/>
    <cellStyle name="20% - Accent1 64" xfId="725"/>
    <cellStyle name="20% - Accent1 64 2" xfId="3681"/>
    <cellStyle name="20% - Accent1 64 2 2" xfId="11660"/>
    <cellStyle name="20% - Accent1 64 2 2 2" xfId="22948"/>
    <cellStyle name="20% - Accent1 64 2 3" xfId="9666"/>
    <cellStyle name="20% - Accent1 64 2 3 2" xfId="20954"/>
    <cellStyle name="20% - Accent1 64 2 4" xfId="7672"/>
    <cellStyle name="20% - Accent1 64 2 4 2" xfId="18960"/>
    <cellStyle name="20% - Accent1 64 2 5" xfId="5678"/>
    <cellStyle name="20% - Accent1 64 2 5 2" xfId="16966"/>
    <cellStyle name="20% - Accent1 64 2 6" xfId="14972"/>
    <cellStyle name="20% - Accent1 64 3" xfId="10663"/>
    <cellStyle name="20% - Accent1 64 3 2" xfId="21951"/>
    <cellStyle name="20% - Accent1 64 4" xfId="8669"/>
    <cellStyle name="20% - Accent1 64 4 2" xfId="19957"/>
    <cellStyle name="20% - Accent1 64 5" xfId="6675"/>
    <cellStyle name="20% - Accent1 64 5 2" xfId="17963"/>
    <cellStyle name="20% - Accent1 64 6" xfId="4681"/>
    <cellStyle name="20% - Accent1 64 6 2" xfId="15969"/>
    <cellStyle name="20% - Accent1 64 7" xfId="13975"/>
    <cellStyle name="20% - Accent1 64 8" xfId="12661"/>
    <cellStyle name="20% - Accent1 65" xfId="726"/>
    <cellStyle name="20% - Accent1 65 2" xfId="3682"/>
    <cellStyle name="20% - Accent1 65 2 2" xfId="11661"/>
    <cellStyle name="20% - Accent1 65 2 2 2" xfId="22949"/>
    <cellStyle name="20% - Accent1 65 2 3" xfId="9667"/>
    <cellStyle name="20% - Accent1 65 2 3 2" xfId="20955"/>
    <cellStyle name="20% - Accent1 65 2 4" xfId="7673"/>
    <cellStyle name="20% - Accent1 65 2 4 2" xfId="18961"/>
    <cellStyle name="20% - Accent1 65 2 5" xfId="5679"/>
    <cellStyle name="20% - Accent1 65 2 5 2" xfId="16967"/>
    <cellStyle name="20% - Accent1 65 2 6" xfId="14973"/>
    <cellStyle name="20% - Accent1 65 3" xfId="10664"/>
    <cellStyle name="20% - Accent1 65 3 2" xfId="21952"/>
    <cellStyle name="20% - Accent1 65 4" xfId="8670"/>
    <cellStyle name="20% - Accent1 65 4 2" xfId="19958"/>
    <cellStyle name="20% - Accent1 65 5" xfId="6676"/>
    <cellStyle name="20% - Accent1 65 5 2" xfId="17964"/>
    <cellStyle name="20% - Accent1 65 6" xfId="4682"/>
    <cellStyle name="20% - Accent1 65 6 2" xfId="15970"/>
    <cellStyle name="20% - Accent1 65 7" xfId="13976"/>
    <cellStyle name="20% - Accent1 65 8" xfId="12662"/>
    <cellStyle name="20% - Accent1 66" xfId="727"/>
    <cellStyle name="20% - Accent1 66 2" xfId="3683"/>
    <cellStyle name="20% - Accent1 66 2 2" xfId="11662"/>
    <cellStyle name="20% - Accent1 66 2 2 2" xfId="22950"/>
    <cellStyle name="20% - Accent1 66 2 3" xfId="9668"/>
    <cellStyle name="20% - Accent1 66 2 3 2" xfId="20956"/>
    <cellStyle name="20% - Accent1 66 2 4" xfId="7674"/>
    <cellStyle name="20% - Accent1 66 2 4 2" xfId="18962"/>
    <cellStyle name="20% - Accent1 66 2 5" xfId="5680"/>
    <cellStyle name="20% - Accent1 66 2 5 2" xfId="16968"/>
    <cellStyle name="20% - Accent1 66 2 6" xfId="14974"/>
    <cellStyle name="20% - Accent1 66 3" xfId="10665"/>
    <cellStyle name="20% - Accent1 66 3 2" xfId="21953"/>
    <cellStyle name="20% - Accent1 66 4" xfId="8671"/>
    <cellStyle name="20% - Accent1 66 4 2" xfId="19959"/>
    <cellStyle name="20% - Accent1 66 5" xfId="6677"/>
    <cellStyle name="20% - Accent1 66 5 2" xfId="17965"/>
    <cellStyle name="20% - Accent1 66 6" xfId="4683"/>
    <cellStyle name="20% - Accent1 66 6 2" xfId="15971"/>
    <cellStyle name="20% - Accent1 66 7" xfId="13977"/>
    <cellStyle name="20% - Accent1 66 8" xfId="12663"/>
    <cellStyle name="20% - Accent1 67" xfId="728"/>
    <cellStyle name="20% - Accent1 67 2" xfId="3684"/>
    <cellStyle name="20% - Accent1 67 2 2" xfId="11663"/>
    <cellStyle name="20% - Accent1 67 2 2 2" xfId="22951"/>
    <cellStyle name="20% - Accent1 67 2 3" xfId="9669"/>
    <cellStyle name="20% - Accent1 67 2 3 2" xfId="20957"/>
    <cellStyle name="20% - Accent1 67 2 4" xfId="7675"/>
    <cellStyle name="20% - Accent1 67 2 4 2" xfId="18963"/>
    <cellStyle name="20% - Accent1 67 2 5" xfId="5681"/>
    <cellStyle name="20% - Accent1 67 2 5 2" xfId="16969"/>
    <cellStyle name="20% - Accent1 67 2 6" xfId="14975"/>
    <cellStyle name="20% - Accent1 67 3" xfId="10666"/>
    <cellStyle name="20% - Accent1 67 3 2" xfId="21954"/>
    <cellStyle name="20% - Accent1 67 4" xfId="8672"/>
    <cellStyle name="20% - Accent1 67 4 2" xfId="19960"/>
    <cellStyle name="20% - Accent1 67 5" xfId="6678"/>
    <cellStyle name="20% - Accent1 67 5 2" xfId="17966"/>
    <cellStyle name="20% - Accent1 67 6" xfId="4684"/>
    <cellStyle name="20% - Accent1 67 6 2" xfId="15972"/>
    <cellStyle name="20% - Accent1 67 7" xfId="13978"/>
    <cellStyle name="20% - Accent1 67 8" xfId="12664"/>
    <cellStyle name="20% - Accent1 68" xfId="729"/>
    <cellStyle name="20% - Accent1 68 2" xfId="3685"/>
    <cellStyle name="20% - Accent1 68 2 2" xfId="11664"/>
    <cellStyle name="20% - Accent1 68 2 2 2" xfId="22952"/>
    <cellStyle name="20% - Accent1 68 2 3" xfId="9670"/>
    <cellStyle name="20% - Accent1 68 2 3 2" xfId="20958"/>
    <cellStyle name="20% - Accent1 68 2 4" xfId="7676"/>
    <cellStyle name="20% - Accent1 68 2 4 2" xfId="18964"/>
    <cellStyle name="20% - Accent1 68 2 5" xfId="5682"/>
    <cellStyle name="20% - Accent1 68 2 5 2" xfId="16970"/>
    <cellStyle name="20% - Accent1 68 2 6" xfId="14976"/>
    <cellStyle name="20% - Accent1 68 3" xfId="10667"/>
    <cellStyle name="20% - Accent1 68 3 2" xfId="21955"/>
    <cellStyle name="20% - Accent1 68 4" xfId="8673"/>
    <cellStyle name="20% - Accent1 68 4 2" xfId="19961"/>
    <cellStyle name="20% - Accent1 68 5" xfId="6679"/>
    <cellStyle name="20% - Accent1 68 5 2" xfId="17967"/>
    <cellStyle name="20% - Accent1 68 6" xfId="4685"/>
    <cellStyle name="20% - Accent1 68 6 2" xfId="15973"/>
    <cellStyle name="20% - Accent1 68 7" xfId="13979"/>
    <cellStyle name="20% - Accent1 68 8" xfId="12665"/>
    <cellStyle name="20% - Accent1 69" xfId="730"/>
    <cellStyle name="20% - Accent1 69 2" xfId="3686"/>
    <cellStyle name="20% - Accent1 69 2 2" xfId="11665"/>
    <cellStyle name="20% - Accent1 69 2 2 2" xfId="22953"/>
    <cellStyle name="20% - Accent1 69 2 3" xfId="9671"/>
    <cellStyle name="20% - Accent1 69 2 3 2" xfId="20959"/>
    <cellStyle name="20% - Accent1 69 2 4" xfId="7677"/>
    <cellStyle name="20% - Accent1 69 2 4 2" xfId="18965"/>
    <cellStyle name="20% - Accent1 69 2 5" xfId="5683"/>
    <cellStyle name="20% - Accent1 69 2 5 2" xfId="16971"/>
    <cellStyle name="20% - Accent1 69 2 6" xfId="14977"/>
    <cellStyle name="20% - Accent1 69 3" xfId="10668"/>
    <cellStyle name="20% - Accent1 69 3 2" xfId="21956"/>
    <cellStyle name="20% - Accent1 69 4" xfId="8674"/>
    <cellStyle name="20% - Accent1 69 4 2" xfId="19962"/>
    <cellStyle name="20% - Accent1 69 5" xfId="6680"/>
    <cellStyle name="20% - Accent1 69 5 2" xfId="17968"/>
    <cellStyle name="20% - Accent1 69 6" xfId="4686"/>
    <cellStyle name="20% - Accent1 69 6 2" xfId="15974"/>
    <cellStyle name="20% - Accent1 69 7" xfId="13980"/>
    <cellStyle name="20% - Accent1 69 8" xfId="12666"/>
    <cellStyle name="20% - Accent1 7" xfId="731"/>
    <cellStyle name="20% - Accent1 7 10" xfId="24564"/>
    <cellStyle name="20% - Accent1 7 11" xfId="24954"/>
    <cellStyle name="20% - Accent1 7 2" xfId="3687"/>
    <cellStyle name="20% - Accent1 7 2 2" xfId="11666"/>
    <cellStyle name="20% - Accent1 7 2 2 2" xfId="22954"/>
    <cellStyle name="20% - Accent1 7 2 3" xfId="9672"/>
    <cellStyle name="20% - Accent1 7 2 3 2" xfId="20960"/>
    <cellStyle name="20% - Accent1 7 2 4" xfId="7678"/>
    <cellStyle name="20% - Accent1 7 2 4 2" xfId="18966"/>
    <cellStyle name="20% - Accent1 7 2 5" xfId="5684"/>
    <cellStyle name="20% - Accent1 7 2 5 2" xfId="16972"/>
    <cellStyle name="20% - Accent1 7 2 6" xfId="14978"/>
    <cellStyle name="20% - Accent1 7 2 7" xfId="24325"/>
    <cellStyle name="20% - Accent1 7 2 8" xfId="24789"/>
    <cellStyle name="20% - Accent1 7 2 9" xfId="25156"/>
    <cellStyle name="20% - Accent1 7 3" xfId="10669"/>
    <cellStyle name="20% - Accent1 7 3 2" xfId="21957"/>
    <cellStyle name="20% - Accent1 7 4" xfId="8675"/>
    <cellStyle name="20% - Accent1 7 4 2" xfId="19963"/>
    <cellStyle name="20% - Accent1 7 5" xfId="6681"/>
    <cellStyle name="20% - Accent1 7 5 2" xfId="17969"/>
    <cellStyle name="20% - Accent1 7 6" xfId="4687"/>
    <cellStyle name="20% - Accent1 7 6 2" xfId="15975"/>
    <cellStyle name="20% - Accent1 7 7" xfId="13981"/>
    <cellStyle name="20% - Accent1 7 8" xfId="12667"/>
    <cellStyle name="20% - Accent1 7 9" xfId="23937"/>
    <cellStyle name="20% - Accent1 70" xfId="732"/>
    <cellStyle name="20% - Accent1 70 2" xfId="3688"/>
    <cellStyle name="20% - Accent1 70 2 2" xfId="11667"/>
    <cellStyle name="20% - Accent1 70 2 2 2" xfId="22955"/>
    <cellStyle name="20% - Accent1 70 2 3" xfId="9673"/>
    <cellStyle name="20% - Accent1 70 2 3 2" xfId="20961"/>
    <cellStyle name="20% - Accent1 70 2 4" xfId="7679"/>
    <cellStyle name="20% - Accent1 70 2 4 2" xfId="18967"/>
    <cellStyle name="20% - Accent1 70 2 5" xfId="5685"/>
    <cellStyle name="20% - Accent1 70 2 5 2" xfId="16973"/>
    <cellStyle name="20% - Accent1 70 2 6" xfId="14979"/>
    <cellStyle name="20% - Accent1 70 3" xfId="10670"/>
    <cellStyle name="20% - Accent1 70 3 2" xfId="21958"/>
    <cellStyle name="20% - Accent1 70 4" xfId="8676"/>
    <cellStyle name="20% - Accent1 70 4 2" xfId="19964"/>
    <cellStyle name="20% - Accent1 70 5" xfId="6682"/>
    <cellStyle name="20% - Accent1 70 5 2" xfId="17970"/>
    <cellStyle name="20% - Accent1 70 6" xfId="4688"/>
    <cellStyle name="20% - Accent1 70 6 2" xfId="15976"/>
    <cellStyle name="20% - Accent1 70 7" xfId="13982"/>
    <cellStyle name="20% - Accent1 70 8" xfId="12668"/>
    <cellStyle name="20% - Accent1 71" xfId="733"/>
    <cellStyle name="20% - Accent1 71 2" xfId="3689"/>
    <cellStyle name="20% - Accent1 71 2 2" xfId="11668"/>
    <cellStyle name="20% - Accent1 71 2 2 2" xfId="22956"/>
    <cellStyle name="20% - Accent1 71 2 3" xfId="9674"/>
    <cellStyle name="20% - Accent1 71 2 3 2" xfId="20962"/>
    <cellStyle name="20% - Accent1 71 2 4" xfId="7680"/>
    <cellStyle name="20% - Accent1 71 2 4 2" xfId="18968"/>
    <cellStyle name="20% - Accent1 71 2 5" xfId="5686"/>
    <cellStyle name="20% - Accent1 71 2 5 2" xfId="16974"/>
    <cellStyle name="20% - Accent1 71 2 6" xfId="14980"/>
    <cellStyle name="20% - Accent1 71 3" xfId="10671"/>
    <cellStyle name="20% - Accent1 71 3 2" xfId="21959"/>
    <cellStyle name="20% - Accent1 71 4" xfId="8677"/>
    <cellStyle name="20% - Accent1 71 4 2" xfId="19965"/>
    <cellStyle name="20% - Accent1 71 5" xfId="6683"/>
    <cellStyle name="20% - Accent1 71 5 2" xfId="17971"/>
    <cellStyle name="20% - Accent1 71 6" xfId="4689"/>
    <cellStyle name="20% - Accent1 71 6 2" xfId="15977"/>
    <cellStyle name="20% - Accent1 71 7" xfId="13983"/>
    <cellStyle name="20% - Accent1 71 8" xfId="12669"/>
    <cellStyle name="20% - Accent1 72" xfId="734"/>
    <cellStyle name="20% - Accent1 72 2" xfId="3690"/>
    <cellStyle name="20% - Accent1 72 2 2" xfId="11669"/>
    <cellStyle name="20% - Accent1 72 2 2 2" xfId="22957"/>
    <cellStyle name="20% - Accent1 72 2 3" xfId="9675"/>
    <cellStyle name="20% - Accent1 72 2 3 2" xfId="20963"/>
    <cellStyle name="20% - Accent1 72 2 4" xfId="7681"/>
    <cellStyle name="20% - Accent1 72 2 4 2" xfId="18969"/>
    <cellStyle name="20% - Accent1 72 2 5" xfId="5687"/>
    <cellStyle name="20% - Accent1 72 2 5 2" xfId="16975"/>
    <cellStyle name="20% - Accent1 72 2 6" xfId="14981"/>
    <cellStyle name="20% - Accent1 72 3" xfId="10672"/>
    <cellStyle name="20% - Accent1 72 3 2" xfId="21960"/>
    <cellStyle name="20% - Accent1 72 4" xfId="8678"/>
    <cellStyle name="20% - Accent1 72 4 2" xfId="19966"/>
    <cellStyle name="20% - Accent1 72 5" xfId="6684"/>
    <cellStyle name="20% - Accent1 72 5 2" xfId="17972"/>
    <cellStyle name="20% - Accent1 72 6" xfId="4690"/>
    <cellStyle name="20% - Accent1 72 6 2" xfId="15978"/>
    <cellStyle name="20% - Accent1 72 7" xfId="13984"/>
    <cellStyle name="20% - Accent1 72 8" xfId="12670"/>
    <cellStyle name="20% - Accent1 8" xfId="735"/>
    <cellStyle name="20% - Accent1 8 2" xfId="3691"/>
    <cellStyle name="20% - Accent1 8 2 2" xfId="11670"/>
    <cellStyle name="20% - Accent1 8 2 2 2" xfId="22958"/>
    <cellStyle name="20% - Accent1 8 2 3" xfId="9676"/>
    <cellStyle name="20% - Accent1 8 2 3 2" xfId="20964"/>
    <cellStyle name="20% - Accent1 8 2 4" xfId="7682"/>
    <cellStyle name="20% - Accent1 8 2 4 2" xfId="18970"/>
    <cellStyle name="20% - Accent1 8 2 5" xfId="5688"/>
    <cellStyle name="20% - Accent1 8 2 5 2" xfId="16976"/>
    <cellStyle name="20% - Accent1 8 2 6" xfId="14982"/>
    <cellStyle name="20% - Accent1 8 3" xfId="10673"/>
    <cellStyle name="20% - Accent1 8 3 2" xfId="21961"/>
    <cellStyle name="20% - Accent1 8 4" xfId="8679"/>
    <cellStyle name="20% - Accent1 8 4 2" xfId="19967"/>
    <cellStyle name="20% - Accent1 8 5" xfId="6685"/>
    <cellStyle name="20% - Accent1 8 5 2" xfId="17973"/>
    <cellStyle name="20% - Accent1 8 6" xfId="4691"/>
    <cellStyle name="20% - Accent1 8 6 2" xfId="15979"/>
    <cellStyle name="20% - Accent1 8 7" xfId="13985"/>
    <cellStyle name="20% - Accent1 8 8" xfId="12671"/>
    <cellStyle name="20% - Accent1 9" xfId="736"/>
    <cellStyle name="20% - Accent1 9 2" xfId="3692"/>
    <cellStyle name="20% - Accent1 9 2 2" xfId="11671"/>
    <cellStyle name="20% - Accent1 9 2 2 2" xfId="22959"/>
    <cellStyle name="20% - Accent1 9 2 3" xfId="9677"/>
    <cellStyle name="20% - Accent1 9 2 3 2" xfId="20965"/>
    <cellStyle name="20% - Accent1 9 2 4" xfId="7683"/>
    <cellStyle name="20% - Accent1 9 2 4 2" xfId="18971"/>
    <cellStyle name="20% - Accent1 9 2 5" xfId="5689"/>
    <cellStyle name="20% - Accent1 9 2 5 2" xfId="16977"/>
    <cellStyle name="20% - Accent1 9 2 6" xfId="14983"/>
    <cellStyle name="20% - Accent1 9 3" xfId="10674"/>
    <cellStyle name="20% - Accent1 9 3 2" xfId="21962"/>
    <cellStyle name="20% - Accent1 9 4" xfId="8680"/>
    <cellStyle name="20% - Accent1 9 4 2" xfId="19968"/>
    <cellStyle name="20% - Accent1 9 5" xfId="6686"/>
    <cellStyle name="20% - Accent1 9 5 2" xfId="17974"/>
    <cellStyle name="20% - Accent1 9 6" xfId="4692"/>
    <cellStyle name="20% - Accent1 9 6 2" xfId="15980"/>
    <cellStyle name="20% - Accent1 9 7" xfId="13986"/>
    <cellStyle name="20% - Accent1 9 8" xfId="12672"/>
    <cellStyle name="20% - Accent2 10" xfId="737"/>
    <cellStyle name="20% - Accent2 10 2" xfId="3693"/>
    <cellStyle name="20% - Accent2 10 2 2" xfId="11672"/>
    <cellStyle name="20% - Accent2 10 2 2 2" xfId="22960"/>
    <cellStyle name="20% - Accent2 10 2 3" xfId="9678"/>
    <cellStyle name="20% - Accent2 10 2 3 2" xfId="20966"/>
    <cellStyle name="20% - Accent2 10 2 4" xfId="7684"/>
    <cellStyle name="20% - Accent2 10 2 4 2" xfId="18972"/>
    <cellStyle name="20% - Accent2 10 2 5" xfId="5690"/>
    <cellStyle name="20% - Accent2 10 2 5 2" xfId="16978"/>
    <cellStyle name="20% - Accent2 10 2 6" xfId="14984"/>
    <cellStyle name="20% - Accent2 10 3" xfId="10675"/>
    <cellStyle name="20% - Accent2 10 3 2" xfId="21963"/>
    <cellStyle name="20% - Accent2 10 4" xfId="8681"/>
    <cellStyle name="20% - Accent2 10 4 2" xfId="19969"/>
    <cellStyle name="20% - Accent2 10 5" xfId="6687"/>
    <cellStyle name="20% - Accent2 10 5 2" xfId="17975"/>
    <cellStyle name="20% - Accent2 10 6" xfId="4693"/>
    <cellStyle name="20% - Accent2 10 6 2" xfId="15981"/>
    <cellStyle name="20% - Accent2 10 7" xfId="13987"/>
    <cellStyle name="20% - Accent2 10 8" xfId="12673"/>
    <cellStyle name="20% - Accent2 11" xfId="738"/>
    <cellStyle name="20% - Accent2 11 2" xfId="3694"/>
    <cellStyle name="20% - Accent2 11 2 2" xfId="11673"/>
    <cellStyle name="20% - Accent2 11 2 2 2" xfId="22961"/>
    <cellStyle name="20% - Accent2 11 2 3" xfId="9679"/>
    <cellStyle name="20% - Accent2 11 2 3 2" xfId="20967"/>
    <cellStyle name="20% - Accent2 11 2 4" xfId="7685"/>
    <cellStyle name="20% - Accent2 11 2 4 2" xfId="18973"/>
    <cellStyle name="20% - Accent2 11 2 5" xfId="5691"/>
    <cellStyle name="20% - Accent2 11 2 5 2" xfId="16979"/>
    <cellStyle name="20% - Accent2 11 2 6" xfId="14985"/>
    <cellStyle name="20% - Accent2 11 3" xfId="10676"/>
    <cellStyle name="20% - Accent2 11 3 2" xfId="21964"/>
    <cellStyle name="20% - Accent2 11 4" xfId="8682"/>
    <cellStyle name="20% - Accent2 11 4 2" xfId="19970"/>
    <cellStyle name="20% - Accent2 11 5" xfId="6688"/>
    <cellStyle name="20% - Accent2 11 5 2" xfId="17976"/>
    <cellStyle name="20% - Accent2 11 6" xfId="4694"/>
    <cellStyle name="20% - Accent2 11 6 2" xfId="15982"/>
    <cellStyle name="20% - Accent2 11 7" xfId="13988"/>
    <cellStyle name="20% - Accent2 11 8" xfId="12674"/>
    <cellStyle name="20% - Accent2 12" xfId="739"/>
    <cellStyle name="20% - Accent2 12 2" xfId="3695"/>
    <cellStyle name="20% - Accent2 12 2 2" xfId="11674"/>
    <cellStyle name="20% - Accent2 12 2 2 2" xfId="22962"/>
    <cellStyle name="20% - Accent2 12 2 3" xfId="9680"/>
    <cellStyle name="20% - Accent2 12 2 3 2" xfId="20968"/>
    <cellStyle name="20% - Accent2 12 2 4" xfId="7686"/>
    <cellStyle name="20% - Accent2 12 2 4 2" xfId="18974"/>
    <cellStyle name="20% - Accent2 12 2 5" xfId="5692"/>
    <cellStyle name="20% - Accent2 12 2 5 2" xfId="16980"/>
    <cellStyle name="20% - Accent2 12 2 6" xfId="14986"/>
    <cellStyle name="20% - Accent2 12 3" xfId="10677"/>
    <cellStyle name="20% - Accent2 12 3 2" xfId="21965"/>
    <cellStyle name="20% - Accent2 12 4" xfId="8683"/>
    <cellStyle name="20% - Accent2 12 4 2" xfId="19971"/>
    <cellStyle name="20% - Accent2 12 5" xfId="6689"/>
    <cellStyle name="20% - Accent2 12 5 2" xfId="17977"/>
    <cellStyle name="20% - Accent2 12 6" xfId="4695"/>
    <cellStyle name="20% - Accent2 12 6 2" xfId="15983"/>
    <cellStyle name="20% - Accent2 12 7" xfId="13989"/>
    <cellStyle name="20% - Accent2 12 8" xfId="12675"/>
    <cellStyle name="20% - Accent2 13" xfId="740"/>
    <cellStyle name="20% - Accent2 13 2" xfId="3696"/>
    <cellStyle name="20% - Accent2 13 2 2" xfId="11675"/>
    <cellStyle name="20% - Accent2 13 2 2 2" xfId="22963"/>
    <cellStyle name="20% - Accent2 13 2 3" xfId="9681"/>
    <cellStyle name="20% - Accent2 13 2 3 2" xfId="20969"/>
    <cellStyle name="20% - Accent2 13 2 4" xfId="7687"/>
    <cellStyle name="20% - Accent2 13 2 4 2" xfId="18975"/>
    <cellStyle name="20% - Accent2 13 2 5" xfId="5693"/>
    <cellStyle name="20% - Accent2 13 2 5 2" xfId="16981"/>
    <cellStyle name="20% - Accent2 13 2 6" xfId="14987"/>
    <cellStyle name="20% - Accent2 13 3" xfId="10678"/>
    <cellStyle name="20% - Accent2 13 3 2" xfId="21966"/>
    <cellStyle name="20% - Accent2 13 4" xfId="8684"/>
    <cellStyle name="20% - Accent2 13 4 2" xfId="19972"/>
    <cellStyle name="20% - Accent2 13 5" xfId="6690"/>
    <cellStyle name="20% - Accent2 13 5 2" xfId="17978"/>
    <cellStyle name="20% - Accent2 13 6" xfId="4696"/>
    <cellStyle name="20% - Accent2 13 6 2" xfId="15984"/>
    <cellStyle name="20% - Accent2 13 7" xfId="13990"/>
    <cellStyle name="20% - Accent2 13 8" xfId="12676"/>
    <cellStyle name="20% - Accent2 14" xfId="741"/>
    <cellStyle name="20% - Accent2 14 2" xfId="3697"/>
    <cellStyle name="20% - Accent2 14 2 2" xfId="11676"/>
    <cellStyle name="20% - Accent2 14 2 2 2" xfId="22964"/>
    <cellStyle name="20% - Accent2 14 2 3" xfId="9682"/>
    <cellStyle name="20% - Accent2 14 2 3 2" xfId="20970"/>
    <cellStyle name="20% - Accent2 14 2 4" xfId="7688"/>
    <cellStyle name="20% - Accent2 14 2 4 2" xfId="18976"/>
    <cellStyle name="20% - Accent2 14 2 5" xfId="5694"/>
    <cellStyle name="20% - Accent2 14 2 5 2" xfId="16982"/>
    <cellStyle name="20% - Accent2 14 2 6" xfId="14988"/>
    <cellStyle name="20% - Accent2 14 3" xfId="10679"/>
    <cellStyle name="20% - Accent2 14 3 2" xfId="21967"/>
    <cellStyle name="20% - Accent2 14 4" xfId="8685"/>
    <cellStyle name="20% - Accent2 14 4 2" xfId="19973"/>
    <cellStyle name="20% - Accent2 14 5" xfId="6691"/>
    <cellStyle name="20% - Accent2 14 5 2" xfId="17979"/>
    <cellStyle name="20% - Accent2 14 6" xfId="4697"/>
    <cellStyle name="20% - Accent2 14 6 2" xfId="15985"/>
    <cellStyle name="20% - Accent2 14 7" xfId="13991"/>
    <cellStyle name="20% - Accent2 14 8" xfId="12677"/>
    <cellStyle name="20% - Accent2 15" xfId="742"/>
    <cellStyle name="20% - Accent2 15 2" xfId="3698"/>
    <cellStyle name="20% - Accent2 15 2 2" xfId="11677"/>
    <cellStyle name="20% - Accent2 15 2 2 2" xfId="22965"/>
    <cellStyle name="20% - Accent2 15 2 3" xfId="9683"/>
    <cellStyle name="20% - Accent2 15 2 3 2" xfId="20971"/>
    <cellStyle name="20% - Accent2 15 2 4" xfId="7689"/>
    <cellStyle name="20% - Accent2 15 2 4 2" xfId="18977"/>
    <cellStyle name="20% - Accent2 15 2 5" xfId="5695"/>
    <cellStyle name="20% - Accent2 15 2 5 2" xfId="16983"/>
    <cellStyle name="20% - Accent2 15 2 6" xfId="14989"/>
    <cellStyle name="20% - Accent2 15 3" xfId="10680"/>
    <cellStyle name="20% - Accent2 15 3 2" xfId="21968"/>
    <cellStyle name="20% - Accent2 15 4" xfId="8686"/>
    <cellStyle name="20% - Accent2 15 4 2" xfId="19974"/>
    <cellStyle name="20% - Accent2 15 5" xfId="6692"/>
    <cellStyle name="20% - Accent2 15 5 2" xfId="17980"/>
    <cellStyle name="20% - Accent2 15 6" xfId="4698"/>
    <cellStyle name="20% - Accent2 15 6 2" xfId="15986"/>
    <cellStyle name="20% - Accent2 15 7" xfId="13992"/>
    <cellStyle name="20% - Accent2 15 8" xfId="12678"/>
    <cellStyle name="20% - Accent2 16" xfId="743"/>
    <cellStyle name="20% - Accent2 16 2" xfId="3699"/>
    <cellStyle name="20% - Accent2 16 2 2" xfId="11678"/>
    <cellStyle name="20% - Accent2 16 2 2 2" xfId="22966"/>
    <cellStyle name="20% - Accent2 16 2 3" xfId="9684"/>
    <cellStyle name="20% - Accent2 16 2 3 2" xfId="20972"/>
    <cellStyle name="20% - Accent2 16 2 4" xfId="7690"/>
    <cellStyle name="20% - Accent2 16 2 4 2" xfId="18978"/>
    <cellStyle name="20% - Accent2 16 2 5" xfId="5696"/>
    <cellStyle name="20% - Accent2 16 2 5 2" xfId="16984"/>
    <cellStyle name="20% - Accent2 16 2 6" xfId="14990"/>
    <cellStyle name="20% - Accent2 16 3" xfId="10681"/>
    <cellStyle name="20% - Accent2 16 3 2" xfId="21969"/>
    <cellStyle name="20% - Accent2 16 4" xfId="8687"/>
    <cellStyle name="20% - Accent2 16 4 2" xfId="19975"/>
    <cellStyle name="20% - Accent2 16 5" xfId="6693"/>
    <cellStyle name="20% - Accent2 16 5 2" xfId="17981"/>
    <cellStyle name="20% - Accent2 16 6" xfId="4699"/>
    <cellStyle name="20% - Accent2 16 6 2" xfId="15987"/>
    <cellStyle name="20% - Accent2 16 7" xfId="13993"/>
    <cellStyle name="20% - Accent2 16 8" xfId="12679"/>
    <cellStyle name="20% - Accent2 17" xfId="744"/>
    <cellStyle name="20% - Accent2 17 2" xfId="3700"/>
    <cellStyle name="20% - Accent2 17 2 2" xfId="11679"/>
    <cellStyle name="20% - Accent2 17 2 2 2" xfId="22967"/>
    <cellStyle name="20% - Accent2 17 2 3" xfId="9685"/>
    <cellStyle name="20% - Accent2 17 2 3 2" xfId="20973"/>
    <cellStyle name="20% - Accent2 17 2 4" xfId="7691"/>
    <cellStyle name="20% - Accent2 17 2 4 2" xfId="18979"/>
    <cellStyle name="20% - Accent2 17 2 5" xfId="5697"/>
    <cellStyle name="20% - Accent2 17 2 5 2" xfId="16985"/>
    <cellStyle name="20% - Accent2 17 2 6" xfId="14991"/>
    <cellStyle name="20% - Accent2 17 3" xfId="10682"/>
    <cellStyle name="20% - Accent2 17 3 2" xfId="21970"/>
    <cellStyle name="20% - Accent2 17 4" xfId="8688"/>
    <cellStyle name="20% - Accent2 17 4 2" xfId="19976"/>
    <cellStyle name="20% - Accent2 17 5" xfId="6694"/>
    <cellStyle name="20% - Accent2 17 5 2" xfId="17982"/>
    <cellStyle name="20% - Accent2 17 6" xfId="4700"/>
    <cellStyle name="20% - Accent2 17 6 2" xfId="15988"/>
    <cellStyle name="20% - Accent2 17 7" xfId="13994"/>
    <cellStyle name="20% - Accent2 17 8" xfId="12680"/>
    <cellStyle name="20% - Accent2 18" xfId="745"/>
    <cellStyle name="20% - Accent2 18 2" xfId="3701"/>
    <cellStyle name="20% - Accent2 18 2 2" xfId="11680"/>
    <cellStyle name="20% - Accent2 18 2 2 2" xfId="22968"/>
    <cellStyle name="20% - Accent2 18 2 3" xfId="9686"/>
    <cellStyle name="20% - Accent2 18 2 3 2" xfId="20974"/>
    <cellStyle name="20% - Accent2 18 2 4" xfId="7692"/>
    <cellStyle name="20% - Accent2 18 2 4 2" xfId="18980"/>
    <cellStyle name="20% - Accent2 18 2 5" xfId="5698"/>
    <cellStyle name="20% - Accent2 18 2 5 2" xfId="16986"/>
    <cellStyle name="20% - Accent2 18 2 6" xfId="14992"/>
    <cellStyle name="20% - Accent2 18 3" xfId="10683"/>
    <cellStyle name="20% - Accent2 18 3 2" xfId="21971"/>
    <cellStyle name="20% - Accent2 18 4" xfId="8689"/>
    <cellStyle name="20% - Accent2 18 4 2" xfId="19977"/>
    <cellStyle name="20% - Accent2 18 5" xfId="6695"/>
    <cellStyle name="20% - Accent2 18 5 2" xfId="17983"/>
    <cellStyle name="20% - Accent2 18 6" xfId="4701"/>
    <cellStyle name="20% - Accent2 18 6 2" xfId="15989"/>
    <cellStyle name="20% - Accent2 18 7" xfId="13995"/>
    <cellStyle name="20% - Accent2 18 8" xfId="12681"/>
    <cellStyle name="20% - Accent2 19" xfId="746"/>
    <cellStyle name="20% - Accent2 19 2" xfId="3702"/>
    <cellStyle name="20% - Accent2 19 2 2" xfId="11681"/>
    <cellStyle name="20% - Accent2 19 2 2 2" xfId="22969"/>
    <cellStyle name="20% - Accent2 19 2 3" xfId="9687"/>
    <cellStyle name="20% - Accent2 19 2 3 2" xfId="20975"/>
    <cellStyle name="20% - Accent2 19 2 4" xfId="7693"/>
    <cellStyle name="20% - Accent2 19 2 4 2" xfId="18981"/>
    <cellStyle name="20% - Accent2 19 2 5" xfId="5699"/>
    <cellStyle name="20% - Accent2 19 2 5 2" xfId="16987"/>
    <cellStyle name="20% - Accent2 19 2 6" xfId="14993"/>
    <cellStyle name="20% - Accent2 19 3" xfId="10684"/>
    <cellStyle name="20% - Accent2 19 3 2" xfId="21972"/>
    <cellStyle name="20% - Accent2 19 4" xfId="8690"/>
    <cellStyle name="20% - Accent2 19 4 2" xfId="19978"/>
    <cellStyle name="20% - Accent2 19 5" xfId="6696"/>
    <cellStyle name="20% - Accent2 19 5 2" xfId="17984"/>
    <cellStyle name="20% - Accent2 19 6" xfId="4702"/>
    <cellStyle name="20% - Accent2 19 6 2" xfId="15990"/>
    <cellStyle name="20% - Accent2 19 7" xfId="13996"/>
    <cellStyle name="20% - Accent2 19 8" xfId="12682"/>
    <cellStyle name="20% - Accent2 2" xfId="747"/>
    <cellStyle name="20% - Accent2 2 10" xfId="24565"/>
    <cellStyle name="20% - Accent2 2 11" xfId="24955"/>
    <cellStyle name="20% - Accent2 2 2" xfId="3703"/>
    <cellStyle name="20% - Accent2 2 2 2" xfId="11682"/>
    <cellStyle name="20% - Accent2 2 2 2 2" xfId="22970"/>
    <cellStyle name="20% - Accent2 2 2 3" xfId="9688"/>
    <cellStyle name="20% - Accent2 2 2 3 2" xfId="20976"/>
    <cellStyle name="20% - Accent2 2 2 4" xfId="7694"/>
    <cellStyle name="20% - Accent2 2 2 4 2" xfId="18982"/>
    <cellStyle name="20% - Accent2 2 2 5" xfId="5700"/>
    <cellStyle name="20% - Accent2 2 2 5 2" xfId="16988"/>
    <cellStyle name="20% - Accent2 2 2 6" xfId="14994"/>
    <cellStyle name="20% - Accent2 2 2 7" xfId="24326"/>
    <cellStyle name="20% - Accent2 2 2 8" xfId="24790"/>
    <cellStyle name="20% - Accent2 2 2 9" xfId="25157"/>
    <cellStyle name="20% - Accent2 2 3" xfId="10685"/>
    <cellStyle name="20% - Accent2 2 3 2" xfId="21973"/>
    <cellStyle name="20% - Accent2 2 4" xfId="8691"/>
    <cellStyle name="20% - Accent2 2 4 2" xfId="19979"/>
    <cellStyle name="20% - Accent2 2 5" xfId="6697"/>
    <cellStyle name="20% - Accent2 2 5 2" xfId="17985"/>
    <cellStyle name="20% - Accent2 2 6" xfId="4703"/>
    <cellStyle name="20% - Accent2 2 6 2" xfId="15991"/>
    <cellStyle name="20% - Accent2 2 7" xfId="13997"/>
    <cellStyle name="20% - Accent2 2 8" xfId="12683"/>
    <cellStyle name="20% - Accent2 2 9" xfId="23938"/>
    <cellStyle name="20% - Accent2 20" xfId="748"/>
    <cellStyle name="20% - Accent2 20 2" xfId="3704"/>
    <cellStyle name="20% - Accent2 20 2 2" xfId="11683"/>
    <cellStyle name="20% - Accent2 20 2 2 2" xfId="22971"/>
    <cellStyle name="20% - Accent2 20 2 3" xfId="9689"/>
    <cellStyle name="20% - Accent2 20 2 3 2" xfId="20977"/>
    <cellStyle name="20% - Accent2 20 2 4" xfId="7695"/>
    <cellStyle name="20% - Accent2 20 2 4 2" xfId="18983"/>
    <cellStyle name="20% - Accent2 20 2 5" xfId="5701"/>
    <cellStyle name="20% - Accent2 20 2 5 2" xfId="16989"/>
    <cellStyle name="20% - Accent2 20 2 6" xfId="14995"/>
    <cellStyle name="20% - Accent2 20 3" xfId="10686"/>
    <cellStyle name="20% - Accent2 20 3 2" xfId="21974"/>
    <cellStyle name="20% - Accent2 20 4" xfId="8692"/>
    <cellStyle name="20% - Accent2 20 4 2" xfId="19980"/>
    <cellStyle name="20% - Accent2 20 5" xfId="6698"/>
    <cellStyle name="20% - Accent2 20 5 2" xfId="17986"/>
    <cellStyle name="20% - Accent2 20 6" xfId="4704"/>
    <cellStyle name="20% - Accent2 20 6 2" xfId="15992"/>
    <cellStyle name="20% - Accent2 20 7" xfId="13998"/>
    <cellStyle name="20% - Accent2 20 8" xfId="12684"/>
    <cellStyle name="20% - Accent2 21" xfId="749"/>
    <cellStyle name="20% - Accent2 21 2" xfId="3705"/>
    <cellStyle name="20% - Accent2 21 2 2" xfId="11684"/>
    <cellStyle name="20% - Accent2 21 2 2 2" xfId="22972"/>
    <cellStyle name="20% - Accent2 21 2 3" xfId="9690"/>
    <cellStyle name="20% - Accent2 21 2 3 2" xfId="20978"/>
    <cellStyle name="20% - Accent2 21 2 4" xfId="7696"/>
    <cellStyle name="20% - Accent2 21 2 4 2" xfId="18984"/>
    <cellStyle name="20% - Accent2 21 2 5" xfId="5702"/>
    <cellStyle name="20% - Accent2 21 2 5 2" xfId="16990"/>
    <cellStyle name="20% - Accent2 21 2 6" xfId="14996"/>
    <cellStyle name="20% - Accent2 21 3" xfId="10687"/>
    <cellStyle name="20% - Accent2 21 3 2" xfId="21975"/>
    <cellStyle name="20% - Accent2 21 4" xfId="8693"/>
    <cellStyle name="20% - Accent2 21 4 2" xfId="19981"/>
    <cellStyle name="20% - Accent2 21 5" xfId="6699"/>
    <cellStyle name="20% - Accent2 21 5 2" xfId="17987"/>
    <cellStyle name="20% - Accent2 21 6" xfId="4705"/>
    <cellStyle name="20% - Accent2 21 6 2" xfId="15993"/>
    <cellStyle name="20% - Accent2 21 7" xfId="13999"/>
    <cellStyle name="20% - Accent2 21 8" xfId="12685"/>
    <cellStyle name="20% - Accent2 22" xfId="750"/>
    <cellStyle name="20% - Accent2 22 2" xfId="3706"/>
    <cellStyle name="20% - Accent2 22 2 2" xfId="11685"/>
    <cellStyle name="20% - Accent2 22 2 2 2" xfId="22973"/>
    <cellStyle name="20% - Accent2 22 2 3" xfId="9691"/>
    <cellStyle name="20% - Accent2 22 2 3 2" xfId="20979"/>
    <cellStyle name="20% - Accent2 22 2 4" xfId="7697"/>
    <cellStyle name="20% - Accent2 22 2 4 2" xfId="18985"/>
    <cellStyle name="20% - Accent2 22 2 5" xfId="5703"/>
    <cellStyle name="20% - Accent2 22 2 5 2" xfId="16991"/>
    <cellStyle name="20% - Accent2 22 2 6" xfId="14997"/>
    <cellStyle name="20% - Accent2 22 3" xfId="10688"/>
    <cellStyle name="20% - Accent2 22 3 2" xfId="21976"/>
    <cellStyle name="20% - Accent2 22 4" xfId="8694"/>
    <cellStyle name="20% - Accent2 22 4 2" xfId="19982"/>
    <cellStyle name="20% - Accent2 22 5" xfId="6700"/>
    <cellStyle name="20% - Accent2 22 5 2" xfId="17988"/>
    <cellStyle name="20% - Accent2 22 6" xfId="4706"/>
    <cellStyle name="20% - Accent2 22 6 2" xfId="15994"/>
    <cellStyle name="20% - Accent2 22 7" xfId="14000"/>
    <cellStyle name="20% - Accent2 22 8" xfId="12686"/>
    <cellStyle name="20% - Accent2 23" xfId="751"/>
    <cellStyle name="20% - Accent2 23 2" xfId="3707"/>
    <cellStyle name="20% - Accent2 23 2 2" xfId="11686"/>
    <cellStyle name="20% - Accent2 23 2 2 2" xfId="22974"/>
    <cellStyle name="20% - Accent2 23 2 3" xfId="9692"/>
    <cellStyle name="20% - Accent2 23 2 3 2" xfId="20980"/>
    <cellStyle name="20% - Accent2 23 2 4" xfId="7698"/>
    <cellStyle name="20% - Accent2 23 2 4 2" xfId="18986"/>
    <cellStyle name="20% - Accent2 23 2 5" xfId="5704"/>
    <cellStyle name="20% - Accent2 23 2 5 2" xfId="16992"/>
    <cellStyle name="20% - Accent2 23 2 6" xfId="14998"/>
    <cellStyle name="20% - Accent2 23 3" xfId="10689"/>
    <cellStyle name="20% - Accent2 23 3 2" xfId="21977"/>
    <cellStyle name="20% - Accent2 23 4" xfId="8695"/>
    <cellStyle name="20% - Accent2 23 4 2" xfId="19983"/>
    <cellStyle name="20% - Accent2 23 5" xfId="6701"/>
    <cellStyle name="20% - Accent2 23 5 2" xfId="17989"/>
    <cellStyle name="20% - Accent2 23 6" xfId="4707"/>
    <cellStyle name="20% - Accent2 23 6 2" xfId="15995"/>
    <cellStyle name="20% - Accent2 23 7" xfId="14001"/>
    <cellStyle name="20% - Accent2 23 8" xfId="12687"/>
    <cellStyle name="20% - Accent2 24" xfId="752"/>
    <cellStyle name="20% - Accent2 24 2" xfId="3708"/>
    <cellStyle name="20% - Accent2 24 2 2" xfId="11687"/>
    <cellStyle name="20% - Accent2 24 2 2 2" xfId="22975"/>
    <cellStyle name="20% - Accent2 24 2 3" xfId="9693"/>
    <cellStyle name="20% - Accent2 24 2 3 2" xfId="20981"/>
    <cellStyle name="20% - Accent2 24 2 4" xfId="7699"/>
    <cellStyle name="20% - Accent2 24 2 4 2" xfId="18987"/>
    <cellStyle name="20% - Accent2 24 2 5" xfId="5705"/>
    <cellStyle name="20% - Accent2 24 2 5 2" xfId="16993"/>
    <cellStyle name="20% - Accent2 24 2 6" xfId="14999"/>
    <cellStyle name="20% - Accent2 24 3" xfId="10690"/>
    <cellStyle name="20% - Accent2 24 3 2" xfId="21978"/>
    <cellStyle name="20% - Accent2 24 4" xfId="8696"/>
    <cellStyle name="20% - Accent2 24 4 2" xfId="19984"/>
    <cellStyle name="20% - Accent2 24 5" xfId="6702"/>
    <cellStyle name="20% - Accent2 24 5 2" xfId="17990"/>
    <cellStyle name="20% - Accent2 24 6" xfId="4708"/>
    <cellStyle name="20% - Accent2 24 6 2" xfId="15996"/>
    <cellStyle name="20% - Accent2 24 7" xfId="14002"/>
    <cellStyle name="20% - Accent2 24 8" xfId="12688"/>
    <cellStyle name="20% - Accent2 25" xfId="753"/>
    <cellStyle name="20% - Accent2 25 2" xfId="3709"/>
    <cellStyle name="20% - Accent2 25 2 2" xfId="11688"/>
    <cellStyle name="20% - Accent2 25 2 2 2" xfId="22976"/>
    <cellStyle name="20% - Accent2 25 2 3" xfId="9694"/>
    <cellStyle name="20% - Accent2 25 2 3 2" xfId="20982"/>
    <cellStyle name="20% - Accent2 25 2 4" xfId="7700"/>
    <cellStyle name="20% - Accent2 25 2 4 2" xfId="18988"/>
    <cellStyle name="20% - Accent2 25 2 5" xfId="5706"/>
    <cellStyle name="20% - Accent2 25 2 5 2" xfId="16994"/>
    <cellStyle name="20% - Accent2 25 2 6" xfId="15000"/>
    <cellStyle name="20% - Accent2 25 3" xfId="10691"/>
    <cellStyle name="20% - Accent2 25 3 2" xfId="21979"/>
    <cellStyle name="20% - Accent2 25 4" xfId="8697"/>
    <cellStyle name="20% - Accent2 25 4 2" xfId="19985"/>
    <cellStyle name="20% - Accent2 25 5" xfId="6703"/>
    <cellStyle name="20% - Accent2 25 5 2" xfId="17991"/>
    <cellStyle name="20% - Accent2 25 6" xfId="4709"/>
    <cellStyle name="20% - Accent2 25 6 2" xfId="15997"/>
    <cellStyle name="20% - Accent2 25 7" xfId="14003"/>
    <cellStyle name="20% - Accent2 25 8" xfId="12689"/>
    <cellStyle name="20% - Accent2 26" xfId="754"/>
    <cellStyle name="20% - Accent2 26 2" xfId="3710"/>
    <cellStyle name="20% - Accent2 26 2 2" xfId="11689"/>
    <cellStyle name="20% - Accent2 26 2 2 2" xfId="22977"/>
    <cellStyle name="20% - Accent2 26 2 3" xfId="9695"/>
    <cellStyle name="20% - Accent2 26 2 3 2" xfId="20983"/>
    <cellStyle name="20% - Accent2 26 2 4" xfId="7701"/>
    <cellStyle name="20% - Accent2 26 2 4 2" xfId="18989"/>
    <cellStyle name="20% - Accent2 26 2 5" xfId="5707"/>
    <cellStyle name="20% - Accent2 26 2 5 2" xfId="16995"/>
    <cellStyle name="20% - Accent2 26 2 6" xfId="15001"/>
    <cellStyle name="20% - Accent2 26 3" xfId="10692"/>
    <cellStyle name="20% - Accent2 26 3 2" xfId="21980"/>
    <cellStyle name="20% - Accent2 26 4" xfId="8698"/>
    <cellStyle name="20% - Accent2 26 4 2" xfId="19986"/>
    <cellStyle name="20% - Accent2 26 5" xfId="6704"/>
    <cellStyle name="20% - Accent2 26 5 2" xfId="17992"/>
    <cellStyle name="20% - Accent2 26 6" xfId="4710"/>
    <cellStyle name="20% - Accent2 26 6 2" xfId="15998"/>
    <cellStyle name="20% - Accent2 26 7" xfId="14004"/>
    <cellStyle name="20% - Accent2 26 8" xfId="12690"/>
    <cellStyle name="20% - Accent2 27" xfId="755"/>
    <cellStyle name="20% - Accent2 27 2" xfId="3711"/>
    <cellStyle name="20% - Accent2 27 2 2" xfId="11690"/>
    <cellStyle name="20% - Accent2 27 2 2 2" xfId="22978"/>
    <cellStyle name="20% - Accent2 27 2 3" xfId="9696"/>
    <cellStyle name="20% - Accent2 27 2 3 2" xfId="20984"/>
    <cellStyle name="20% - Accent2 27 2 4" xfId="7702"/>
    <cellStyle name="20% - Accent2 27 2 4 2" xfId="18990"/>
    <cellStyle name="20% - Accent2 27 2 5" xfId="5708"/>
    <cellStyle name="20% - Accent2 27 2 5 2" xfId="16996"/>
    <cellStyle name="20% - Accent2 27 2 6" xfId="15002"/>
    <cellStyle name="20% - Accent2 27 3" xfId="10693"/>
    <cellStyle name="20% - Accent2 27 3 2" xfId="21981"/>
    <cellStyle name="20% - Accent2 27 4" xfId="8699"/>
    <cellStyle name="20% - Accent2 27 4 2" xfId="19987"/>
    <cellStyle name="20% - Accent2 27 5" xfId="6705"/>
    <cellStyle name="20% - Accent2 27 5 2" xfId="17993"/>
    <cellStyle name="20% - Accent2 27 6" xfId="4711"/>
    <cellStyle name="20% - Accent2 27 6 2" xfId="15999"/>
    <cellStyle name="20% - Accent2 27 7" xfId="14005"/>
    <cellStyle name="20% - Accent2 27 8" xfId="12691"/>
    <cellStyle name="20% - Accent2 28" xfId="756"/>
    <cellStyle name="20% - Accent2 28 2" xfId="3712"/>
    <cellStyle name="20% - Accent2 28 2 2" xfId="11691"/>
    <cellStyle name="20% - Accent2 28 2 2 2" xfId="22979"/>
    <cellStyle name="20% - Accent2 28 2 3" xfId="9697"/>
    <cellStyle name="20% - Accent2 28 2 3 2" xfId="20985"/>
    <cellStyle name="20% - Accent2 28 2 4" xfId="7703"/>
    <cellStyle name="20% - Accent2 28 2 4 2" xfId="18991"/>
    <cellStyle name="20% - Accent2 28 2 5" xfId="5709"/>
    <cellStyle name="20% - Accent2 28 2 5 2" xfId="16997"/>
    <cellStyle name="20% - Accent2 28 2 6" xfId="15003"/>
    <cellStyle name="20% - Accent2 28 3" xfId="10694"/>
    <cellStyle name="20% - Accent2 28 3 2" xfId="21982"/>
    <cellStyle name="20% - Accent2 28 4" xfId="8700"/>
    <cellStyle name="20% - Accent2 28 4 2" xfId="19988"/>
    <cellStyle name="20% - Accent2 28 5" xfId="6706"/>
    <cellStyle name="20% - Accent2 28 5 2" xfId="17994"/>
    <cellStyle name="20% - Accent2 28 6" xfId="4712"/>
    <cellStyle name="20% - Accent2 28 6 2" xfId="16000"/>
    <cellStyle name="20% - Accent2 28 7" xfId="14006"/>
    <cellStyle name="20% - Accent2 28 8" xfId="12692"/>
    <cellStyle name="20% - Accent2 29" xfId="757"/>
    <cellStyle name="20% - Accent2 29 2" xfId="3713"/>
    <cellStyle name="20% - Accent2 29 2 2" xfId="11692"/>
    <cellStyle name="20% - Accent2 29 2 2 2" xfId="22980"/>
    <cellStyle name="20% - Accent2 29 2 3" xfId="9698"/>
    <cellStyle name="20% - Accent2 29 2 3 2" xfId="20986"/>
    <cellStyle name="20% - Accent2 29 2 4" xfId="7704"/>
    <cellStyle name="20% - Accent2 29 2 4 2" xfId="18992"/>
    <cellStyle name="20% - Accent2 29 2 5" xfId="5710"/>
    <cellStyle name="20% - Accent2 29 2 5 2" xfId="16998"/>
    <cellStyle name="20% - Accent2 29 2 6" xfId="15004"/>
    <cellStyle name="20% - Accent2 29 3" xfId="10695"/>
    <cellStyle name="20% - Accent2 29 3 2" xfId="21983"/>
    <cellStyle name="20% - Accent2 29 4" xfId="8701"/>
    <cellStyle name="20% - Accent2 29 4 2" xfId="19989"/>
    <cellStyle name="20% - Accent2 29 5" xfId="6707"/>
    <cellStyle name="20% - Accent2 29 5 2" xfId="17995"/>
    <cellStyle name="20% - Accent2 29 6" xfId="4713"/>
    <cellStyle name="20% - Accent2 29 6 2" xfId="16001"/>
    <cellStyle name="20% - Accent2 29 7" xfId="14007"/>
    <cellStyle name="20% - Accent2 29 8" xfId="12693"/>
    <cellStyle name="20% - Accent2 3" xfId="758"/>
    <cellStyle name="20% - Accent2 3 10" xfId="24566"/>
    <cellStyle name="20% - Accent2 3 11" xfId="24956"/>
    <cellStyle name="20% - Accent2 3 2" xfId="3714"/>
    <cellStyle name="20% - Accent2 3 2 2" xfId="11693"/>
    <cellStyle name="20% - Accent2 3 2 2 2" xfId="22981"/>
    <cellStyle name="20% - Accent2 3 2 3" xfId="9699"/>
    <cellStyle name="20% - Accent2 3 2 3 2" xfId="20987"/>
    <cellStyle name="20% - Accent2 3 2 4" xfId="7705"/>
    <cellStyle name="20% - Accent2 3 2 4 2" xfId="18993"/>
    <cellStyle name="20% - Accent2 3 2 5" xfId="5711"/>
    <cellStyle name="20% - Accent2 3 2 5 2" xfId="16999"/>
    <cellStyle name="20% - Accent2 3 2 6" xfId="15005"/>
    <cellStyle name="20% - Accent2 3 2 7" xfId="24327"/>
    <cellStyle name="20% - Accent2 3 2 8" xfId="24791"/>
    <cellStyle name="20% - Accent2 3 2 9" xfId="25158"/>
    <cellStyle name="20% - Accent2 3 3" xfId="10696"/>
    <cellStyle name="20% - Accent2 3 3 2" xfId="21984"/>
    <cellStyle name="20% - Accent2 3 4" xfId="8702"/>
    <cellStyle name="20% - Accent2 3 4 2" xfId="19990"/>
    <cellStyle name="20% - Accent2 3 5" xfId="6708"/>
    <cellStyle name="20% - Accent2 3 5 2" xfId="17996"/>
    <cellStyle name="20% - Accent2 3 6" xfId="4714"/>
    <cellStyle name="20% - Accent2 3 6 2" xfId="16002"/>
    <cellStyle name="20% - Accent2 3 7" xfId="14008"/>
    <cellStyle name="20% - Accent2 3 8" xfId="12694"/>
    <cellStyle name="20% - Accent2 3 9" xfId="23939"/>
    <cellStyle name="20% - Accent2 30" xfId="759"/>
    <cellStyle name="20% - Accent2 30 2" xfId="3715"/>
    <cellStyle name="20% - Accent2 30 2 2" xfId="11694"/>
    <cellStyle name="20% - Accent2 30 2 2 2" xfId="22982"/>
    <cellStyle name="20% - Accent2 30 2 3" xfId="9700"/>
    <cellStyle name="20% - Accent2 30 2 3 2" xfId="20988"/>
    <cellStyle name="20% - Accent2 30 2 4" xfId="7706"/>
    <cellStyle name="20% - Accent2 30 2 4 2" xfId="18994"/>
    <cellStyle name="20% - Accent2 30 2 5" xfId="5712"/>
    <cellStyle name="20% - Accent2 30 2 5 2" xfId="17000"/>
    <cellStyle name="20% - Accent2 30 2 6" xfId="15006"/>
    <cellStyle name="20% - Accent2 30 3" xfId="10697"/>
    <cellStyle name="20% - Accent2 30 3 2" xfId="21985"/>
    <cellStyle name="20% - Accent2 30 4" xfId="8703"/>
    <cellStyle name="20% - Accent2 30 4 2" xfId="19991"/>
    <cellStyle name="20% - Accent2 30 5" xfId="6709"/>
    <cellStyle name="20% - Accent2 30 5 2" xfId="17997"/>
    <cellStyle name="20% - Accent2 30 6" xfId="4715"/>
    <cellStyle name="20% - Accent2 30 6 2" xfId="16003"/>
    <cellStyle name="20% - Accent2 30 7" xfId="14009"/>
    <cellStyle name="20% - Accent2 30 8" xfId="12695"/>
    <cellStyle name="20% - Accent2 31" xfId="760"/>
    <cellStyle name="20% - Accent2 31 2" xfId="3716"/>
    <cellStyle name="20% - Accent2 31 2 2" xfId="11695"/>
    <cellStyle name="20% - Accent2 31 2 2 2" xfId="22983"/>
    <cellStyle name="20% - Accent2 31 2 3" xfId="9701"/>
    <cellStyle name="20% - Accent2 31 2 3 2" xfId="20989"/>
    <cellStyle name="20% - Accent2 31 2 4" xfId="7707"/>
    <cellStyle name="20% - Accent2 31 2 4 2" xfId="18995"/>
    <cellStyle name="20% - Accent2 31 2 5" xfId="5713"/>
    <cellStyle name="20% - Accent2 31 2 5 2" xfId="17001"/>
    <cellStyle name="20% - Accent2 31 2 6" xfId="15007"/>
    <cellStyle name="20% - Accent2 31 3" xfId="10698"/>
    <cellStyle name="20% - Accent2 31 3 2" xfId="21986"/>
    <cellStyle name="20% - Accent2 31 4" xfId="8704"/>
    <cellStyle name="20% - Accent2 31 4 2" xfId="19992"/>
    <cellStyle name="20% - Accent2 31 5" xfId="6710"/>
    <cellStyle name="20% - Accent2 31 5 2" xfId="17998"/>
    <cellStyle name="20% - Accent2 31 6" xfId="4716"/>
    <cellStyle name="20% - Accent2 31 6 2" xfId="16004"/>
    <cellStyle name="20% - Accent2 31 7" xfId="14010"/>
    <cellStyle name="20% - Accent2 31 8" xfId="12696"/>
    <cellStyle name="20% - Accent2 32" xfId="761"/>
    <cellStyle name="20% - Accent2 32 2" xfId="3717"/>
    <cellStyle name="20% - Accent2 32 2 2" xfId="11696"/>
    <cellStyle name="20% - Accent2 32 2 2 2" xfId="22984"/>
    <cellStyle name="20% - Accent2 32 2 3" xfId="9702"/>
    <cellStyle name="20% - Accent2 32 2 3 2" xfId="20990"/>
    <cellStyle name="20% - Accent2 32 2 4" xfId="7708"/>
    <cellStyle name="20% - Accent2 32 2 4 2" xfId="18996"/>
    <cellStyle name="20% - Accent2 32 2 5" xfId="5714"/>
    <cellStyle name="20% - Accent2 32 2 5 2" xfId="17002"/>
    <cellStyle name="20% - Accent2 32 2 6" xfId="15008"/>
    <cellStyle name="20% - Accent2 32 3" xfId="10699"/>
    <cellStyle name="20% - Accent2 32 3 2" xfId="21987"/>
    <cellStyle name="20% - Accent2 32 4" xfId="8705"/>
    <cellStyle name="20% - Accent2 32 4 2" xfId="19993"/>
    <cellStyle name="20% - Accent2 32 5" xfId="6711"/>
    <cellStyle name="20% - Accent2 32 5 2" xfId="17999"/>
    <cellStyle name="20% - Accent2 32 6" xfId="4717"/>
    <cellStyle name="20% - Accent2 32 6 2" xfId="16005"/>
    <cellStyle name="20% - Accent2 32 7" xfId="14011"/>
    <cellStyle name="20% - Accent2 32 8" xfId="12697"/>
    <cellStyle name="20% - Accent2 33" xfId="762"/>
    <cellStyle name="20% - Accent2 33 2" xfId="3718"/>
    <cellStyle name="20% - Accent2 33 2 2" xfId="11697"/>
    <cellStyle name="20% - Accent2 33 2 2 2" xfId="22985"/>
    <cellStyle name="20% - Accent2 33 2 3" xfId="9703"/>
    <cellStyle name="20% - Accent2 33 2 3 2" xfId="20991"/>
    <cellStyle name="20% - Accent2 33 2 4" xfId="7709"/>
    <cellStyle name="20% - Accent2 33 2 4 2" xfId="18997"/>
    <cellStyle name="20% - Accent2 33 2 5" xfId="5715"/>
    <cellStyle name="20% - Accent2 33 2 5 2" xfId="17003"/>
    <cellStyle name="20% - Accent2 33 2 6" xfId="15009"/>
    <cellStyle name="20% - Accent2 33 3" xfId="10700"/>
    <cellStyle name="20% - Accent2 33 3 2" xfId="21988"/>
    <cellStyle name="20% - Accent2 33 4" xfId="8706"/>
    <cellStyle name="20% - Accent2 33 4 2" xfId="19994"/>
    <cellStyle name="20% - Accent2 33 5" xfId="6712"/>
    <cellStyle name="20% - Accent2 33 5 2" xfId="18000"/>
    <cellStyle name="20% - Accent2 33 6" xfId="4718"/>
    <cellStyle name="20% - Accent2 33 6 2" xfId="16006"/>
    <cellStyle name="20% - Accent2 33 7" xfId="14012"/>
    <cellStyle name="20% - Accent2 33 8" xfId="12698"/>
    <cellStyle name="20% - Accent2 34" xfId="763"/>
    <cellStyle name="20% - Accent2 34 2" xfId="3719"/>
    <cellStyle name="20% - Accent2 34 2 2" xfId="11698"/>
    <cellStyle name="20% - Accent2 34 2 2 2" xfId="22986"/>
    <cellStyle name="20% - Accent2 34 2 3" xfId="9704"/>
    <cellStyle name="20% - Accent2 34 2 3 2" xfId="20992"/>
    <cellStyle name="20% - Accent2 34 2 4" xfId="7710"/>
    <cellStyle name="20% - Accent2 34 2 4 2" xfId="18998"/>
    <cellStyle name="20% - Accent2 34 2 5" xfId="5716"/>
    <cellStyle name="20% - Accent2 34 2 5 2" xfId="17004"/>
    <cellStyle name="20% - Accent2 34 2 6" xfId="15010"/>
    <cellStyle name="20% - Accent2 34 3" xfId="10701"/>
    <cellStyle name="20% - Accent2 34 3 2" xfId="21989"/>
    <cellStyle name="20% - Accent2 34 4" xfId="8707"/>
    <cellStyle name="20% - Accent2 34 4 2" xfId="19995"/>
    <cellStyle name="20% - Accent2 34 5" xfId="6713"/>
    <cellStyle name="20% - Accent2 34 5 2" xfId="18001"/>
    <cellStyle name="20% - Accent2 34 6" xfId="4719"/>
    <cellStyle name="20% - Accent2 34 6 2" xfId="16007"/>
    <cellStyle name="20% - Accent2 34 7" xfId="14013"/>
    <cellStyle name="20% - Accent2 34 8" xfId="12699"/>
    <cellStyle name="20% - Accent2 35" xfId="764"/>
    <cellStyle name="20% - Accent2 35 2" xfId="3720"/>
    <cellStyle name="20% - Accent2 35 2 2" xfId="11699"/>
    <cellStyle name="20% - Accent2 35 2 2 2" xfId="22987"/>
    <cellStyle name="20% - Accent2 35 2 3" xfId="9705"/>
    <cellStyle name="20% - Accent2 35 2 3 2" xfId="20993"/>
    <cellStyle name="20% - Accent2 35 2 4" xfId="7711"/>
    <cellStyle name="20% - Accent2 35 2 4 2" xfId="18999"/>
    <cellStyle name="20% - Accent2 35 2 5" xfId="5717"/>
    <cellStyle name="20% - Accent2 35 2 5 2" xfId="17005"/>
    <cellStyle name="20% - Accent2 35 2 6" xfId="15011"/>
    <cellStyle name="20% - Accent2 35 3" xfId="10702"/>
    <cellStyle name="20% - Accent2 35 3 2" xfId="21990"/>
    <cellStyle name="20% - Accent2 35 4" xfId="8708"/>
    <cellStyle name="20% - Accent2 35 4 2" xfId="19996"/>
    <cellStyle name="20% - Accent2 35 5" xfId="6714"/>
    <cellStyle name="20% - Accent2 35 5 2" xfId="18002"/>
    <cellStyle name="20% - Accent2 35 6" xfId="4720"/>
    <cellStyle name="20% - Accent2 35 6 2" xfId="16008"/>
    <cellStyle name="20% - Accent2 35 7" xfId="14014"/>
    <cellStyle name="20% - Accent2 35 8" xfId="12700"/>
    <cellStyle name="20% - Accent2 36" xfId="765"/>
    <cellStyle name="20% - Accent2 36 2" xfId="3721"/>
    <cellStyle name="20% - Accent2 36 2 2" xfId="11700"/>
    <cellStyle name="20% - Accent2 36 2 2 2" xfId="22988"/>
    <cellStyle name="20% - Accent2 36 2 3" xfId="9706"/>
    <cellStyle name="20% - Accent2 36 2 3 2" xfId="20994"/>
    <cellStyle name="20% - Accent2 36 2 4" xfId="7712"/>
    <cellStyle name="20% - Accent2 36 2 4 2" xfId="19000"/>
    <cellStyle name="20% - Accent2 36 2 5" xfId="5718"/>
    <cellStyle name="20% - Accent2 36 2 5 2" xfId="17006"/>
    <cellStyle name="20% - Accent2 36 2 6" xfId="15012"/>
    <cellStyle name="20% - Accent2 36 3" xfId="10703"/>
    <cellStyle name="20% - Accent2 36 3 2" xfId="21991"/>
    <cellStyle name="20% - Accent2 36 4" xfId="8709"/>
    <cellStyle name="20% - Accent2 36 4 2" xfId="19997"/>
    <cellStyle name="20% - Accent2 36 5" xfId="6715"/>
    <cellStyle name="20% - Accent2 36 5 2" xfId="18003"/>
    <cellStyle name="20% - Accent2 36 6" xfId="4721"/>
    <cellStyle name="20% - Accent2 36 6 2" xfId="16009"/>
    <cellStyle name="20% - Accent2 36 7" xfId="14015"/>
    <cellStyle name="20% - Accent2 36 8" xfId="12701"/>
    <cellStyle name="20% - Accent2 37" xfId="766"/>
    <cellStyle name="20% - Accent2 37 2" xfId="3722"/>
    <cellStyle name="20% - Accent2 37 2 2" xfId="11701"/>
    <cellStyle name="20% - Accent2 37 2 2 2" xfId="22989"/>
    <cellStyle name="20% - Accent2 37 2 3" xfId="9707"/>
    <cellStyle name="20% - Accent2 37 2 3 2" xfId="20995"/>
    <cellStyle name="20% - Accent2 37 2 4" xfId="7713"/>
    <cellStyle name="20% - Accent2 37 2 4 2" xfId="19001"/>
    <cellStyle name="20% - Accent2 37 2 5" xfId="5719"/>
    <cellStyle name="20% - Accent2 37 2 5 2" xfId="17007"/>
    <cellStyle name="20% - Accent2 37 2 6" xfId="15013"/>
    <cellStyle name="20% - Accent2 37 3" xfId="10704"/>
    <cellStyle name="20% - Accent2 37 3 2" xfId="21992"/>
    <cellStyle name="20% - Accent2 37 4" xfId="8710"/>
    <cellStyle name="20% - Accent2 37 4 2" xfId="19998"/>
    <cellStyle name="20% - Accent2 37 5" xfId="6716"/>
    <cellStyle name="20% - Accent2 37 5 2" xfId="18004"/>
    <cellStyle name="20% - Accent2 37 6" xfId="4722"/>
    <cellStyle name="20% - Accent2 37 6 2" xfId="16010"/>
    <cellStyle name="20% - Accent2 37 7" xfId="14016"/>
    <cellStyle name="20% - Accent2 37 8" xfId="12702"/>
    <cellStyle name="20% - Accent2 38" xfId="767"/>
    <cellStyle name="20% - Accent2 38 2" xfId="3723"/>
    <cellStyle name="20% - Accent2 38 2 2" xfId="11702"/>
    <cellStyle name="20% - Accent2 38 2 2 2" xfId="22990"/>
    <cellStyle name="20% - Accent2 38 2 3" xfId="9708"/>
    <cellStyle name="20% - Accent2 38 2 3 2" xfId="20996"/>
    <cellStyle name="20% - Accent2 38 2 4" xfId="7714"/>
    <cellStyle name="20% - Accent2 38 2 4 2" xfId="19002"/>
    <cellStyle name="20% - Accent2 38 2 5" xfId="5720"/>
    <cellStyle name="20% - Accent2 38 2 5 2" xfId="17008"/>
    <cellStyle name="20% - Accent2 38 2 6" xfId="15014"/>
    <cellStyle name="20% - Accent2 38 3" xfId="10705"/>
    <cellStyle name="20% - Accent2 38 3 2" xfId="21993"/>
    <cellStyle name="20% - Accent2 38 4" xfId="8711"/>
    <cellStyle name="20% - Accent2 38 4 2" xfId="19999"/>
    <cellStyle name="20% - Accent2 38 5" xfId="6717"/>
    <cellStyle name="20% - Accent2 38 5 2" xfId="18005"/>
    <cellStyle name="20% - Accent2 38 6" xfId="4723"/>
    <cellStyle name="20% - Accent2 38 6 2" xfId="16011"/>
    <cellStyle name="20% - Accent2 38 7" xfId="14017"/>
    <cellStyle name="20% - Accent2 38 8" xfId="12703"/>
    <cellStyle name="20% - Accent2 39" xfId="768"/>
    <cellStyle name="20% - Accent2 39 2" xfId="3724"/>
    <cellStyle name="20% - Accent2 39 2 2" xfId="11703"/>
    <cellStyle name="20% - Accent2 39 2 2 2" xfId="22991"/>
    <cellStyle name="20% - Accent2 39 2 3" xfId="9709"/>
    <cellStyle name="20% - Accent2 39 2 3 2" xfId="20997"/>
    <cellStyle name="20% - Accent2 39 2 4" xfId="7715"/>
    <cellStyle name="20% - Accent2 39 2 4 2" xfId="19003"/>
    <cellStyle name="20% - Accent2 39 2 5" xfId="5721"/>
    <cellStyle name="20% - Accent2 39 2 5 2" xfId="17009"/>
    <cellStyle name="20% - Accent2 39 2 6" xfId="15015"/>
    <cellStyle name="20% - Accent2 39 3" xfId="10706"/>
    <cellStyle name="20% - Accent2 39 3 2" xfId="21994"/>
    <cellStyle name="20% - Accent2 39 4" xfId="8712"/>
    <cellStyle name="20% - Accent2 39 4 2" xfId="20000"/>
    <cellStyle name="20% - Accent2 39 5" xfId="6718"/>
    <cellStyle name="20% - Accent2 39 5 2" xfId="18006"/>
    <cellStyle name="20% - Accent2 39 6" xfId="4724"/>
    <cellStyle name="20% - Accent2 39 6 2" xfId="16012"/>
    <cellStyle name="20% - Accent2 39 7" xfId="14018"/>
    <cellStyle name="20% - Accent2 39 8" xfId="12704"/>
    <cellStyle name="20% - Accent2 4" xfId="769"/>
    <cellStyle name="20% - Accent2 4 10" xfId="24567"/>
    <cellStyle name="20% - Accent2 4 11" xfId="24957"/>
    <cellStyle name="20% - Accent2 4 2" xfId="3725"/>
    <cellStyle name="20% - Accent2 4 2 2" xfId="11704"/>
    <cellStyle name="20% - Accent2 4 2 2 2" xfId="22992"/>
    <cellStyle name="20% - Accent2 4 2 3" xfId="9710"/>
    <cellStyle name="20% - Accent2 4 2 3 2" xfId="20998"/>
    <cellStyle name="20% - Accent2 4 2 4" xfId="7716"/>
    <cellStyle name="20% - Accent2 4 2 4 2" xfId="19004"/>
    <cellStyle name="20% - Accent2 4 2 5" xfId="5722"/>
    <cellStyle name="20% - Accent2 4 2 5 2" xfId="17010"/>
    <cellStyle name="20% - Accent2 4 2 6" xfId="15016"/>
    <cellStyle name="20% - Accent2 4 2 7" xfId="24328"/>
    <cellStyle name="20% - Accent2 4 2 8" xfId="24792"/>
    <cellStyle name="20% - Accent2 4 2 9" xfId="25159"/>
    <cellStyle name="20% - Accent2 4 3" xfId="10707"/>
    <cellStyle name="20% - Accent2 4 3 2" xfId="21995"/>
    <cellStyle name="20% - Accent2 4 4" xfId="8713"/>
    <cellStyle name="20% - Accent2 4 4 2" xfId="20001"/>
    <cellStyle name="20% - Accent2 4 5" xfId="6719"/>
    <cellStyle name="20% - Accent2 4 5 2" xfId="18007"/>
    <cellStyle name="20% - Accent2 4 6" xfId="4725"/>
    <cellStyle name="20% - Accent2 4 6 2" xfId="16013"/>
    <cellStyle name="20% - Accent2 4 7" xfId="14019"/>
    <cellStyle name="20% - Accent2 4 8" xfId="12705"/>
    <cellStyle name="20% - Accent2 4 9" xfId="23940"/>
    <cellStyle name="20% - Accent2 40" xfId="770"/>
    <cellStyle name="20% - Accent2 40 2" xfId="3726"/>
    <cellStyle name="20% - Accent2 40 2 2" xfId="11705"/>
    <cellStyle name="20% - Accent2 40 2 2 2" xfId="22993"/>
    <cellStyle name="20% - Accent2 40 2 3" xfId="9711"/>
    <cellStyle name="20% - Accent2 40 2 3 2" xfId="20999"/>
    <cellStyle name="20% - Accent2 40 2 4" xfId="7717"/>
    <cellStyle name="20% - Accent2 40 2 4 2" xfId="19005"/>
    <cellStyle name="20% - Accent2 40 2 5" xfId="5723"/>
    <cellStyle name="20% - Accent2 40 2 5 2" xfId="17011"/>
    <cellStyle name="20% - Accent2 40 2 6" xfId="15017"/>
    <cellStyle name="20% - Accent2 40 3" xfId="10708"/>
    <cellStyle name="20% - Accent2 40 3 2" xfId="21996"/>
    <cellStyle name="20% - Accent2 40 4" xfId="8714"/>
    <cellStyle name="20% - Accent2 40 4 2" xfId="20002"/>
    <cellStyle name="20% - Accent2 40 5" xfId="6720"/>
    <cellStyle name="20% - Accent2 40 5 2" xfId="18008"/>
    <cellStyle name="20% - Accent2 40 6" xfId="4726"/>
    <cellStyle name="20% - Accent2 40 6 2" xfId="16014"/>
    <cellStyle name="20% - Accent2 40 7" xfId="14020"/>
    <cellStyle name="20% - Accent2 40 8" xfId="12706"/>
    <cellStyle name="20% - Accent2 41" xfId="771"/>
    <cellStyle name="20% - Accent2 41 2" xfId="3727"/>
    <cellStyle name="20% - Accent2 41 2 2" xfId="11706"/>
    <cellStyle name="20% - Accent2 41 2 2 2" xfId="22994"/>
    <cellStyle name="20% - Accent2 41 2 3" xfId="9712"/>
    <cellStyle name="20% - Accent2 41 2 3 2" xfId="21000"/>
    <cellStyle name="20% - Accent2 41 2 4" xfId="7718"/>
    <cellStyle name="20% - Accent2 41 2 4 2" xfId="19006"/>
    <cellStyle name="20% - Accent2 41 2 5" xfId="5724"/>
    <cellStyle name="20% - Accent2 41 2 5 2" xfId="17012"/>
    <cellStyle name="20% - Accent2 41 2 6" xfId="15018"/>
    <cellStyle name="20% - Accent2 41 3" xfId="10709"/>
    <cellStyle name="20% - Accent2 41 3 2" xfId="21997"/>
    <cellStyle name="20% - Accent2 41 4" xfId="8715"/>
    <cellStyle name="20% - Accent2 41 4 2" xfId="20003"/>
    <cellStyle name="20% - Accent2 41 5" xfId="6721"/>
    <cellStyle name="20% - Accent2 41 5 2" xfId="18009"/>
    <cellStyle name="20% - Accent2 41 6" xfId="4727"/>
    <cellStyle name="20% - Accent2 41 6 2" xfId="16015"/>
    <cellStyle name="20% - Accent2 41 7" xfId="14021"/>
    <cellStyle name="20% - Accent2 41 8" xfId="12707"/>
    <cellStyle name="20% - Accent2 42" xfId="772"/>
    <cellStyle name="20% - Accent2 42 2" xfId="3728"/>
    <cellStyle name="20% - Accent2 42 2 2" xfId="11707"/>
    <cellStyle name="20% - Accent2 42 2 2 2" xfId="22995"/>
    <cellStyle name="20% - Accent2 42 2 3" xfId="9713"/>
    <cellStyle name="20% - Accent2 42 2 3 2" xfId="21001"/>
    <cellStyle name="20% - Accent2 42 2 4" xfId="7719"/>
    <cellStyle name="20% - Accent2 42 2 4 2" xfId="19007"/>
    <cellStyle name="20% - Accent2 42 2 5" xfId="5725"/>
    <cellStyle name="20% - Accent2 42 2 5 2" xfId="17013"/>
    <cellStyle name="20% - Accent2 42 2 6" xfId="15019"/>
    <cellStyle name="20% - Accent2 42 3" xfId="10710"/>
    <cellStyle name="20% - Accent2 42 3 2" xfId="21998"/>
    <cellStyle name="20% - Accent2 42 4" xfId="8716"/>
    <cellStyle name="20% - Accent2 42 4 2" xfId="20004"/>
    <cellStyle name="20% - Accent2 42 5" xfId="6722"/>
    <cellStyle name="20% - Accent2 42 5 2" xfId="18010"/>
    <cellStyle name="20% - Accent2 42 6" xfId="4728"/>
    <cellStyle name="20% - Accent2 42 6 2" xfId="16016"/>
    <cellStyle name="20% - Accent2 42 7" xfId="14022"/>
    <cellStyle name="20% - Accent2 42 8" xfId="12708"/>
    <cellStyle name="20% - Accent2 43" xfId="773"/>
    <cellStyle name="20% - Accent2 43 2" xfId="3729"/>
    <cellStyle name="20% - Accent2 43 2 2" xfId="11708"/>
    <cellStyle name="20% - Accent2 43 2 2 2" xfId="22996"/>
    <cellStyle name="20% - Accent2 43 2 3" xfId="9714"/>
    <cellStyle name="20% - Accent2 43 2 3 2" xfId="21002"/>
    <cellStyle name="20% - Accent2 43 2 4" xfId="7720"/>
    <cellStyle name="20% - Accent2 43 2 4 2" xfId="19008"/>
    <cellStyle name="20% - Accent2 43 2 5" xfId="5726"/>
    <cellStyle name="20% - Accent2 43 2 5 2" xfId="17014"/>
    <cellStyle name="20% - Accent2 43 2 6" xfId="15020"/>
    <cellStyle name="20% - Accent2 43 3" xfId="10711"/>
    <cellStyle name="20% - Accent2 43 3 2" xfId="21999"/>
    <cellStyle name="20% - Accent2 43 4" xfId="8717"/>
    <cellStyle name="20% - Accent2 43 4 2" xfId="20005"/>
    <cellStyle name="20% - Accent2 43 5" xfId="6723"/>
    <cellStyle name="20% - Accent2 43 5 2" xfId="18011"/>
    <cellStyle name="20% - Accent2 43 6" xfId="4729"/>
    <cellStyle name="20% - Accent2 43 6 2" xfId="16017"/>
    <cellStyle name="20% - Accent2 43 7" xfId="14023"/>
    <cellStyle name="20% - Accent2 43 8" xfId="12709"/>
    <cellStyle name="20% - Accent2 44" xfId="774"/>
    <cellStyle name="20% - Accent2 44 2" xfId="3730"/>
    <cellStyle name="20% - Accent2 44 2 2" xfId="11709"/>
    <cellStyle name="20% - Accent2 44 2 2 2" xfId="22997"/>
    <cellStyle name="20% - Accent2 44 2 3" xfId="9715"/>
    <cellStyle name="20% - Accent2 44 2 3 2" xfId="21003"/>
    <cellStyle name="20% - Accent2 44 2 4" xfId="7721"/>
    <cellStyle name="20% - Accent2 44 2 4 2" xfId="19009"/>
    <cellStyle name="20% - Accent2 44 2 5" xfId="5727"/>
    <cellStyle name="20% - Accent2 44 2 5 2" xfId="17015"/>
    <cellStyle name="20% - Accent2 44 2 6" xfId="15021"/>
    <cellStyle name="20% - Accent2 44 3" xfId="10712"/>
    <cellStyle name="20% - Accent2 44 3 2" xfId="22000"/>
    <cellStyle name="20% - Accent2 44 4" xfId="8718"/>
    <cellStyle name="20% - Accent2 44 4 2" xfId="20006"/>
    <cellStyle name="20% - Accent2 44 5" xfId="6724"/>
    <cellStyle name="20% - Accent2 44 5 2" xfId="18012"/>
    <cellStyle name="20% - Accent2 44 6" xfId="4730"/>
    <cellStyle name="20% - Accent2 44 6 2" xfId="16018"/>
    <cellStyle name="20% - Accent2 44 7" xfId="14024"/>
    <cellStyle name="20% - Accent2 44 8" xfId="12710"/>
    <cellStyle name="20% - Accent2 45" xfId="775"/>
    <cellStyle name="20% - Accent2 45 2" xfId="3731"/>
    <cellStyle name="20% - Accent2 45 2 2" xfId="11710"/>
    <cellStyle name="20% - Accent2 45 2 2 2" xfId="22998"/>
    <cellStyle name="20% - Accent2 45 2 3" xfId="9716"/>
    <cellStyle name="20% - Accent2 45 2 3 2" xfId="21004"/>
    <cellStyle name="20% - Accent2 45 2 4" xfId="7722"/>
    <cellStyle name="20% - Accent2 45 2 4 2" xfId="19010"/>
    <cellStyle name="20% - Accent2 45 2 5" xfId="5728"/>
    <cellStyle name="20% - Accent2 45 2 5 2" xfId="17016"/>
    <cellStyle name="20% - Accent2 45 2 6" xfId="15022"/>
    <cellStyle name="20% - Accent2 45 3" xfId="10713"/>
    <cellStyle name="20% - Accent2 45 3 2" xfId="22001"/>
    <cellStyle name="20% - Accent2 45 4" xfId="8719"/>
    <cellStyle name="20% - Accent2 45 4 2" xfId="20007"/>
    <cellStyle name="20% - Accent2 45 5" xfId="6725"/>
    <cellStyle name="20% - Accent2 45 5 2" xfId="18013"/>
    <cellStyle name="20% - Accent2 45 6" xfId="4731"/>
    <cellStyle name="20% - Accent2 45 6 2" xfId="16019"/>
    <cellStyle name="20% - Accent2 45 7" xfId="14025"/>
    <cellStyle name="20% - Accent2 45 8" xfId="12711"/>
    <cellStyle name="20% - Accent2 46" xfId="776"/>
    <cellStyle name="20% - Accent2 46 2" xfId="3732"/>
    <cellStyle name="20% - Accent2 46 2 2" xfId="11711"/>
    <cellStyle name="20% - Accent2 46 2 2 2" xfId="22999"/>
    <cellStyle name="20% - Accent2 46 2 3" xfId="9717"/>
    <cellStyle name="20% - Accent2 46 2 3 2" xfId="21005"/>
    <cellStyle name="20% - Accent2 46 2 4" xfId="7723"/>
    <cellStyle name="20% - Accent2 46 2 4 2" xfId="19011"/>
    <cellStyle name="20% - Accent2 46 2 5" xfId="5729"/>
    <cellStyle name="20% - Accent2 46 2 5 2" xfId="17017"/>
    <cellStyle name="20% - Accent2 46 2 6" xfId="15023"/>
    <cellStyle name="20% - Accent2 46 3" xfId="10714"/>
    <cellStyle name="20% - Accent2 46 3 2" xfId="22002"/>
    <cellStyle name="20% - Accent2 46 4" xfId="8720"/>
    <cellStyle name="20% - Accent2 46 4 2" xfId="20008"/>
    <cellStyle name="20% - Accent2 46 5" xfId="6726"/>
    <cellStyle name="20% - Accent2 46 5 2" xfId="18014"/>
    <cellStyle name="20% - Accent2 46 6" xfId="4732"/>
    <cellStyle name="20% - Accent2 46 6 2" xfId="16020"/>
    <cellStyle name="20% - Accent2 46 7" xfId="14026"/>
    <cellStyle name="20% - Accent2 46 8" xfId="12712"/>
    <cellStyle name="20% - Accent2 47" xfId="777"/>
    <cellStyle name="20% - Accent2 47 2" xfId="3733"/>
    <cellStyle name="20% - Accent2 47 2 2" xfId="11712"/>
    <cellStyle name="20% - Accent2 47 2 2 2" xfId="23000"/>
    <cellStyle name="20% - Accent2 47 2 3" xfId="9718"/>
    <cellStyle name="20% - Accent2 47 2 3 2" xfId="21006"/>
    <cellStyle name="20% - Accent2 47 2 4" xfId="7724"/>
    <cellStyle name="20% - Accent2 47 2 4 2" xfId="19012"/>
    <cellStyle name="20% - Accent2 47 2 5" xfId="5730"/>
    <cellStyle name="20% - Accent2 47 2 5 2" xfId="17018"/>
    <cellStyle name="20% - Accent2 47 2 6" xfId="15024"/>
    <cellStyle name="20% - Accent2 47 3" xfId="10715"/>
    <cellStyle name="20% - Accent2 47 3 2" xfId="22003"/>
    <cellStyle name="20% - Accent2 47 4" xfId="8721"/>
    <cellStyle name="20% - Accent2 47 4 2" xfId="20009"/>
    <cellStyle name="20% - Accent2 47 5" xfId="6727"/>
    <cellStyle name="20% - Accent2 47 5 2" xfId="18015"/>
    <cellStyle name="20% - Accent2 47 6" xfId="4733"/>
    <cellStyle name="20% - Accent2 47 6 2" xfId="16021"/>
    <cellStyle name="20% - Accent2 47 7" xfId="14027"/>
    <cellStyle name="20% - Accent2 47 8" xfId="12713"/>
    <cellStyle name="20% - Accent2 48" xfId="778"/>
    <cellStyle name="20% - Accent2 48 2" xfId="3734"/>
    <cellStyle name="20% - Accent2 48 2 2" xfId="11713"/>
    <cellStyle name="20% - Accent2 48 2 2 2" xfId="23001"/>
    <cellStyle name="20% - Accent2 48 2 3" xfId="9719"/>
    <cellStyle name="20% - Accent2 48 2 3 2" xfId="21007"/>
    <cellStyle name="20% - Accent2 48 2 4" xfId="7725"/>
    <cellStyle name="20% - Accent2 48 2 4 2" xfId="19013"/>
    <cellStyle name="20% - Accent2 48 2 5" xfId="5731"/>
    <cellStyle name="20% - Accent2 48 2 5 2" xfId="17019"/>
    <cellStyle name="20% - Accent2 48 2 6" xfId="15025"/>
    <cellStyle name="20% - Accent2 48 3" xfId="10716"/>
    <cellStyle name="20% - Accent2 48 3 2" xfId="22004"/>
    <cellStyle name="20% - Accent2 48 4" xfId="8722"/>
    <cellStyle name="20% - Accent2 48 4 2" xfId="20010"/>
    <cellStyle name="20% - Accent2 48 5" xfId="6728"/>
    <cellStyle name="20% - Accent2 48 5 2" xfId="18016"/>
    <cellStyle name="20% - Accent2 48 6" xfId="4734"/>
    <cellStyle name="20% - Accent2 48 6 2" xfId="16022"/>
    <cellStyle name="20% - Accent2 48 7" xfId="14028"/>
    <cellStyle name="20% - Accent2 48 8" xfId="12714"/>
    <cellStyle name="20% - Accent2 49" xfId="779"/>
    <cellStyle name="20% - Accent2 49 2" xfId="3735"/>
    <cellStyle name="20% - Accent2 49 2 2" xfId="11714"/>
    <cellStyle name="20% - Accent2 49 2 2 2" xfId="23002"/>
    <cellStyle name="20% - Accent2 49 2 3" xfId="9720"/>
    <cellStyle name="20% - Accent2 49 2 3 2" xfId="21008"/>
    <cellStyle name="20% - Accent2 49 2 4" xfId="7726"/>
    <cellStyle name="20% - Accent2 49 2 4 2" xfId="19014"/>
    <cellStyle name="20% - Accent2 49 2 5" xfId="5732"/>
    <cellStyle name="20% - Accent2 49 2 5 2" xfId="17020"/>
    <cellStyle name="20% - Accent2 49 2 6" xfId="15026"/>
    <cellStyle name="20% - Accent2 49 3" xfId="10717"/>
    <cellStyle name="20% - Accent2 49 3 2" xfId="22005"/>
    <cellStyle name="20% - Accent2 49 4" xfId="8723"/>
    <cellStyle name="20% - Accent2 49 4 2" xfId="20011"/>
    <cellStyle name="20% - Accent2 49 5" xfId="6729"/>
    <cellStyle name="20% - Accent2 49 5 2" xfId="18017"/>
    <cellStyle name="20% - Accent2 49 6" xfId="4735"/>
    <cellStyle name="20% - Accent2 49 6 2" xfId="16023"/>
    <cellStyle name="20% - Accent2 49 7" xfId="14029"/>
    <cellStyle name="20% - Accent2 49 8" xfId="12715"/>
    <cellStyle name="20% - Accent2 5" xfId="780"/>
    <cellStyle name="20% - Accent2 5 10" xfId="24568"/>
    <cellStyle name="20% - Accent2 5 11" xfId="24958"/>
    <cellStyle name="20% - Accent2 5 2" xfId="3736"/>
    <cellStyle name="20% - Accent2 5 2 2" xfId="11715"/>
    <cellStyle name="20% - Accent2 5 2 2 2" xfId="23003"/>
    <cellStyle name="20% - Accent2 5 2 3" xfId="9721"/>
    <cellStyle name="20% - Accent2 5 2 3 2" xfId="21009"/>
    <cellStyle name="20% - Accent2 5 2 4" xfId="7727"/>
    <cellStyle name="20% - Accent2 5 2 4 2" xfId="19015"/>
    <cellStyle name="20% - Accent2 5 2 5" xfId="5733"/>
    <cellStyle name="20% - Accent2 5 2 5 2" xfId="17021"/>
    <cellStyle name="20% - Accent2 5 2 6" xfId="15027"/>
    <cellStyle name="20% - Accent2 5 2 7" xfId="24329"/>
    <cellStyle name="20% - Accent2 5 2 8" xfId="24793"/>
    <cellStyle name="20% - Accent2 5 2 9" xfId="25160"/>
    <cellStyle name="20% - Accent2 5 3" xfId="10718"/>
    <cellStyle name="20% - Accent2 5 3 2" xfId="22006"/>
    <cellStyle name="20% - Accent2 5 4" xfId="8724"/>
    <cellStyle name="20% - Accent2 5 4 2" xfId="20012"/>
    <cellStyle name="20% - Accent2 5 5" xfId="6730"/>
    <cellStyle name="20% - Accent2 5 5 2" xfId="18018"/>
    <cellStyle name="20% - Accent2 5 6" xfId="4736"/>
    <cellStyle name="20% - Accent2 5 6 2" xfId="16024"/>
    <cellStyle name="20% - Accent2 5 7" xfId="14030"/>
    <cellStyle name="20% - Accent2 5 8" xfId="12716"/>
    <cellStyle name="20% - Accent2 5 9" xfId="23941"/>
    <cellStyle name="20% - Accent2 50" xfId="781"/>
    <cellStyle name="20% - Accent2 50 2" xfId="3737"/>
    <cellStyle name="20% - Accent2 50 2 2" xfId="11716"/>
    <cellStyle name="20% - Accent2 50 2 2 2" xfId="23004"/>
    <cellStyle name="20% - Accent2 50 2 3" xfId="9722"/>
    <cellStyle name="20% - Accent2 50 2 3 2" xfId="21010"/>
    <cellStyle name="20% - Accent2 50 2 4" xfId="7728"/>
    <cellStyle name="20% - Accent2 50 2 4 2" xfId="19016"/>
    <cellStyle name="20% - Accent2 50 2 5" xfId="5734"/>
    <cellStyle name="20% - Accent2 50 2 5 2" xfId="17022"/>
    <cellStyle name="20% - Accent2 50 2 6" xfId="15028"/>
    <cellStyle name="20% - Accent2 50 3" xfId="10719"/>
    <cellStyle name="20% - Accent2 50 3 2" xfId="22007"/>
    <cellStyle name="20% - Accent2 50 4" xfId="8725"/>
    <cellStyle name="20% - Accent2 50 4 2" xfId="20013"/>
    <cellStyle name="20% - Accent2 50 5" xfId="6731"/>
    <cellStyle name="20% - Accent2 50 5 2" xfId="18019"/>
    <cellStyle name="20% - Accent2 50 6" xfId="4737"/>
    <cellStyle name="20% - Accent2 50 6 2" xfId="16025"/>
    <cellStyle name="20% - Accent2 50 7" xfId="14031"/>
    <cellStyle name="20% - Accent2 50 8" xfId="12717"/>
    <cellStyle name="20% - Accent2 51" xfId="782"/>
    <cellStyle name="20% - Accent2 51 2" xfId="3738"/>
    <cellStyle name="20% - Accent2 51 2 2" xfId="11717"/>
    <cellStyle name="20% - Accent2 51 2 2 2" xfId="23005"/>
    <cellStyle name="20% - Accent2 51 2 3" xfId="9723"/>
    <cellStyle name="20% - Accent2 51 2 3 2" xfId="21011"/>
    <cellStyle name="20% - Accent2 51 2 4" xfId="7729"/>
    <cellStyle name="20% - Accent2 51 2 4 2" xfId="19017"/>
    <cellStyle name="20% - Accent2 51 2 5" xfId="5735"/>
    <cellStyle name="20% - Accent2 51 2 5 2" xfId="17023"/>
    <cellStyle name="20% - Accent2 51 2 6" xfId="15029"/>
    <cellStyle name="20% - Accent2 51 3" xfId="10720"/>
    <cellStyle name="20% - Accent2 51 3 2" xfId="22008"/>
    <cellStyle name="20% - Accent2 51 4" xfId="8726"/>
    <cellStyle name="20% - Accent2 51 4 2" xfId="20014"/>
    <cellStyle name="20% - Accent2 51 5" xfId="6732"/>
    <cellStyle name="20% - Accent2 51 5 2" xfId="18020"/>
    <cellStyle name="20% - Accent2 51 6" xfId="4738"/>
    <cellStyle name="20% - Accent2 51 6 2" xfId="16026"/>
    <cellStyle name="20% - Accent2 51 7" xfId="14032"/>
    <cellStyle name="20% - Accent2 51 8" xfId="12718"/>
    <cellStyle name="20% - Accent2 52" xfId="783"/>
    <cellStyle name="20% - Accent2 52 2" xfId="3739"/>
    <cellStyle name="20% - Accent2 52 2 2" xfId="11718"/>
    <cellStyle name="20% - Accent2 52 2 2 2" xfId="23006"/>
    <cellStyle name="20% - Accent2 52 2 3" xfId="9724"/>
    <cellStyle name="20% - Accent2 52 2 3 2" xfId="21012"/>
    <cellStyle name="20% - Accent2 52 2 4" xfId="7730"/>
    <cellStyle name="20% - Accent2 52 2 4 2" xfId="19018"/>
    <cellStyle name="20% - Accent2 52 2 5" xfId="5736"/>
    <cellStyle name="20% - Accent2 52 2 5 2" xfId="17024"/>
    <cellStyle name="20% - Accent2 52 2 6" xfId="15030"/>
    <cellStyle name="20% - Accent2 52 3" xfId="10721"/>
    <cellStyle name="20% - Accent2 52 3 2" xfId="22009"/>
    <cellStyle name="20% - Accent2 52 4" xfId="8727"/>
    <cellStyle name="20% - Accent2 52 4 2" xfId="20015"/>
    <cellStyle name="20% - Accent2 52 5" xfId="6733"/>
    <cellStyle name="20% - Accent2 52 5 2" xfId="18021"/>
    <cellStyle name="20% - Accent2 52 6" xfId="4739"/>
    <cellStyle name="20% - Accent2 52 6 2" xfId="16027"/>
    <cellStyle name="20% - Accent2 52 7" xfId="14033"/>
    <cellStyle name="20% - Accent2 52 8" xfId="12719"/>
    <cellStyle name="20% - Accent2 53" xfId="784"/>
    <cellStyle name="20% - Accent2 53 2" xfId="3740"/>
    <cellStyle name="20% - Accent2 53 2 2" xfId="11719"/>
    <cellStyle name="20% - Accent2 53 2 2 2" xfId="23007"/>
    <cellStyle name="20% - Accent2 53 2 3" xfId="9725"/>
    <cellStyle name="20% - Accent2 53 2 3 2" xfId="21013"/>
    <cellStyle name="20% - Accent2 53 2 4" xfId="7731"/>
    <cellStyle name="20% - Accent2 53 2 4 2" xfId="19019"/>
    <cellStyle name="20% - Accent2 53 2 5" xfId="5737"/>
    <cellStyle name="20% - Accent2 53 2 5 2" xfId="17025"/>
    <cellStyle name="20% - Accent2 53 2 6" xfId="15031"/>
    <cellStyle name="20% - Accent2 53 3" xfId="10722"/>
    <cellStyle name="20% - Accent2 53 3 2" xfId="22010"/>
    <cellStyle name="20% - Accent2 53 4" xfId="8728"/>
    <cellStyle name="20% - Accent2 53 4 2" xfId="20016"/>
    <cellStyle name="20% - Accent2 53 5" xfId="6734"/>
    <cellStyle name="20% - Accent2 53 5 2" xfId="18022"/>
    <cellStyle name="20% - Accent2 53 6" xfId="4740"/>
    <cellStyle name="20% - Accent2 53 6 2" xfId="16028"/>
    <cellStyle name="20% - Accent2 53 7" xfId="14034"/>
    <cellStyle name="20% - Accent2 53 8" xfId="12720"/>
    <cellStyle name="20% - Accent2 54" xfId="785"/>
    <cellStyle name="20% - Accent2 54 2" xfId="3741"/>
    <cellStyle name="20% - Accent2 54 2 2" xfId="11720"/>
    <cellStyle name="20% - Accent2 54 2 2 2" xfId="23008"/>
    <cellStyle name="20% - Accent2 54 2 3" xfId="9726"/>
    <cellStyle name="20% - Accent2 54 2 3 2" xfId="21014"/>
    <cellStyle name="20% - Accent2 54 2 4" xfId="7732"/>
    <cellStyle name="20% - Accent2 54 2 4 2" xfId="19020"/>
    <cellStyle name="20% - Accent2 54 2 5" xfId="5738"/>
    <cellStyle name="20% - Accent2 54 2 5 2" xfId="17026"/>
    <cellStyle name="20% - Accent2 54 2 6" xfId="15032"/>
    <cellStyle name="20% - Accent2 54 3" xfId="10723"/>
    <cellStyle name="20% - Accent2 54 3 2" xfId="22011"/>
    <cellStyle name="20% - Accent2 54 4" xfId="8729"/>
    <cellStyle name="20% - Accent2 54 4 2" xfId="20017"/>
    <cellStyle name="20% - Accent2 54 5" xfId="6735"/>
    <cellStyle name="20% - Accent2 54 5 2" xfId="18023"/>
    <cellStyle name="20% - Accent2 54 6" xfId="4741"/>
    <cellStyle name="20% - Accent2 54 6 2" xfId="16029"/>
    <cellStyle name="20% - Accent2 54 7" xfId="14035"/>
    <cellStyle name="20% - Accent2 54 8" xfId="12721"/>
    <cellStyle name="20% - Accent2 55" xfId="786"/>
    <cellStyle name="20% - Accent2 55 2" xfId="3742"/>
    <cellStyle name="20% - Accent2 55 2 2" xfId="11721"/>
    <cellStyle name="20% - Accent2 55 2 2 2" xfId="23009"/>
    <cellStyle name="20% - Accent2 55 2 3" xfId="9727"/>
    <cellStyle name="20% - Accent2 55 2 3 2" xfId="21015"/>
    <cellStyle name="20% - Accent2 55 2 4" xfId="7733"/>
    <cellStyle name="20% - Accent2 55 2 4 2" xfId="19021"/>
    <cellStyle name="20% - Accent2 55 2 5" xfId="5739"/>
    <cellStyle name="20% - Accent2 55 2 5 2" xfId="17027"/>
    <cellStyle name="20% - Accent2 55 2 6" xfId="15033"/>
    <cellStyle name="20% - Accent2 55 3" xfId="10724"/>
    <cellStyle name="20% - Accent2 55 3 2" xfId="22012"/>
    <cellStyle name="20% - Accent2 55 4" xfId="8730"/>
    <cellStyle name="20% - Accent2 55 4 2" xfId="20018"/>
    <cellStyle name="20% - Accent2 55 5" xfId="6736"/>
    <cellStyle name="20% - Accent2 55 5 2" xfId="18024"/>
    <cellStyle name="20% - Accent2 55 6" xfId="4742"/>
    <cellStyle name="20% - Accent2 55 6 2" xfId="16030"/>
    <cellStyle name="20% - Accent2 55 7" xfId="14036"/>
    <cellStyle name="20% - Accent2 55 8" xfId="12722"/>
    <cellStyle name="20% - Accent2 56" xfId="787"/>
    <cellStyle name="20% - Accent2 56 2" xfId="3743"/>
    <cellStyle name="20% - Accent2 56 2 2" xfId="11722"/>
    <cellStyle name="20% - Accent2 56 2 2 2" xfId="23010"/>
    <cellStyle name="20% - Accent2 56 2 3" xfId="9728"/>
    <cellStyle name="20% - Accent2 56 2 3 2" xfId="21016"/>
    <cellStyle name="20% - Accent2 56 2 4" xfId="7734"/>
    <cellStyle name="20% - Accent2 56 2 4 2" xfId="19022"/>
    <cellStyle name="20% - Accent2 56 2 5" xfId="5740"/>
    <cellStyle name="20% - Accent2 56 2 5 2" xfId="17028"/>
    <cellStyle name="20% - Accent2 56 2 6" xfId="15034"/>
    <cellStyle name="20% - Accent2 56 3" xfId="10725"/>
    <cellStyle name="20% - Accent2 56 3 2" xfId="22013"/>
    <cellStyle name="20% - Accent2 56 4" xfId="8731"/>
    <cellStyle name="20% - Accent2 56 4 2" xfId="20019"/>
    <cellStyle name="20% - Accent2 56 5" xfId="6737"/>
    <cellStyle name="20% - Accent2 56 5 2" xfId="18025"/>
    <cellStyle name="20% - Accent2 56 6" xfId="4743"/>
    <cellStyle name="20% - Accent2 56 6 2" xfId="16031"/>
    <cellStyle name="20% - Accent2 56 7" xfId="14037"/>
    <cellStyle name="20% - Accent2 56 8" xfId="12723"/>
    <cellStyle name="20% - Accent2 57" xfId="788"/>
    <cellStyle name="20% - Accent2 57 2" xfId="3744"/>
    <cellStyle name="20% - Accent2 57 2 2" xfId="11723"/>
    <cellStyle name="20% - Accent2 57 2 2 2" xfId="23011"/>
    <cellStyle name="20% - Accent2 57 2 3" xfId="9729"/>
    <cellStyle name="20% - Accent2 57 2 3 2" xfId="21017"/>
    <cellStyle name="20% - Accent2 57 2 4" xfId="7735"/>
    <cellStyle name="20% - Accent2 57 2 4 2" xfId="19023"/>
    <cellStyle name="20% - Accent2 57 2 5" xfId="5741"/>
    <cellStyle name="20% - Accent2 57 2 5 2" xfId="17029"/>
    <cellStyle name="20% - Accent2 57 2 6" xfId="15035"/>
    <cellStyle name="20% - Accent2 57 3" xfId="10726"/>
    <cellStyle name="20% - Accent2 57 3 2" xfId="22014"/>
    <cellStyle name="20% - Accent2 57 4" xfId="8732"/>
    <cellStyle name="20% - Accent2 57 4 2" xfId="20020"/>
    <cellStyle name="20% - Accent2 57 5" xfId="6738"/>
    <cellStyle name="20% - Accent2 57 5 2" xfId="18026"/>
    <cellStyle name="20% - Accent2 57 6" xfId="4744"/>
    <cellStyle name="20% - Accent2 57 6 2" xfId="16032"/>
    <cellStyle name="20% - Accent2 57 7" xfId="14038"/>
    <cellStyle name="20% - Accent2 57 8" xfId="12724"/>
    <cellStyle name="20% - Accent2 58" xfId="789"/>
    <cellStyle name="20% - Accent2 58 2" xfId="3745"/>
    <cellStyle name="20% - Accent2 58 2 2" xfId="11724"/>
    <cellStyle name="20% - Accent2 58 2 2 2" xfId="23012"/>
    <cellStyle name="20% - Accent2 58 2 3" xfId="9730"/>
    <cellStyle name="20% - Accent2 58 2 3 2" xfId="21018"/>
    <cellStyle name="20% - Accent2 58 2 4" xfId="7736"/>
    <cellStyle name="20% - Accent2 58 2 4 2" xfId="19024"/>
    <cellStyle name="20% - Accent2 58 2 5" xfId="5742"/>
    <cellStyle name="20% - Accent2 58 2 5 2" xfId="17030"/>
    <cellStyle name="20% - Accent2 58 2 6" xfId="15036"/>
    <cellStyle name="20% - Accent2 58 3" xfId="10727"/>
    <cellStyle name="20% - Accent2 58 3 2" xfId="22015"/>
    <cellStyle name="20% - Accent2 58 4" xfId="8733"/>
    <cellStyle name="20% - Accent2 58 4 2" xfId="20021"/>
    <cellStyle name="20% - Accent2 58 5" xfId="6739"/>
    <cellStyle name="20% - Accent2 58 5 2" xfId="18027"/>
    <cellStyle name="20% - Accent2 58 6" xfId="4745"/>
    <cellStyle name="20% - Accent2 58 6 2" xfId="16033"/>
    <cellStyle name="20% - Accent2 58 7" xfId="14039"/>
    <cellStyle name="20% - Accent2 58 8" xfId="12725"/>
    <cellStyle name="20% - Accent2 59" xfId="790"/>
    <cellStyle name="20% - Accent2 59 2" xfId="3746"/>
    <cellStyle name="20% - Accent2 59 2 2" xfId="11725"/>
    <cellStyle name="20% - Accent2 59 2 2 2" xfId="23013"/>
    <cellStyle name="20% - Accent2 59 2 3" xfId="9731"/>
    <cellStyle name="20% - Accent2 59 2 3 2" xfId="21019"/>
    <cellStyle name="20% - Accent2 59 2 4" xfId="7737"/>
    <cellStyle name="20% - Accent2 59 2 4 2" xfId="19025"/>
    <cellStyle name="20% - Accent2 59 2 5" xfId="5743"/>
    <cellStyle name="20% - Accent2 59 2 5 2" xfId="17031"/>
    <cellStyle name="20% - Accent2 59 2 6" xfId="15037"/>
    <cellStyle name="20% - Accent2 59 3" xfId="10728"/>
    <cellStyle name="20% - Accent2 59 3 2" xfId="22016"/>
    <cellStyle name="20% - Accent2 59 4" xfId="8734"/>
    <cellStyle name="20% - Accent2 59 4 2" xfId="20022"/>
    <cellStyle name="20% - Accent2 59 5" xfId="6740"/>
    <cellStyle name="20% - Accent2 59 5 2" xfId="18028"/>
    <cellStyle name="20% - Accent2 59 6" xfId="4746"/>
    <cellStyle name="20% - Accent2 59 6 2" xfId="16034"/>
    <cellStyle name="20% - Accent2 59 7" xfId="14040"/>
    <cellStyle name="20% - Accent2 59 8" xfId="12726"/>
    <cellStyle name="20% - Accent2 6" xfId="791"/>
    <cellStyle name="20% - Accent2 6 10" xfId="24569"/>
    <cellStyle name="20% - Accent2 6 11" xfId="24959"/>
    <cellStyle name="20% - Accent2 6 2" xfId="3747"/>
    <cellStyle name="20% - Accent2 6 2 2" xfId="11726"/>
    <cellStyle name="20% - Accent2 6 2 2 2" xfId="23014"/>
    <cellStyle name="20% - Accent2 6 2 3" xfId="9732"/>
    <cellStyle name="20% - Accent2 6 2 3 2" xfId="21020"/>
    <cellStyle name="20% - Accent2 6 2 4" xfId="7738"/>
    <cellStyle name="20% - Accent2 6 2 4 2" xfId="19026"/>
    <cellStyle name="20% - Accent2 6 2 5" xfId="5744"/>
    <cellStyle name="20% - Accent2 6 2 5 2" xfId="17032"/>
    <cellStyle name="20% - Accent2 6 2 6" xfId="15038"/>
    <cellStyle name="20% - Accent2 6 2 7" xfId="24330"/>
    <cellStyle name="20% - Accent2 6 2 8" xfId="24794"/>
    <cellStyle name="20% - Accent2 6 2 9" xfId="25161"/>
    <cellStyle name="20% - Accent2 6 3" xfId="10729"/>
    <cellStyle name="20% - Accent2 6 3 2" xfId="22017"/>
    <cellStyle name="20% - Accent2 6 4" xfId="8735"/>
    <cellStyle name="20% - Accent2 6 4 2" xfId="20023"/>
    <cellStyle name="20% - Accent2 6 5" xfId="6741"/>
    <cellStyle name="20% - Accent2 6 5 2" xfId="18029"/>
    <cellStyle name="20% - Accent2 6 6" xfId="4747"/>
    <cellStyle name="20% - Accent2 6 6 2" xfId="16035"/>
    <cellStyle name="20% - Accent2 6 7" xfId="14041"/>
    <cellStyle name="20% - Accent2 6 8" xfId="12727"/>
    <cellStyle name="20% - Accent2 6 9" xfId="23942"/>
    <cellStyle name="20% - Accent2 60" xfId="792"/>
    <cellStyle name="20% - Accent2 60 2" xfId="3748"/>
    <cellStyle name="20% - Accent2 60 2 2" xfId="11727"/>
    <cellStyle name="20% - Accent2 60 2 2 2" xfId="23015"/>
    <cellStyle name="20% - Accent2 60 2 3" xfId="9733"/>
    <cellStyle name="20% - Accent2 60 2 3 2" xfId="21021"/>
    <cellStyle name="20% - Accent2 60 2 4" xfId="7739"/>
    <cellStyle name="20% - Accent2 60 2 4 2" xfId="19027"/>
    <cellStyle name="20% - Accent2 60 2 5" xfId="5745"/>
    <cellStyle name="20% - Accent2 60 2 5 2" xfId="17033"/>
    <cellStyle name="20% - Accent2 60 2 6" xfId="15039"/>
    <cellStyle name="20% - Accent2 60 3" xfId="10730"/>
    <cellStyle name="20% - Accent2 60 3 2" xfId="22018"/>
    <cellStyle name="20% - Accent2 60 4" xfId="8736"/>
    <cellStyle name="20% - Accent2 60 4 2" xfId="20024"/>
    <cellStyle name="20% - Accent2 60 5" xfId="6742"/>
    <cellStyle name="20% - Accent2 60 5 2" xfId="18030"/>
    <cellStyle name="20% - Accent2 60 6" xfId="4748"/>
    <cellStyle name="20% - Accent2 60 6 2" xfId="16036"/>
    <cellStyle name="20% - Accent2 60 7" xfId="14042"/>
    <cellStyle name="20% - Accent2 60 8" xfId="12728"/>
    <cellStyle name="20% - Accent2 61" xfId="793"/>
    <cellStyle name="20% - Accent2 61 2" xfId="3749"/>
    <cellStyle name="20% - Accent2 61 2 2" xfId="11728"/>
    <cellStyle name="20% - Accent2 61 2 2 2" xfId="23016"/>
    <cellStyle name="20% - Accent2 61 2 3" xfId="9734"/>
    <cellStyle name="20% - Accent2 61 2 3 2" xfId="21022"/>
    <cellStyle name="20% - Accent2 61 2 4" xfId="7740"/>
    <cellStyle name="20% - Accent2 61 2 4 2" xfId="19028"/>
    <cellStyle name="20% - Accent2 61 2 5" xfId="5746"/>
    <cellStyle name="20% - Accent2 61 2 5 2" xfId="17034"/>
    <cellStyle name="20% - Accent2 61 2 6" xfId="15040"/>
    <cellStyle name="20% - Accent2 61 3" xfId="10731"/>
    <cellStyle name="20% - Accent2 61 3 2" xfId="22019"/>
    <cellStyle name="20% - Accent2 61 4" xfId="8737"/>
    <cellStyle name="20% - Accent2 61 4 2" xfId="20025"/>
    <cellStyle name="20% - Accent2 61 5" xfId="6743"/>
    <cellStyle name="20% - Accent2 61 5 2" xfId="18031"/>
    <cellStyle name="20% - Accent2 61 6" xfId="4749"/>
    <cellStyle name="20% - Accent2 61 6 2" xfId="16037"/>
    <cellStyle name="20% - Accent2 61 7" xfId="14043"/>
    <cellStyle name="20% - Accent2 61 8" xfId="12729"/>
    <cellStyle name="20% - Accent2 62" xfId="794"/>
    <cellStyle name="20% - Accent2 62 2" xfId="3750"/>
    <cellStyle name="20% - Accent2 62 2 2" xfId="11729"/>
    <cellStyle name="20% - Accent2 62 2 2 2" xfId="23017"/>
    <cellStyle name="20% - Accent2 62 2 3" xfId="9735"/>
    <cellStyle name="20% - Accent2 62 2 3 2" xfId="21023"/>
    <cellStyle name="20% - Accent2 62 2 4" xfId="7741"/>
    <cellStyle name="20% - Accent2 62 2 4 2" xfId="19029"/>
    <cellStyle name="20% - Accent2 62 2 5" xfId="5747"/>
    <cellStyle name="20% - Accent2 62 2 5 2" xfId="17035"/>
    <cellStyle name="20% - Accent2 62 2 6" xfId="15041"/>
    <cellStyle name="20% - Accent2 62 3" xfId="10732"/>
    <cellStyle name="20% - Accent2 62 3 2" xfId="22020"/>
    <cellStyle name="20% - Accent2 62 4" xfId="8738"/>
    <cellStyle name="20% - Accent2 62 4 2" xfId="20026"/>
    <cellStyle name="20% - Accent2 62 5" xfId="6744"/>
    <cellStyle name="20% - Accent2 62 5 2" xfId="18032"/>
    <cellStyle name="20% - Accent2 62 6" xfId="4750"/>
    <cellStyle name="20% - Accent2 62 6 2" xfId="16038"/>
    <cellStyle name="20% - Accent2 62 7" xfId="14044"/>
    <cellStyle name="20% - Accent2 62 8" xfId="12730"/>
    <cellStyle name="20% - Accent2 63" xfId="795"/>
    <cellStyle name="20% - Accent2 63 2" xfId="3751"/>
    <cellStyle name="20% - Accent2 63 2 2" xfId="11730"/>
    <cellStyle name="20% - Accent2 63 2 2 2" xfId="23018"/>
    <cellStyle name="20% - Accent2 63 2 3" xfId="9736"/>
    <cellStyle name="20% - Accent2 63 2 3 2" xfId="21024"/>
    <cellStyle name="20% - Accent2 63 2 4" xfId="7742"/>
    <cellStyle name="20% - Accent2 63 2 4 2" xfId="19030"/>
    <cellStyle name="20% - Accent2 63 2 5" xfId="5748"/>
    <cellStyle name="20% - Accent2 63 2 5 2" xfId="17036"/>
    <cellStyle name="20% - Accent2 63 2 6" xfId="15042"/>
    <cellStyle name="20% - Accent2 63 3" xfId="10733"/>
    <cellStyle name="20% - Accent2 63 3 2" xfId="22021"/>
    <cellStyle name="20% - Accent2 63 4" xfId="8739"/>
    <cellStyle name="20% - Accent2 63 4 2" xfId="20027"/>
    <cellStyle name="20% - Accent2 63 5" xfId="6745"/>
    <cellStyle name="20% - Accent2 63 5 2" xfId="18033"/>
    <cellStyle name="20% - Accent2 63 6" xfId="4751"/>
    <cellStyle name="20% - Accent2 63 6 2" xfId="16039"/>
    <cellStyle name="20% - Accent2 63 7" xfId="14045"/>
    <cellStyle name="20% - Accent2 63 8" xfId="12731"/>
    <cellStyle name="20% - Accent2 64" xfId="796"/>
    <cellStyle name="20% - Accent2 64 2" xfId="3752"/>
    <cellStyle name="20% - Accent2 64 2 2" xfId="11731"/>
    <cellStyle name="20% - Accent2 64 2 2 2" xfId="23019"/>
    <cellStyle name="20% - Accent2 64 2 3" xfId="9737"/>
    <cellStyle name="20% - Accent2 64 2 3 2" xfId="21025"/>
    <cellStyle name="20% - Accent2 64 2 4" xfId="7743"/>
    <cellStyle name="20% - Accent2 64 2 4 2" xfId="19031"/>
    <cellStyle name="20% - Accent2 64 2 5" xfId="5749"/>
    <cellStyle name="20% - Accent2 64 2 5 2" xfId="17037"/>
    <cellStyle name="20% - Accent2 64 2 6" xfId="15043"/>
    <cellStyle name="20% - Accent2 64 3" xfId="10734"/>
    <cellStyle name="20% - Accent2 64 3 2" xfId="22022"/>
    <cellStyle name="20% - Accent2 64 4" xfId="8740"/>
    <cellStyle name="20% - Accent2 64 4 2" xfId="20028"/>
    <cellStyle name="20% - Accent2 64 5" xfId="6746"/>
    <cellStyle name="20% - Accent2 64 5 2" xfId="18034"/>
    <cellStyle name="20% - Accent2 64 6" xfId="4752"/>
    <cellStyle name="20% - Accent2 64 6 2" xfId="16040"/>
    <cellStyle name="20% - Accent2 64 7" xfId="14046"/>
    <cellStyle name="20% - Accent2 64 8" xfId="12732"/>
    <cellStyle name="20% - Accent2 65" xfId="797"/>
    <cellStyle name="20% - Accent2 65 2" xfId="3753"/>
    <cellStyle name="20% - Accent2 65 2 2" xfId="11732"/>
    <cellStyle name="20% - Accent2 65 2 2 2" xfId="23020"/>
    <cellStyle name="20% - Accent2 65 2 3" xfId="9738"/>
    <cellStyle name="20% - Accent2 65 2 3 2" xfId="21026"/>
    <cellStyle name="20% - Accent2 65 2 4" xfId="7744"/>
    <cellStyle name="20% - Accent2 65 2 4 2" xfId="19032"/>
    <cellStyle name="20% - Accent2 65 2 5" xfId="5750"/>
    <cellStyle name="20% - Accent2 65 2 5 2" xfId="17038"/>
    <cellStyle name="20% - Accent2 65 2 6" xfId="15044"/>
    <cellStyle name="20% - Accent2 65 3" xfId="10735"/>
    <cellStyle name="20% - Accent2 65 3 2" xfId="22023"/>
    <cellStyle name="20% - Accent2 65 4" xfId="8741"/>
    <cellStyle name="20% - Accent2 65 4 2" xfId="20029"/>
    <cellStyle name="20% - Accent2 65 5" xfId="6747"/>
    <cellStyle name="20% - Accent2 65 5 2" xfId="18035"/>
    <cellStyle name="20% - Accent2 65 6" xfId="4753"/>
    <cellStyle name="20% - Accent2 65 6 2" xfId="16041"/>
    <cellStyle name="20% - Accent2 65 7" xfId="14047"/>
    <cellStyle name="20% - Accent2 65 8" xfId="12733"/>
    <cellStyle name="20% - Accent2 66" xfId="798"/>
    <cellStyle name="20% - Accent2 66 2" xfId="3754"/>
    <cellStyle name="20% - Accent2 66 2 2" xfId="11733"/>
    <cellStyle name="20% - Accent2 66 2 2 2" xfId="23021"/>
    <cellStyle name="20% - Accent2 66 2 3" xfId="9739"/>
    <cellStyle name="20% - Accent2 66 2 3 2" xfId="21027"/>
    <cellStyle name="20% - Accent2 66 2 4" xfId="7745"/>
    <cellStyle name="20% - Accent2 66 2 4 2" xfId="19033"/>
    <cellStyle name="20% - Accent2 66 2 5" xfId="5751"/>
    <cellStyle name="20% - Accent2 66 2 5 2" xfId="17039"/>
    <cellStyle name="20% - Accent2 66 2 6" xfId="15045"/>
    <cellStyle name="20% - Accent2 66 3" xfId="10736"/>
    <cellStyle name="20% - Accent2 66 3 2" xfId="22024"/>
    <cellStyle name="20% - Accent2 66 4" xfId="8742"/>
    <cellStyle name="20% - Accent2 66 4 2" xfId="20030"/>
    <cellStyle name="20% - Accent2 66 5" xfId="6748"/>
    <cellStyle name="20% - Accent2 66 5 2" xfId="18036"/>
    <cellStyle name="20% - Accent2 66 6" xfId="4754"/>
    <cellStyle name="20% - Accent2 66 6 2" xfId="16042"/>
    <cellStyle name="20% - Accent2 66 7" xfId="14048"/>
    <cellStyle name="20% - Accent2 66 8" xfId="12734"/>
    <cellStyle name="20% - Accent2 67" xfId="799"/>
    <cellStyle name="20% - Accent2 67 2" xfId="3755"/>
    <cellStyle name="20% - Accent2 67 2 2" xfId="11734"/>
    <cellStyle name="20% - Accent2 67 2 2 2" xfId="23022"/>
    <cellStyle name="20% - Accent2 67 2 3" xfId="9740"/>
    <cellStyle name="20% - Accent2 67 2 3 2" xfId="21028"/>
    <cellStyle name="20% - Accent2 67 2 4" xfId="7746"/>
    <cellStyle name="20% - Accent2 67 2 4 2" xfId="19034"/>
    <cellStyle name="20% - Accent2 67 2 5" xfId="5752"/>
    <cellStyle name="20% - Accent2 67 2 5 2" xfId="17040"/>
    <cellStyle name="20% - Accent2 67 2 6" xfId="15046"/>
    <cellStyle name="20% - Accent2 67 3" xfId="10737"/>
    <cellStyle name="20% - Accent2 67 3 2" xfId="22025"/>
    <cellStyle name="20% - Accent2 67 4" xfId="8743"/>
    <cellStyle name="20% - Accent2 67 4 2" xfId="20031"/>
    <cellStyle name="20% - Accent2 67 5" xfId="6749"/>
    <cellStyle name="20% - Accent2 67 5 2" xfId="18037"/>
    <cellStyle name="20% - Accent2 67 6" xfId="4755"/>
    <cellStyle name="20% - Accent2 67 6 2" xfId="16043"/>
    <cellStyle name="20% - Accent2 67 7" xfId="14049"/>
    <cellStyle name="20% - Accent2 67 8" xfId="12735"/>
    <cellStyle name="20% - Accent2 68" xfId="800"/>
    <cellStyle name="20% - Accent2 68 2" xfId="3756"/>
    <cellStyle name="20% - Accent2 68 2 2" xfId="11735"/>
    <cellStyle name="20% - Accent2 68 2 2 2" xfId="23023"/>
    <cellStyle name="20% - Accent2 68 2 3" xfId="9741"/>
    <cellStyle name="20% - Accent2 68 2 3 2" xfId="21029"/>
    <cellStyle name="20% - Accent2 68 2 4" xfId="7747"/>
    <cellStyle name="20% - Accent2 68 2 4 2" xfId="19035"/>
    <cellStyle name="20% - Accent2 68 2 5" xfId="5753"/>
    <cellStyle name="20% - Accent2 68 2 5 2" xfId="17041"/>
    <cellStyle name="20% - Accent2 68 2 6" xfId="15047"/>
    <cellStyle name="20% - Accent2 68 3" xfId="10738"/>
    <cellStyle name="20% - Accent2 68 3 2" xfId="22026"/>
    <cellStyle name="20% - Accent2 68 4" xfId="8744"/>
    <cellStyle name="20% - Accent2 68 4 2" xfId="20032"/>
    <cellStyle name="20% - Accent2 68 5" xfId="6750"/>
    <cellStyle name="20% - Accent2 68 5 2" xfId="18038"/>
    <cellStyle name="20% - Accent2 68 6" xfId="4756"/>
    <cellStyle name="20% - Accent2 68 6 2" xfId="16044"/>
    <cellStyle name="20% - Accent2 68 7" xfId="14050"/>
    <cellStyle name="20% - Accent2 68 8" xfId="12736"/>
    <cellStyle name="20% - Accent2 69" xfId="801"/>
    <cellStyle name="20% - Accent2 69 2" xfId="3757"/>
    <cellStyle name="20% - Accent2 69 2 2" xfId="11736"/>
    <cellStyle name="20% - Accent2 69 2 2 2" xfId="23024"/>
    <cellStyle name="20% - Accent2 69 2 3" xfId="9742"/>
    <cellStyle name="20% - Accent2 69 2 3 2" xfId="21030"/>
    <cellStyle name="20% - Accent2 69 2 4" xfId="7748"/>
    <cellStyle name="20% - Accent2 69 2 4 2" xfId="19036"/>
    <cellStyle name="20% - Accent2 69 2 5" xfId="5754"/>
    <cellStyle name="20% - Accent2 69 2 5 2" xfId="17042"/>
    <cellStyle name="20% - Accent2 69 2 6" xfId="15048"/>
    <cellStyle name="20% - Accent2 69 3" xfId="10739"/>
    <cellStyle name="20% - Accent2 69 3 2" xfId="22027"/>
    <cellStyle name="20% - Accent2 69 4" xfId="8745"/>
    <cellStyle name="20% - Accent2 69 4 2" xfId="20033"/>
    <cellStyle name="20% - Accent2 69 5" xfId="6751"/>
    <cellStyle name="20% - Accent2 69 5 2" xfId="18039"/>
    <cellStyle name="20% - Accent2 69 6" xfId="4757"/>
    <cellStyle name="20% - Accent2 69 6 2" xfId="16045"/>
    <cellStyle name="20% - Accent2 69 7" xfId="14051"/>
    <cellStyle name="20% - Accent2 69 8" xfId="12737"/>
    <cellStyle name="20% - Accent2 7" xfId="802"/>
    <cellStyle name="20% - Accent2 7 10" xfId="24570"/>
    <cellStyle name="20% - Accent2 7 11" xfId="24960"/>
    <cellStyle name="20% - Accent2 7 2" xfId="3758"/>
    <cellStyle name="20% - Accent2 7 2 2" xfId="11737"/>
    <cellStyle name="20% - Accent2 7 2 2 2" xfId="23025"/>
    <cellStyle name="20% - Accent2 7 2 3" xfId="9743"/>
    <cellStyle name="20% - Accent2 7 2 3 2" xfId="21031"/>
    <cellStyle name="20% - Accent2 7 2 4" xfId="7749"/>
    <cellStyle name="20% - Accent2 7 2 4 2" xfId="19037"/>
    <cellStyle name="20% - Accent2 7 2 5" xfId="5755"/>
    <cellStyle name="20% - Accent2 7 2 5 2" xfId="17043"/>
    <cellStyle name="20% - Accent2 7 2 6" xfId="15049"/>
    <cellStyle name="20% - Accent2 7 2 7" xfId="24331"/>
    <cellStyle name="20% - Accent2 7 2 8" xfId="24795"/>
    <cellStyle name="20% - Accent2 7 2 9" xfId="25162"/>
    <cellStyle name="20% - Accent2 7 3" xfId="10740"/>
    <cellStyle name="20% - Accent2 7 3 2" xfId="22028"/>
    <cellStyle name="20% - Accent2 7 4" xfId="8746"/>
    <cellStyle name="20% - Accent2 7 4 2" xfId="20034"/>
    <cellStyle name="20% - Accent2 7 5" xfId="6752"/>
    <cellStyle name="20% - Accent2 7 5 2" xfId="18040"/>
    <cellStyle name="20% - Accent2 7 6" xfId="4758"/>
    <cellStyle name="20% - Accent2 7 6 2" xfId="16046"/>
    <cellStyle name="20% - Accent2 7 7" xfId="14052"/>
    <cellStyle name="20% - Accent2 7 8" xfId="12738"/>
    <cellStyle name="20% - Accent2 7 9" xfId="23943"/>
    <cellStyle name="20% - Accent2 70" xfId="803"/>
    <cellStyle name="20% - Accent2 70 2" xfId="3759"/>
    <cellStyle name="20% - Accent2 70 2 2" xfId="11738"/>
    <cellStyle name="20% - Accent2 70 2 2 2" xfId="23026"/>
    <cellStyle name="20% - Accent2 70 2 3" xfId="9744"/>
    <cellStyle name="20% - Accent2 70 2 3 2" xfId="21032"/>
    <cellStyle name="20% - Accent2 70 2 4" xfId="7750"/>
    <cellStyle name="20% - Accent2 70 2 4 2" xfId="19038"/>
    <cellStyle name="20% - Accent2 70 2 5" xfId="5756"/>
    <cellStyle name="20% - Accent2 70 2 5 2" xfId="17044"/>
    <cellStyle name="20% - Accent2 70 2 6" xfId="15050"/>
    <cellStyle name="20% - Accent2 70 3" xfId="10741"/>
    <cellStyle name="20% - Accent2 70 3 2" xfId="22029"/>
    <cellStyle name="20% - Accent2 70 4" xfId="8747"/>
    <cellStyle name="20% - Accent2 70 4 2" xfId="20035"/>
    <cellStyle name="20% - Accent2 70 5" xfId="6753"/>
    <cellStyle name="20% - Accent2 70 5 2" xfId="18041"/>
    <cellStyle name="20% - Accent2 70 6" xfId="4759"/>
    <cellStyle name="20% - Accent2 70 6 2" xfId="16047"/>
    <cellStyle name="20% - Accent2 70 7" xfId="14053"/>
    <cellStyle name="20% - Accent2 70 8" xfId="12739"/>
    <cellStyle name="20% - Accent2 71" xfId="804"/>
    <cellStyle name="20% - Accent2 71 2" xfId="3760"/>
    <cellStyle name="20% - Accent2 71 2 2" xfId="11739"/>
    <cellStyle name="20% - Accent2 71 2 2 2" xfId="23027"/>
    <cellStyle name="20% - Accent2 71 2 3" xfId="9745"/>
    <cellStyle name="20% - Accent2 71 2 3 2" xfId="21033"/>
    <cellStyle name="20% - Accent2 71 2 4" xfId="7751"/>
    <cellStyle name="20% - Accent2 71 2 4 2" xfId="19039"/>
    <cellStyle name="20% - Accent2 71 2 5" xfId="5757"/>
    <cellStyle name="20% - Accent2 71 2 5 2" xfId="17045"/>
    <cellStyle name="20% - Accent2 71 2 6" xfId="15051"/>
    <cellStyle name="20% - Accent2 71 3" xfId="10742"/>
    <cellStyle name="20% - Accent2 71 3 2" xfId="22030"/>
    <cellStyle name="20% - Accent2 71 4" xfId="8748"/>
    <cellStyle name="20% - Accent2 71 4 2" xfId="20036"/>
    <cellStyle name="20% - Accent2 71 5" xfId="6754"/>
    <cellStyle name="20% - Accent2 71 5 2" xfId="18042"/>
    <cellStyle name="20% - Accent2 71 6" xfId="4760"/>
    <cellStyle name="20% - Accent2 71 6 2" xfId="16048"/>
    <cellStyle name="20% - Accent2 71 7" xfId="14054"/>
    <cellStyle name="20% - Accent2 71 8" xfId="12740"/>
    <cellStyle name="20% - Accent2 72" xfId="805"/>
    <cellStyle name="20% - Accent2 72 2" xfId="3761"/>
    <cellStyle name="20% - Accent2 72 2 2" xfId="11740"/>
    <cellStyle name="20% - Accent2 72 2 2 2" xfId="23028"/>
    <cellStyle name="20% - Accent2 72 2 3" xfId="9746"/>
    <cellStyle name="20% - Accent2 72 2 3 2" xfId="21034"/>
    <cellStyle name="20% - Accent2 72 2 4" xfId="7752"/>
    <cellStyle name="20% - Accent2 72 2 4 2" xfId="19040"/>
    <cellStyle name="20% - Accent2 72 2 5" xfId="5758"/>
    <cellStyle name="20% - Accent2 72 2 5 2" xfId="17046"/>
    <cellStyle name="20% - Accent2 72 2 6" xfId="15052"/>
    <cellStyle name="20% - Accent2 72 3" xfId="10743"/>
    <cellStyle name="20% - Accent2 72 3 2" xfId="22031"/>
    <cellStyle name="20% - Accent2 72 4" xfId="8749"/>
    <cellStyle name="20% - Accent2 72 4 2" xfId="20037"/>
    <cellStyle name="20% - Accent2 72 5" xfId="6755"/>
    <cellStyle name="20% - Accent2 72 5 2" xfId="18043"/>
    <cellStyle name="20% - Accent2 72 6" xfId="4761"/>
    <cellStyle name="20% - Accent2 72 6 2" xfId="16049"/>
    <cellStyle name="20% - Accent2 72 7" xfId="14055"/>
    <cellStyle name="20% - Accent2 72 8" xfId="12741"/>
    <cellStyle name="20% - Accent2 8" xfId="806"/>
    <cellStyle name="20% - Accent2 8 2" xfId="3762"/>
    <cellStyle name="20% - Accent2 8 2 2" xfId="11741"/>
    <cellStyle name="20% - Accent2 8 2 2 2" xfId="23029"/>
    <cellStyle name="20% - Accent2 8 2 3" xfId="9747"/>
    <cellStyle name="20% - Accent2 8 2 3 2" xfId="21035"/>
    <cellStyle name="20% - Accent2 8 2 4" xfId="7753"/>
    <cellStyle name="20% - Accent2 8 2 4 2" xfId="19041"/>
    <cellStyle name="20% - Accent2 8 2 5" xfId="5759"/>
    <cellStyle name="20% - Accent2 8 2 5 2" xfId="17047"/>
    <cellStyle name="20% - Accent2 8 2 6" xfId="15053"/>
    <cellStyle name="20% - Accent2 8 3" xfId="10744"/>
    <cellStyle name="20% - Accent2 8 3 2" xfId="22032"/>
    <cellStyle name="20% - Accent2 8 4" xfId="8750"/>
    <cellStyle name="20% - Accent2 8 4 2" xfId="20038"/>
    <cellStyle name="20% - Accent2 8 5" xfId="6756"/>
    <cellStyle name="20% - Accent2 8 5 2" xfId="18044"/>
    <cellStyle name="20% - Accent2 8 6" xfId="4762"/>
    <cellStyle name="20% - Accent2 8 6 2" xfId="16050"/>
    <cellStyle name="20% - Accent2 8 7" xfId="14056"/>
    <cellStyle name="20% - Accent2 8 8" xfId="12742"/>
    <cellStyle name="20% - Accent2 9" xfId="807"/>
    <cellStyle name="20% - Accent2 9 2" xfId="3763"/>
    <cellStyle name="20% - Accent2 9 2 2" xfId="11742"/>
    <cellStyle name="20% - Accent2 9 2 2 2" xfId="23030"/>
    <cellStyle name="20% - Accent2 9 2 3" xfId="9748"/>
    <cellStyle name="20% - Accent2 9 2 3 2" xfId="21036"/>
    <cellStyle name="20% - Accent2 9 2 4" xfId="7754"/>
    <cellStyle name="20% - Accent2 9 2 4 2" xfId="19042"/>
    <cellStyle name="20% - Accent2 9 2 5" xfId="5760"/>
    <cellStyle name="20% - Accent2 9 2 5 2" xfId="17048"/>
    <cellStyle name="20% - Accent2 9 2 6" xfId="15054"/>
    <cellStyle name="20% - Accent2 9 3" xfId="10745"/>
    <cellStyle name="20% - Accent2 9 3 2" xfId="22033"/>
    <cellStyle name="20% - Accent2 9 4" xfId="8751"/>
    <cellStyle name="20% - Accent2 9 4 2" xfId="20039"/>
    <cellStyle name="20% - Accent2 9 5" xfId="6757"/>
    <cellStyle name="20% - Accent2 9 5 2" xfId="18045"/>
    <cellStyle name="20% - Accent2 9 6" xfId="4763"/>
    <cellStyle name="20% - Accent2 9 6 2" xfId="16051"/>
    <cellStyle name="20% - Accent2 9 7" xfId="14057"/>
    <cellStyle name="20% - Accent2 9 8" xfId="12743"/>
    <cellStyle name="20% - Accent3 10" xfId="808"/>
    <cellStyle name="20% - Accent3 10 2" xfId="3764"/>
    <cellStyle name="20% - Accent3 10 2 2" xfId="11743"/>
    <cellStyle name="20% - Accent3 10 2 2 2" xfId="23031"/>
    <cellStyle name="20% - Accent3 10 2 3" xfId="9749"/>
    <cellStyle name="20% - Accent3 10 2 3 2" xfId="21037"/>
    <cellStyle name="20% - Accent3 10 2 4" xfId="7755"/>
    <cellStyle name="20% - Accent3 10 2 4 2" xfId="19043"/>
    <cellStyle name="20% - Accent3 10 2 5" xfId="5761"/>
    <cellStyle name="20% - Accent3 10 2 5 2" xfId="17049"/>
    <cellStyle name="20% - Accent3 10 2 6" xfId="15055"/>
    <cellStyle name="20% - Accent3 10 3" xfId="10746"/>
    <cellStyle name="20% - Accent3 10 3 2" xfId="22034"/>
    <cellStyle name="20% - Accent3 10 4" xfId="8752"/>
    <cellStyle name="20% - Accent3 10 4 2" xfId="20040"/>
    <cellStyle name="20% - Accent3 10 5" xfId="6758"/>
    <cellStyle name="20% - Accent3 10 5 2" xfId="18046"/>
    <cellStyle name="20% - Accent3 10 6" xfId="4764"/>
    <cellStyle name="20% - Accent3 10 6 2" xfId="16052"/>
    <cellStyle name="20% - Accent3 10 7" xfId="14058"/>
    <cellStyle name="20% - Accent3 10 8" xfId="12744"/>
    <cellStyle name="20% - Accent3 11" xfId="809"/>
    <cellStyle name="20% - Accent3 11 2" xfId="3765"/>
    <cellStyle name="20% - Accent3 11 2 2" xfId="11744"/>
    <cellStyle name="20% - Accent3 11 2 2 2" xfId="23032"/>
    <cellStyle name="20% - Accent3 11 2 3" xfId="9750"/>
    <cellStyle name="20% - Accent3 11 2 3 2" xfId="21038"/>
    <cellStyle name="20% - Accent3 11 2 4" xfId="7756"/>
    <cellStyle name="20% - Accent3 11 2 4 2" xfId="19044"/>
    <cellStyle name="20% - Accent3 11 2 5" xfId="5762"/>
    <cellStyle name="20% - Accent3 11 2 5 2" xfId="17050"/>
    <cellStyle name="20% - Accent3 11 2 6" xfId="15056"/>
    <cellStyle name="20% - Accent3 11 3" xfId="10747"/>
    <cellStyle name="20% - Accent3 11 3 2" xfId="22035"/>
    <cellStyle name="20% - Accent3 11 4" xfId="8753"/>
    <cellStyle name="20% - Accent3 11 4 2" xfId="20041"/>
    <cellStyle name="20% - Accent3 11 5" xfId="6759"/>
    <cellStyle name="20% - Accent3 11 5 2" xfId="18047"/>
    <cellStyle name="20% - Accent3 11 6" xfId="4765"/>
    <cellStyle name="20% - Accent3 11 6 2" xfId="16053"/>
    <cellStyle name="20% - Accent3 11 7" xfId="14059"/>
    <cellStyle name="20% - Accent3 11 8" xfId="12745"/>
    <cellStyle name="20% - Accent3 12" xfId="810"/>
    <cellStyle name="20% - Accent3 12 2" xfId="3766"/>
    <cellStyle name="20% - Accent3 12 2 2" xfId="11745"/>
    <cellStyle name="20% - Accent3 12 2 2 2" xfId="23033"/>
    <cellStyle name="20% - Accent3 12 2 3" xfId="9751"/>
    <cellStyle name="20% - Accent3 12 2 3 2" xfId="21039"/>
    <cellStyle name="20% - Accent3 12 2 4" xfId="7757"/>
    <cellStyle name="20% - Accent3 12 2 4 2" xfId="19045"/>
    <cellStyle name="20% - Accent3 12 2 5" xfId="5763"/>
    <cellStyle name="20% - Accent3 12 2 5 2" xfId="17051"/>
    <cellStyle name="20% - Accent3 12 2 6" xfId="15057"/>
    <cellStyle name="20% - Accent3 12 3" xfId="10748"/>
    <cellStyle name="20% - Accent3 12 3 2" xfId="22036"/>
    <cellStyle name="20% - Accent3 12 4" xfId="8754"/>
    <cellStyle name="20% - Accent3 12 4 2" xfId="20042"/>
    <cellStyle name="20% - Accent3 12 5" xfId="6760"/>
    <cellStyle name="20% - Accent3 12 5 2" xfId="18048"/>
    <cellStyle name="20% - Accent3 12 6" xfId="4766"/>
    <cellStyle name="20% - Accent3 12 6 2" xfId="16054"/>
    <cellStyle name="20% - Accent3 12 7" xfId="14060"/>
    <cellStyle name="20% - Accent3 12 8" xfId="12746"/>
    <cellStyle name="20% - Accent3 13" xfId="811"/>
    <cellStyle name="20% - Accent3 13 2" xfId="3767"/>
    <cellStyle name="20% - Accent3 13 2 2" xfId="11746"/>
    <cellStyle name="20% - Accent3 13 2 2 2" xfId="23034"/>
    <cellStyle name="20% - Accent3 13 2 3" xfId="9752"/>
    <cellStyle name="20% - Accent3 13 2 3 2" xfId="21040"/>
    <cellStyle name="20% - Accent3 13 2 4" xfId="7758"/>
    <cellStyle name="20% - Accent3 13 2 4 2" xfId="19046"/>
    <cellStyle name="20% - Accent3 13 2 5" xfId="5764"/>
    <cellStyle name="20% - Accent3 13 2 5 2" xfId="17052"/>
    <cellStyle name="20% - Accent3 13 2 6" xfId="15058"/>
    <cellStyle name="20% - Accent3 13 3" xfId="10749"/>
    <cellStyle name="20% - Accent3 13 3 2" xfId="22037"/>
    <cellStyle name="20% - Accent3 13 4" xfId="8755"/>
    <cellStyle name="20% - Accent3 13 4 2" xfId="20043"/>
    <cellStyle name="20% - Accent3 13 5" xfId="6761"/>
    <cellStyle name="20% - Accent3 13 5 2" xfId="18049"/>
    <cellStyle name="20% - Accent3 13 6" xfId="4767"/>
    <cellStyle name="20% - Accent3 13 6 2" xfId="16055"/>
    <cellStyle name="20% - Accent3 13 7" xfId="14061"/>
    <cellStyle name="20% - Accent3 13 8" xfId="12747"/>
    <cellStyle name="20% - Accent3 14" xfId="812"/>
    <cellStyle name="20% - Accent3 14 2" xfId="3768"/>
    <cellStyle name="20% - Accent3 14 2 2" xfId="11747"/>
    <cellStyle name="20% - Accent3 14 2 2 2" xfId="23035"/>
    <cellStyle name="20% - Accent3 14 2 3" xfId="9753"/>
    <cellStyle name="20% - Accent3 14 2 3 2" xfId="21041"/>
    <cellStyle name="20% - Accent3 14 2 4" xfId="7759"/>
    <cellStyle name="20% - Accent3 14 2 4 2" xfId="19047"/>
    <cellStyle name="20% - Accent3 14 2 5" xfId="5765"/>
    <cellStyle name="20% - Accent3 14 2 5 2" xfId="17053"/>
    <cellStyle name="20% - Accent3 14 2 6" xfId="15059"/>
    <cellStyle name="20% - Accent3 14 3" xfId="10750"/>
    <cellStyle name="20% - Accent3 14 3 2" xfId="22038"/>
    <cellStyle name="20% - Accent3 14 4" xfId="8756"/>
    <cellStyle name="20% - Accent3 14 4 2" xfId="20044"/>
    <cellStyle name="20% - Accent3 14 5" xfId="6762"/>
    <cellStyle name="20% - Accent3 14 5 2" xfId="18050"/>
    <cellStyle name="20% - Accent3 14 6" xfId="4768"/>
    <cellStyle name="20% - Accent3 14 6 2" xfId="16056"/>
    <cellStyle name="20% - Accent3 14 7" xfId="14062"/>
    <cellStyle name="20% - Accent3 14 8" xfId="12748"/>
    <cellStyle name="20% - Accent3 15" xfId="813"/>
    <cellStyle name="20% - Accent3 15 2" xfId="3769"/>
    <cellStyle name="20% - Accent3 15 2 2" xfId="11748"/>
    <cellStyle name="20% - Accent3 15 2 2 2" xfId="23036"/>
    <cellStyle name="20% - Accent3 15 2 3" xfId="9754"/>
    <cellStyle name="20% - Accent3 15 2 3 2" xfId="21042"/>
    <cellStyle name="20% - Accent3 15 2 4" xfId="7760"/>
    <cellStyle name="20% - Accent3 15 2 4 2" xfId="19048"/>
    <cellStyle name="20% - Accent3 15 2 5" xfId="5766"/>
    <cellStyle name="20% - Accent3 15 2 5 2" xfId="17054"/>
    <cellStyle name="20% - Accent3 15 2 6" xfId="15060"/>
    <cellStyle name="20% - Accent3 15 3" xfId="10751"/>
    <cellStyle name="20% - Accent3 15 3 2" xfId="22039"/>
    <cellStyle name="20% - Accent3 15 4" xfId="8757"/>
    <cellStyle name="20% - Accent3 15 4 2" xfId="20045"/>
    <cellStyle name="20% - Accent3 15 5" xfId="6763"/>
    <cellStyle name="20% - Accent3 15 5 2" xfId="18051"/>
    <cellStyle name="20% - Accent3 15 6" xfId="4769"/>
    <cellStyle name="20% - Accent3 15 6 2" xfId="16057"/>
    <cellStyle name="20% - Accent3 15 7" xfId="14063"/>
    <cellStyle name="20% - Accent3 15 8" xfId="12749"/>
    <cellStyle name="20% - Accent3 16" xfId="814"/>
    <cellStyle name="20% - Accent3 16 2" xfId="3770"/>
    <cellStyle name="20% - Accent3 16 2 2" xfId="11749"/>
    <cellStyle name="20% - Accent3 16 2 2 2" xfId="23037"/>
    <cellStyle name="20% - Accent3 16 2 3" xfId="9755"/>
    <cellStyle name="20% - Accent3 16 2 3 2" xfId="21043"/>
    <cellStyle name="20% - Accent3 16 2 4" xfId="7761"/>
    <cellStyle name="20% - Accent3 16 2 4 2" xfId="19049"/>
    <cellStyle name="20% - Accent3 16 2 5" xfId="5767"/>
    <cellStyle name="20% - Accent3 16 2 5 2" xfId="17055"/>
    <cellStyle name="20% - Accent3 16 2 6" xfId="15061"/>
    <cellStyle name="20% - Accent3 16 3" xfId="10752"/>
    <cellStyle name="20% - Accent3 16 3 2" xfId="22040"/>
    <cellStyle name="20% - Accent3 16 4" xfId="8758"/>
    <cellStyle name="20% - Accent3 16 4 2" xfId="20046"/>
    <cellStyle name="20% - Accent3 16 5" xfId="6764"/>
    <cellStyle name="20% - Accent3 16 5 2" xfId="18052"/>
    <cellStyle name="20% - Accent3 16 6" xfId="4770"/>
    <cellStyle name="20% - Accent3 16 6 2" xfId="16058"/>
    <cellStyle name="20% - Accent3 16 7" xfId="14064"/>
    <cellStyle name="20% - Accent3 16 8" xfId="12750"/>
    <cellStyle name="20% - Accent3 17" xfId="815"/>
    <cellStyle name="20% - Accent3 17 2" xfId="3771"/>
    <cellStyle name="20% - Accent3 17 2 2" xfId="11750"/>
    <cellStyle name="20% - Accent3 17 2 2 2" xfId="23038"/>
    <cellStyle name="20% - Accent3 17 2 3" xfId="9756"/>
    <cellStyle name="20% - Accent3 17 2 3 2" xfId="21044"/>
    <cellStyle name="20% - Accent3 17 2 4" xfId="7762"/>
    <cellStyle name="20% - Accent3 17 2 4 2" xfId="19050"/>
    <cellStyle name="20% - Accent3 17 2 5" xfId="5768"/>
    <cellStyle name="20% - Accent3 17 2 5 2" xfId="17056"/>
    <cellStyle name="20% - Accent3 17 2 6" xfId="15062"/>
    <cellStyle name="20% - Accent3 17 3" xfId="10753"/>
    <cellStyle name="20% - Accent3 17 3 2" xfId="22041"/>
    <cellStyle name="20% - Accent3 17 4" xfId="8759"/>
    <cellStyle name="20% - Accent3 17 4 2" xfId="20047"/>
    <cellStyle name="20% - Accent3 17 5" xfId="6765"/>
    <cellStyle name="20% - Accent3 17 5 2" xfId="18053"/>
    <cellStyle name="20% - Accent3 17 6" xfId="4771"/>
    <cellStyle name="20% - Accent3 17 6 2" xfId="16059"/>
    <cellStyle name="20% - Accent3 17 7" xfId="14065"/>
    <cellStyle name="20% - Accent3 17 8" xfId="12751"/>
    <cellStyle name="20% - Accent3 18" xfId="816"/>
    <cellStyle name="20% - Accent3 18 2" xfId="3772"/>
    <cellStyle name="20% - Accent3 18 2 2" xfId="11751"/>
    <cellStyle name="20% - Accent3 18 2 2 2" xfId="23039"/>
    <cellStyle name="20% - Accent3 18 2 3" xfId="9757"/>
    <cellStyle name="20% - Accent3 18 2 3 2" xfId="21045"/>
    <cellStyle name="20% - Accent3 18 2 4" xfId="7763"/>
    <cellStyle name="20% - Accent3 18 2 4 2" xfId="19051"/>
    <cellStyle name="20% - Accent3 18 2 5" xfId="5769"/>
    <cellStyle name="20% - Accent3 18 2 5 2" xfId="17057"/>
    <cellStyle name="20% - Accent3 18 2 6" xfId="15063"/>
    <cellStyle name="20% - Accent3 18 3" xfId="10754"/>
    <cellStyle name="20% - Accent3 18 3 2" xfId="22042"/>
    <cellStyle name="20% - Accent3 18 4" xfId="8760"/>
    <cellStyle name="20% - Accent3 18 4 2" xfId="20048"/>
    <cellStyle name="20% - Accent3 18 5" xfId="6766"/>
    <cellStyle name="20% - Accent3 18 5 2" xfId="18054"/>
    <cellStyle name="20% - Accent3 18 6" xfId="4772"/>
    <cellStyle name="20% - Accent3 18 6 2" xfId="16060"/>
    <cellStyle name="20% - Accent3 18 7" xfId="14066"/>
    <cellStyle name="20% - Accent3 18 8" xfId="12752"/>
    <cellStyle name="20% - Accent3 19" xfId="817"/>
    <cellStyle name="20% - Accent3 19 2" xfId="3773"/>
    <cellStyle name="20% - Accent3 19 2 2" xfId="11752"/>
    <cellStyle name="20% - Accent3 19 2 2 2" xfId="23040"/>
    <cellStyle name="20% - Accent3 19 2 3" xfId="9758"/>
    <cellStyle name="20% - Accent3 19 2 3 2" xfId="21046"/>
    <cellStyle name="20% - Accent3 19 2 4" xfId="7764"/>
    <cellStyle name="20% - Accent3 19 2 4 2" xfId="19052"/>
    <cellStyle name="20% - Accent3 19 2 5" xfId="5770"/>
    <cellStyle name="20% - Accent3 19 2 5 2" xfId="17058"/>
    <cellStyle name="20% - Accent3 19 2 6" xfId="15064"/>
    <cellStyle name="20% - Accent3 19 3" xfId="10755"/>
    <cellStyle name="20% - Accent3 19 3 2" xfId="22043"/>
    <cellStyle name="20% - Accent3 19 4" xfId="8761"/>
    <cellStyle name="20% - Accent3 19 4 2" xfId="20049"/>
    <cellStyle name="20% - Accent3 19 5" xfId="6767"/>
    <cellStyle name="20% - Accent3 19 5 2" xfId="18055"/>
    <cellStyle name="20% - Accent3 19 6" xfId="4773"/>
    <cellStyle name="20% - Accent3 19 6 2" xfId="16061"/>
    <cellStyle name="20% - Accent3 19 7" xfId="14067"/>
    <cellStyle name="20% - Accent3 19 8" xfId="12753"/>
    <cellStyle name="20% - Accent3 2" xfId="818"/>
    <cellStyle name="20% - Accent3 2 10" xfId="24571"/>
    <cellStyle name="20% - Accent3 2 11" xfId="24961"/>
    <cellStyle name="20% - Accent3 2 2" xfId="3774"/>
    <cellStyle name="20% - Accent3 2 2 2" xfId="11753"/>
    <cellStyle name="20% - Accent3 2 2 2 2" xfId="23041"/>
    <cellStyle name="20% - Accent3 2 2 3" xfId="9759"/>
    <cellStyle name="20% - Accent3 2 2 3 2" xfId="21047"/>
    <cellStyle name="20% - Accent3 2 2 4" xfId="7765"/>
    <cellStyle name="20% - Accent3 2 2 4 2" xfId="19053"/>
    <cellStyle name="20% - Accent3 2 2 5" xfId="5771"/>
    <cellStyle name="20% - Accent3 2 2 5 2" xfId="17059"/>
    <cellStyle name="20% - Accent3 2 2 6" xfId="15065"/>
    <cellStyle name="20% - Accent3 2 2 7" xfId="24332"/>
    <cellStyle name="20% - Accent3 2 2 8" xfId="24796"/>
    <cellStyle name="20% - Accent3 2 2 9" xfId="25163"/>
    <cellStyle name="20% - Accent3 2 3" xfId="10756"/>
    <cellStyle name="20% - Accent3 2 3 2" xfId="22044"/>
    <cellStyle name="20% - Accent3 2 4" xfId="8762"/>
    <cellStyle name="20% - Accent3 2 4 2" xfId="20050"/>
    <cellStyle name="20% - Accent3 2 5" xfId="6768"/>
    <cellStyle name="20% - Accent3 2 5 2" xfId="18056"/>
    <cellStyle name="20% - Accent3 2 6" xfId="4774"/>
    <cellStyle name="20% - Accent3 2 6 2" xfId="16062"/>
    <cellStyle name="20% - Accent3 2 7" xfId="14068"/>
    <cellStyle name="20% - Accent3 2 8" xfId="12754"/>
    <cellStyle name="20% - Accent3 2 9" xfId="23944"/>
    <cellStyle name="20% - Accent3 20" xfId="819"/>
    <cellStyle name="20% - Accent3 20 2" xfId="3775"/>
    <cellStyle name="20% - Accent3 20 2 2" xfId="11754"/>
    <cellStyle name="20% - Accent3 20 2 2 2" xfId="23042"/>
    <cellStyle name="20% - Accent3 20 2 3" xfId="9760"/>
    <cellStyle name="20% - Accent3 20 2 3 2" xfId="21048"/>
    <cellStyle name="20% - Accent3 20 2 4" xfId="7766"/>
    <cellStyle name="20% - Accent3 20 2 4 2" xfId="19054"/>
    <cellStyle name="20% - Accent3 20 2 5" xfId="5772"/>
    <cellStyle name="20% - Accent3 20 2 5 2" xfId="17060"/>
    <cellStyle name="20% - Accent3 20 2 6" xfId="15066"/>
    <cellStyle name="20% - Accent3 20 3" xfId="10757"/>
    <cellStyle name="20% - Accent3 20 3 2" xfId="22045"/>
    <cellStyle name="20% - Accent3 20 4" xfId="8763"/>
    <cellStyle name="20% - Accent3 20 4 2" xfId="20051"/>
    <cellStyle name="20% - Accent3 20 5" xfId="6769"/>
    <cellStyle name="20% - Accent3 20 5 2" xfId="18057"/>
    <cellStyle name="20% - Accent3 20 6" xfId="4775"/>
    <cellStyle name="20% - Accent3 20 6 2" xfId="16063"/>
    <cellStyle name="20% - Accent3 20 7" xfId="14069"/>
    <cellStyle name="20% - Accent3 20 8" xfId="12755"/>
    <cellStyle name="20% - Accent3 21" xfId="820"/>
    <cellStyle name="20% - Accent3 21 2" xfId="3776"/>
    <cellStyle name="20% - Accent3 21 2 2" xfId="11755"/>
    <cellStyle name="20% - Accent3 21 2 2 2" xfId="23043"/>
    <cellStyle name="20% - Accent3 21 2 3" xfId="9761"/>
    <cellStyle name="20% - Accent3 21 2 3 2" xfId="21049"/>
    <cellStyle name="20% - Accent3 21 2 4" xfId="7767"/>
    <cellStyle name="20% - Accent3 21 2 4 2" xfId="19055"/>
    <cellStyle name="20% - Accent3 21 2 5" xfId="5773"/>
    <cellStyle name="20% - Accent3 21 2 5 2" xfId="17061"/>
    <cellStyle name="20% - Accent3 21 2 6" xfId="15067"/>
    <cellStyle name="20% - Accent3 21 3" xfId="10758"/>
    <cellStyle name="20% - Accent3 21 3 2" xfId="22046"/>
    <cellStyle name="20% - Accent3 21 4" xfId="8764"/>
    <cellStyle name="20% - Accent3 21 4 2" xfId="20052"/>
    <cellStyle name="20% - Accent3 21 5" xfId="6770"/>
    <cellStyle name="20% - Accent3 21 5 2" xfId="18058"/>
    <cellStyle name="20% - Accent3 21 6" xfId="4776"/>
    <cellStyle name="20% - Accent3 21 6 2" xfId="16064"/>
    <cellStyle name="20% - Accent3 21 7" xfId="14070"/>
    <cellStyle name="20% - Accent3 21 8" xfId="12756"/>
    <cellStyle name="20% - Accent3 22" xfId="821"/>
    <cellStyle name="20% - Accent3 22 2" xfId="3777"/>
    <cellStyle name="20% - Accent3 22 2 2" xfId="11756"/>
    <cellStyle name="20% - Accent3 22 2 2 2" xfId="23044"/>
    <cellStyle name="20% - Accent3 22 2 3" xfId="9762"/>
    <cellStyle name="20% - Accent3 22 2 3 2" xfId="21050"/>
    <cellStyle name="20% - Accent3 22 2 4" xfId="7768"/>
    <cellStyle name="20% - Accent3 22 2 4 2" xfId="19056"/>
    <cellStyle name="20% - Accent3 22 2 5" xfId="5774"/>
    <cellStyle name="20% - Accent3 22 2 5 2" xfId="17062"/>
    <cellStyle name="20% - Accent3 22 2 6" xfId="15068"/>
    <cellStyle name="20% - Accent3 22 3" xfId="10759"/>
    <cellStyle name="20% - Accent3 22 3 2" xfId="22047"/>
    <cellStyle name="20% - Accent3 22 4" xfId="8765"/>
    <cellStyle name="20% - Accent3 22 4 2" xfId="20053"/>
    <cellStyle name="20% - Accent3 22 5" xfId="6771"/>
    <cellStyle name="20% - Accent3 22 5 2" xfId="18059"/>
    <cellStyle name="20% - Accent3 22 6" xfId="4777"/>
    <cellStyle name="20% - Accent3 22 6 2" xfId="16065"/>
    <cellStyle name="20% - Accent3 22 7" xfId="14071"/>
    <cellStyle name="20% - Accent3 22 8" xfId="12757"/>
    <cellStyle name="20% - Accent3 23" xfId="822"/>
    <cellStyle name="20% - Accent3 23 2" xfId="3778"/>
    <cellStyle name="20% - Accent3 23 2 2" xfId="11757"/>
    <cellStyle name="20% - Accent3 23 2 2 2" xfId="23045"/>
    <cellStyle name="20% - Accent3 23 2 3" xfId="9763"/>
    <cellStyle name="20% - Accent3 23 2 3 2" xfId="21051"/>
    <cellStyle name="20% - Accent3 23 2 4" xfId="7769"/>
    <cellStyle name="20% - Accent3 23 2 4 2" xfId="19057"/>
    <cellStyle name="20% - Accent3 23 2 5" xfId="5775"/>
    <cellStyle name="20% - Accent3 23 2 5 2" xfId="17063"/>
    <cellStyle name="20% - Accent3 23 2 6" xfId="15069"/>
    <cellStyle name="20% - Accent3 23 3" xfId="10760"/>
    <cellStyle name="20% - Accent3 23 3 2" xfId="22048"/>
    <cellStyle name="20% - Accent3 23 4" xfId="8766"/>
    <cellStyle name="20% - Accent3 23 4 2" xfId="20054"/>
    <cellStyle name="20% - Accent3 23 5" xfId="6772"/>
    <cellStyle name="20% - Accent3 23 5 2" xfId="18060"/>
    <cellStyle name="20% - Accent3 23 6" xfId="4778"/>
    <cellStyle name="20% - Accent3 23 6 2" xfId="16066"/>
    <cellStyle name="20% - Accent3 23 7" xfId="14072"/>
    <cellStyle name="20% - Accent3 23 8" xfId="12758"/>
    <cellStyle name="20% - Accent3 24" xfId="823"/>
    <cellStyle name="20% - Accent3 24 2" xfId="3779"/>
    <cellStyle name="20% - Accent3 24 2 2" xfId="11758"/>
    <cellStyle name="20% - Accent3 24 2 2 2" xfId="23046"/>
    <cellStyle name="20% - Accent3 24 2 3" xfId="9764"/>
    <cellStyle name="20% - Accent3 24 2 3 2" xfId="21052"/>
    <cellStyle name="20% - Accent3 24 2 4" xfId="7770"/>
    <cellStyle name="20% - Accent3 24 2 4 2" xfId="19058"/>
    <cellStyle name="20% - Accent3 24 2 5" xfId="5776"/>
    <cellStyle name="20% - Accent3 24 2 5 2" xfId="17064"/>
    <cellStyle name="20% - Accent3 24 2 6" xfId="15070"/>
    <cellStyle name="20% - Accent3 24 3" xfId="10761"/>
    <cellStyle name="20% - Accent3 24 3 2" xfId="22049"/>
    <cellStyle name="20% - Accent3 24 4" xfId="8767"/>
    <cellStyle name="20% - Accent3 24 4 2" xfId="20055"/>
    <cellStyle name="20% - Accent3 24 5" xfId="6773"/>
    <cellStyle name="20% - Accent3 24 5 2" xfId="18061"/>
    <cellStyle name="20% - Accent3 24 6" xfId="4779"/>
    <cellStyle name="20% - Accent3 24 6 2" xfId="16067"/>
    <cellStyle name="20% - Accent3 24 7" xfId="14073"/>
    <cellStyle name="20% - Accent3 24 8" xfId="12759"/>
    <cellStyle name="20% - Accent3 25" xfId="824"/>
    <cellStyle name="20% - Accent3 25 2" xfId="3780"/>
    <cellStyle name="20% - Accent3 25 2 2" xfId="11759"/>
    <cellStyle name="20% - Accent3 25 2 2 2" xfId="23047"/>
    <cellStyle name="20% - Accent3 25 2 3" xfId="9765"/>
    <cellStyle name="20% - Accent3 25 2 3 2" xfId="21053"/>
    <cellStyle name="20% - Accent3 25 2 4" xfId="7771"/>
    <cellStyle name="20% - Accent3 25 2 4 2" xfId="19059"/>
    <cellStyle name="20% - Accent3 25 2 5" xfId="5777"/>
    <cellStyle name="20% - Accent3 25 2 5 2" xfId="17065"/>
    <cellStyle name="20% - Accent3 25 2 6" xfId="15071"/>
    <cellStyle name="20% - Accent3 25 3" xfId="10762"/>
    <cellStyle name="20% - Accent3 25 3 2" xfId="22050"/>
    <cellStyle name="20% - Accent3 25 4" xfId="8768"/>
    <cellStyle name="20% - Accent3 25 4 2" xfId="20056"/>
    <cellStyle name="20% - Accent3 25 5" xfId="6774"/>
    <cellStyle name="20% - Accent3 25 5 2" xfId="18062"/>
    <cellStyle name="20% - Accent3 25 6" xfId="4780"/>
    <cellStyle name="20% - Accent3 25 6 2" xfId="16068"/>
    <cellStyle name="20% - Accent3 25 7" xfId="14074"/>
    <cellStyle name="20% - Accent3 25 8" xfId="12760"/>
    <cellStyle name="20% - Accent3 26" xfId="825"/>
    <cellStyle name="20% - Accent3 26 2" xfId="3781"/>
    <cellStyle name="20% - Accent3 26 2 2" xfId="11760"/>
    <cellStyle name="20% - Accent3 26 2 2 2" xfId="23048"/>
    <cellStyle name="20% - Accent3 26 2 3" xfId="9766"/>
    <cellStyle name="20% - Accent3 26 2 3 2" xfId="21054"/>
    <cellStyle name="20% - Accent3 26 2 4" xfId="7772"/>
    <cellStyle name="20% - Accent3 26 2 4 2" xfId="19060"/>
    <cellStyle name="20% - Accent3 26 2 5" xfId="5778"/>
    <cellStyle name="20% - Accent3 26 2 5 2" xfId="17066"/>
    <cellStyle name="20% - Accent3 26 2 6" xfId="15072"/>
    <cellStyle name="20% - Accent3 26 3" xfId="10763"/>
    <cellStyle name="20% - Accent3 26 3 2" xfId="22051"/>
    <cellStyle name="20% - Accent3 26 4" xfId="8769"/>
    <cellStyle name="20% - Accent3 26 4 2" xfId="20057"/>
    <cellStyle name="20% - Accent3 26 5" xfId="6775"/>
    <cellStyle name="20% - Accent3 26 5 2" xfId="18063"/>
    <cellStyle name="20% - Accent3 26 6" xfId="4781"/>
    <cellStyle name="20% - Accent3 26 6 2" xfId="16069"/>
    <cellStyle name="20% - Accent3 26 7" xfId="14075"/>
    <cellStyle name="20% - Accent3 26 8" xfId="12761"/>
    <cellStyle name="20% - Accent3 27" xfId="826"/>
    <cellStyle name="20% - Accent3 27 2" xfId="3782"/>
    <cellStyle name="20% - Accent3 27 2 2" xfId="11761"/>
    <cellStyle name="20% - Accent3 27 2 2 2" xfId="23049"/>
    <cellStyle name="20% - Accent3 27 2 3" xfId="9767"/>
    <cellStyle name="20% - Accent3 27 2 3 2" xfId="21055"/>
    <cellStyle name="20% - Accent3 27 2 4" xfId="7773"/>
    <cellStyle name="20% - Accent3 27 2 4 2" xfId="19061"/>
    <cellStyle name="20% - Accent3 27 2 5" xfId="5779"/>
    <cellStyle name="20% - Accent3 27 2 5 2" xfId="17067"/>
    <cellStyle name="20% - Accent3 27 2 6" xfId="15073"/>
    <cellStyle name="20% - Accent3 27 3" xfId="10764"/>
    <cellStyle name="20% - Accent3 27 3 2" xfId="22052"/>
    <cellStyle name="20% - Accent3 27 4" xfId="8770"/>
    <cellStyle name="20% - Accent3 27 4 2" xfId="20058"/>
    <cellStyle name="20% - Accent3 27 5" xfId="6776"/>
    <cellStyle name="20% - Accent3 27 5 2" xfId="18064"/>
    <cellStyle name="20% - Accent3 27 6" xfId="4782"/>
    <cellStyle name="20% - Accent3 27 6 2" xfId="16070"/>
    <cellStyle name="20% - Accent3 27 7" xfId="14076"/>
    <cellStyle name="20% - Accent3 27 8" xfId="12762"/>
    <cellStyle name="20% - Accent3 28" xfId="827"/>
    <cellStyle name="20% - Accent3 28 2" xfId="3783"/>
    <cellStyle name="20% - Accent3 28 2 2" xfId="11762"/>
    <cellStyle name="20% - Accent3 28 2 2 2" xfId="23050"/>
    <cellStyle name="20% - Accent3 28 2 3" xfId="9768"/>
    <cellStyle name="20% - Accent3 28 2 3 2" xfId="21056"/>
    <cellStyle name="20% - Accent3 28 2 4" xfId="7774"/>
    <cellStyle name="20% - Accent3 28 2 4 2" xfId="19062"/>
    <cellStyle name="20% - Accent3 28 2 5" xfId="5780"/>
    <cellStyle name="20% - Accent3 28 2 5 2" xfId="17068"/>
    <cellStyle name="20% - Accent3 28 2 6" xfId="15074"/>
    <cellStyle name="20% - Accent3 28 3" xfId="10765"/>
    <cellStyle name="20% - Accent3 28 3 2" xfId="22053"/>
    <cellStyle name="20% - Accent3 28 4" xfId="8771"/>
    <cellStyle name="20% - Accent3 28 4 2" xfId="20059"/>
    <cellStyle name="20% - Accent3 28 5" xfId="6777"/>
    <cellStyle name="20% - Accent3 28 5 2" xfId="18065"/>
    <cellStyle name="20% - Accent3 28 6" xfId="4783"/>
    <cellStyle name="20% - Accent3 28 6 2" xfId="16071"/>
    <cellStyle name="20% - Accent3 28 7" xfId="14077"/>
    <cellStyle name="20% - Accent3 28 8" xfId="12763"/>
    <cellStyle name="20% - Accent3 29" xfId="828"/>
    <cellStyle name="20% - Accent3 29 2" xfId="3784"/>
    <cellStyle name="20% - Accent3 29 2 2" xfId="11763"/>
    <cellStyle name="20% - Accent3 29 2 2 2" xfId="23051"/>
    <cellStyle name="20% - Accent3 29 2 3" xfId="9769"/>
    <cellStyle name="20% - Accent3 29 2 3 2" xfId="21057"/>
    <cellStyle name="20% - Accent3 29 2 4" xfId="7775"/>
    <cellStyle name="20% - Accent3 29 2 4 2" xfId="19063"/>
    <cellStyle name="20% - Accent3 29 2 5" xfId="5781"/>
    <cellStyle name="20% - Accent3 29 2 5 2" xfId="17069"/>
    <cellStyle name="20% - Accent3 29 2 6" xfId="15075"/>
    <cellStyle name="20% - Accent3 29 3" xfId="10766"/>
    <cellStyle name="20% - Accent3 29 3 2" xfId="22054"/>
    <cellStyle name="20% - Accent3 29 4" xfId="8772"/>
    <cellStyle name="20% - Accent3 29 4 2" xfId="20060"/>
    <cellStyle name="20% - Accent3 29 5" xfId="6778"/>
    <cellStyle name="20% - Accent3 29 5 2" xfId="18066"/>
    <cellStyle name="20% - Accent3 29 6" xfId="4784"/>
    <cellStyle name="20% - Accent3 29 6 2" xfId="16072"/>
    <cellStyle name="20% - Accent3 29 7" xfId="14078"/>
    <cellStyle name="20% - Accent3 29 8" xfId="12764"/>
    <cellStyle name="20% - Accent3 3" xfId="829"/>
    <cellStyle name="20% - Accent3 3 10" xfId="24572"/>
    <cellStyle name="20% - Accent3 3 11" xfId="24962"/>
    <cellStyle name="20% - Accent3 3 2" xfId="3785"/>
    <cellStyle name="20% - Accent3 3 2 2" xfId="11764"/>
    <cellStyle name="20% - Accent3 3 2 2 2" xfId="23052"/>
    <cellStyle name="20% - Accent3 3 2 3" xfId="9770"/>
    <cellStyle name="20% - Accent3 3 2 3 2" xfId="21058"/>
    <cellStyle name="20% - Accent3 3 2 4" xfId="7776"/>
    <cellStyle name="20% - Accent3 3 2 4 2" xfId="19064"/>
    <cellStyle name="20% - Accent3 3 2 5" xfId="5782"/>
    <cellStyle name="20% - Accent3 3 2 5 2" xfId="17070"/>
    <cellStyle name="20% - Accent3 3 2 6" xfId="15076"/>
    <cellStyle name="20% - Accent3 3 2 7" xfId="24333"/>
    <cellStyle name="20% - Accent3 3 2 8" xfId="24797"/>
    <cellStyle name="20% - Accent3 3 2 9" xfId="25164"/>
    <cellStyle name="20% - Accent3 3 3" xfId="10767"/>
    <cellStyle name="20% - Accent3 3 3 2" xfId="22055"/>
    <cellStyle name="20% - Accent3 3 4" xfId="8773"/>
    <cellStyle name="20% - Accent3 3 4 2" xfId="20061"/>
    <cellStyle name="20% - Accent3 3 5" xfId="6779"/>
    <cellStyle name="20% - Accent3 3 5 2" xfId="18067"/>
    <cellStyle name="20% - Accent3 3 6" xfId="4785"/>
    <cellStyle name="20% - Accent3 3 6 2" xfId="16073"/>
    <cellStyle name="20% - Accent3 3 7" xfId="14079"/>
    <cellStyle name="20% - Accent3 3 8" xfId="12765"/>
    <cellStyle name="20% - Accent3 3 9" xfId="23945"/>
    <cellStyle name="20% - Accent3 30" xfId="830"/>
    <cellStyle name="20% - Accent3 30 2" xfId="3786"/>
    <cellStyle name="20% - Accent3 30 2 2" xfId="11765"/>
    <cellStyle name="20% - Accent3 30 2 2 2" xfId="23053"/>
    <cellStyle name="20% - Accent3 30 2 3" xfId="9771"/>
    <cellStyle name="20% - Accent3 30 2 3 2" xfId="21059"/>
    <cellStyle name="20% - Accent3 30 2 4" xfId="7777"/>
    <cellStyle name="20% - Accent3 30 2 4 2" xfId="19065"/>
    <cellStyle name="20% - Accent3 30 2 5" xfId="5783"/>
    <cellStyle name="20% - Accent3 30 2 5 2" xfId="17071"/>
    <cellStyle name="20% - Accent3 30 2 6" xfId="15077"/>
    <cellStyle name="20% - Accent3 30 3" xfId="10768"/>
    <cellStyle name="20% - Accent3 30 3 2" xfId="22056"/>
    <cellStyle name="20% - Accent3 30 4" xfId="8774"/>
    <cellStyle name="20% - Accent3 30 4 2" xfId="20062"/>
    <cellStyle name="20% - Accent3 30 5" xfId="6780"/>
    <cellStyle name="20% - Accent3 30 5 2" xfId="18068"/>
    <cellStyle name="20% - Accent3 30 6" xfId="4786"/>
    <cellStyle name="20% - Accent3 30 6 2" xfId="16074"/>
    <cellStyle name="20% - Accent3 30 7" xfId="14080"/>
    <cellStyle name="20% - Accent3 30 8" xfId="12766"/>
    <cellStyle name="20% - Accent3 31" xfId="831"/>
    <cellStyle name="20% - Accent3 31 2" xfId="3787"/>
    <cellStyle name="20% - Accent3 31 2 2" xfId="11766"/>
    <cellStyle name="20% - Accent3 31 2 2 2" xfId="23054"/>
    <cellStyle name="20% - Accent3 31 2 3" xfId="9772"/>
    <cellStyle name="20% - Accent3 31 2 3 2" xfId="21060"/>
    <cellStyle name="20% - Accent3 31 2 4" xfId="7778"/>
    <cellStyle name="20% - Accent3 31 2 4 2" xfId="19066"/>
    <cellStyle name="20% - Accent3 31 2 5" xfId="5784"/>
    <cellStyle name="20% - Accent3 31 2 5 2" xfId="17072"/>
    <cellStyle name="20% - Accent3 31 2 6" xfId="15078"/>
    <cellStyle name="20% - Accent3 31 3" xfId="10769"/>
    <cellStyle name="20% - Accent3 31 3 2" xfId="22057"/>
    <cellStyle name="20% - Accent3 31 4" xfId="8775"/>
    <cellStyle name="20% - Accent3 31 4 2" xfId="20063"/>
    <cellStyle name="20% - Accent3 31 5" xfId="6781"/>
    <cellStyle name="20% - Accent3 31 5 2" xfId="18069"/>
    <cellStyle name="20% - Accent3 31 6" xfId="4787"/>
    <cellStyle name="20% - Accent3 31 6 2" xfId="16075"/>
    <cellStyle name="20% - Accent3 31 7" xfId="14081"/>
    <cellStyle name="20% - Accent3 31 8" xfId="12767"/>
    <cellStyle name="20% - Accent3 32" xfId="832"/>
    <cellStyle name="20% - Accent3 32 2" xfId="3788"/>
    <cellStyle name="20% - Accent3 32 2 2" xfId="11767"/>
    <cellStyle name="20% - Accent3 32 2 2 2" xfId="23055"/>
    <cellStyle name="20% - Accent3 32 2 3" xfId="9773"/>
    <cellStyle name="20% - Accent3 32 2 3 2" xfId="21061"/>
    <cellStyle name="20% - Accent3 32 2 4" xfId="7779"/>
    <cellStyle name="20% - Accent3 32 2 4 2" xfId="19067"/>
    <cellStyle name="20% - Accent3 32 2 5" xfId="5785"/>
    <cellStyle name="20% - Accent3 32 2 5 2" xfId="17073"/>
    <cellStyle name="20% - Accent3 32 2 6" xfId="15079"/>
    <cellStyle name="20% - Accent3 32 3" xfId="10770"/>
    <cellStyle name="20% - Accent3 32 3 2" xfId="22058"/>
    <cellStyle name="20% - Accent3 32 4" xfId="8776"/>
    <cellStyle name="20% - Accent3 32 4 2" xfId="20064"/>
    <cellStyle name="20% - Accent3 32 5" xfId="6782"/>
    <cellStyle name="20% - Accent3 32 5 2" xfId="18070"/>
    <cellStyle name="20% - Accent3 32 6" xfId="4788"/>
    <cellStyle name="20% - Accent3 32 6 2" xfId="16076"/>
    <cellStyle name="20% - Accent3 32 7" xfId="14082"/>
    <cellStyle name="20% - Accent3 32 8" xfId="12768"/>
    <cellStyle name="20% - Accent3 33" xfId="833"/>
    <cellStyle name="20% - Accent3 33 2" xfId="3789"/>
    <cellStyle name="20% - Accent3 33 2 2" xfId="11768"/>
    <cellStyle name="20% - Accent3 33 2 2 2" xfId="23056"/>
    <cellStyle name="20% - Accent3 33 2 3" xfId="9774"/>
    <cellStyle name="20% - Accent3 33 2 3 2" xfId="21062"/>
    <cellStyle name="20% - Accent3 33 2 4" xfId="7780"/>
    <cellStyle name="20% - Accent3 33 2 4 2" xfId="19068"/>
    <cellStyle name="20% - Accent3 33 2 5" xfId="5786"/>
    <cellStyle name="20% - Accent3 33 2 5 2" xfId="17074"/>
    <cellStyle name="20% - Accent3 33 2 6" xfId="15080"/>
    <cellStyle name="20% - Accent3 33 3" xfId="10771"/>
    <cellStyle name="20% - Accent3 33 3 2" xfId="22059"/>
    <cellStyle name="20% - Accent3 33 4" xfId="8777"/>
    <cellStyle name="20% - Accent3 33 4 2" xfId="20065"/>
    <cellStyle name="20% - Accent3 33 5" xfId="6783"/>
    <cellStyle name="20% - Accent3 33 5 2" xfId="18071"/>
    <cellStyle name="20% - Accent3 33 6" xfId="4789"/>
    <cellStyle name="20% - Accent3 33 6 2" xfId="16077"/>
    <cellStyle name="20% - Accent3 33 7" xfId="14083"/>
    <cellStyle name="20% - Accent3 33 8" xfId="12769"/>
    <cellStyle name="20% - Accent3 34" xfId="834"/>
    <cellStyle name="20% - Accent3 34 2" xfId="3790"/>
    <cellStyle name="20% - Accent3 34 2 2" xfId="11769"/>
    <cellStyle name="20% - Accent3 34 2 2 2" xfId="23057"/>
    <cellStyle name="20% - Accent3 34 2 3" xfId="9775"/>
    <cellStyle name="20% - Accent3 34 2 3 2" xfId="21063"/>
    <cellStyle name="20% - Accent3 34 2 4" xfId="7781"/>
    <cellStyle name="20% - Accent3 34 2 4 2" xfId="19069"/>
    <cellStyle name="20% - Accent3 34 2 5" xfId="5787"/>
    <cellStyle name="20% - Accent3 34 2 5 2" xfId="17075"/>
    <cellStyle name="20% - Accent3 34 2 6" xfId="15081"/>
    <cellStyle name="20% - Accent3 34 3" xfId="10772"/>
    <cellStyle name="20% - Accent3 34 3 2" xfId="22060"/>
    <cellStyle name="20% - Accent3 34 4" xfId="8778"/>
    <cellStyle name="20% - Accent3 34 4 2" xfId="20066"/>
    <cellStyle name="20% - Accent3 34 5" xfId="6784"/>
    <cellStyle name="20% - Accent3 34 5 2" xfId="18072"/>
    <cellStyle name="20% - Accent3 34 6" xfId="4790"/>
    <cellStyle name="20% - Accent3 34 6 2" xfId="16078"/>
    <cellStyle name="20% - Accent3 34 7" xfId="14084"/>
    <cellStyle name="20% - Accent3 34 8" xfId="12770"/>
    <cellStyle name="20% - Accent3 35" xfId="835"/>
    <cellStyle name="20% - Accent3 35 2" xfId="3791"/>
    <cellStyle name="20% - Accent3 35 2 2" xfId="11770"/>
    <cellStyle name="20% - Accent3 35 2 2 2" xfId="23058"/>
    <cellStyle name="20% - Accent3 35 2 3" xfId="9776"/>
    <cellStyle name="20% - Accent3 35 2 3 2" xfId="21064"/>
    <cellStyle name="20% - Accent3 35 2 4" xfId="7782"/>
    <cellStyle name="20% - Accent3 35 2 4 2" xfId="19070"/>
    <cellStyle name="20% - Accent3 35 2 5" xfId="5788"/>
    <cellStyle name="20% - Accent3 35 2 5 2" xfId="17076"/>
    <cellStyle name="20% - Accent3 35 2 6" xfId="15082"/>
    <cellStyle name="20% - Accent3 35 3" xfId="10773"/>
    <cellStyle name="20% - Accent3 35 3 2" xfId="22061"/>
    <cellStyle name="20% - Accent3 35 4" xfId="8779"/>
    <cellStyle name="20% - Accent3 35 4 2" xfId="20067"/>
    <cellStyle name="20% - Accent3 35 5" xfId="6785"/>
    <cellStyle name="20% - Accent3 35 5 2" xfId="18073"/>
    <cellStyle name="20% - Accent3 35 6" xfId="4791"/>
    <cellStyle name="20% - Accent3 35 6 2" xfId="16079"/>
    <cellStyle name="20% - Accent3 35 7" xfId="14085"/>
    <cellStyle name="20% - Accent3 35 8" xfId="12771"/>
    <cellStyle name="20% - Accent3 36" xfId="836"/>
    <cellStyle name="20% - Accent3 36 2" xfId="3792"/>
    <cellStyle name="20% - Accent3 36 2 2" xfId="11771"/>
    <cellStyle name="20% - Accent3 36 2 2 2" xfId="23059"/>
    <cellStyle name="20% - Accent3 36 2 3" xfId="9777"/>
    <cellStyle name="20% - Accent3 36 2 3 2" xfId="21065"/>
    <cellStyle name="20% - Accent3 36 2 4" xfId="7783"/>
    <cellStyle name="20% - Accent3 36 2 4 2" xfId="19071"/>
    <cellStyle name="20% - Accent3 36 2 5" xfId="5789"/>
    <cellStyle name="20% - Accent3 36 2 5 2" xfId="17077"/>
    <cellStyle name="20% - Accent3 36 2 6" xfId="15083"/>
    <cellStyle name="20% - Accent3 36 3" xfId="10774"/>
    <cellStyle name="20% - Accent3 36 3 2" xfId="22062"/>
    <cellStyle name="20% - Accent3 36 4" xfId="8780"/>
    <cellStyle name="20% - Accent3 36 4 2" xfId="20068"/>
    <cellStyle name="20% - Accent3 36 5" xfId="6786"/>
    <cellStyle name="20% - Accent3 36 5 2" xfId="18074"/>
    <cellStyle name="20% - Accent3 36 6" xfId="4792"/>
    <cellStyle name="20% - Accent3 36 6 2" xfId="16080"/>
    <cellStyle name="20% - Accent3 36 7" xfId="14086"/>
    <cellStyle name="20% - Accent3 36 8" xfId="12772"/>
    <cellStyle name="20% - Accent3 37" xfId="837"/>
    <cellStyle name="20% - Accent3 37 2" xfId="3793"/>
    <cellStyle name="20% - Accent3 37 2 2" xfId="11772"/>
    <cellStyle name="20% - Accent3 37 2 2 2" xfId="23060"/>
    <cellStyle name="20% - Accent3 37 2 3" xfId="9778"/>
    <cellStyle name="20% - Accent3 37 2 3 2" xfId="21066"/>
    <cellStyle name="20% - Accent3 37 2 4" xfId="7784"/>
    <cellStyle name="20% - Accent3 37 2 4 2" xfId="19072"/>
    <cellStyle name="20% - Accent3 37 2 5" xfId="5790"/>
    <cellStyle name="20% - Accent3 37 2 5 2" xfId="17078"/>
    <cellStyle name="20% - Accent3 37 2 6" xfId="15084"/>
    <cellStyle name="20% - Accent3 37 3" xfId="10775"/>
    <cellStyle name="20% - Accent3 37 3 2" xfId="22063"/>
    <cellStyle name="20% - Accent3 37 4" xfId="8781"/>
    <cellStyle name="20% - Accent3 37 4 2" xfId="20069"/>
    <cellStyle name="20% - Accent3 37 5" xfId="6787"/>
    <cellStyle name="20% - Accent3 37 5 2" xfId="18075"/>
    <cellStyle name="20% - Accent3 37 6" xfId="4793"/>
    <cellStyle name="20% - Accent3 37 6 2" xfId="16081"/>
    <cellStyle name="20% - Accent3 37 7" xfId="14087"/>
    <cellStyle name="20% - Accent3 37 8" xfId="12773"/>
    <cellStyle name="20% - Accent3 38" xfId="838"/>
    <cellStyle name="20% - Accent3 38 2" xfId="3794"/>
    <cellStyle name="20% - Accent3 38 2 2" xfId="11773"/>
    <cellStyle name="20% - Accent3 38 2 2 2" xfId="23061"/>
    <cellStyle name="20% - Accent3 38 2 3" xfId="9779"/>
    <cellStyle name="20% - Accent3 38 2 3 2" xfId="21067"/>
    <cellStyle name="20% - Accent3 38 2 4" xfId="7785"/>
    <cellStyle name="20% - Accent3 38 2 4 2" xfId="19073"/>
    <cellStyle name="20% - Accent3 38 2 5" xfId="5791"/>
    <cellStyle name="20% - Accent3 38 2 5 2" xfId="17079"/>
    <cellStyle name="20% - Accent3 38 2 6" xfId="15085"/>
    <cellStyle name="20% - Accent3 38 3" xfId="10776"/>
    <cellStyle name="20% - Accent3 38 3 2" xfId="22064"/>
    <cellStyle name="20% - Accent3 38 4" xfId="8782"/>
    <cellStyle name="20% - Accent3 38 4 2" xfId="20070"/>
    <cellStyle name="20% - Accent3 38 5" xfId="6788"/>
    <cellStyle name="20% - Accent3 38 5 2" xfId="18076"/>
    <cellStyle name="20% - Accent3 38 6" xfId="4794"/>
    <cellStyle name="20% - Accent3 38 6 2" xfId="16082"/>
    <cellStyle name="20% - Accent3 38 7" xfId="14088"/>
    <cellStyle name="20% - Accent3 38 8" xfId="12774"/>
    <cellStyle name="20% - Accent3 39" xfId="839"/>
    <cellStyle name="20% - Accent3 39 2" xfId="3795"/>
    <cellStyle name="20% - Accent3 39 2 2" xfId="11774"/>
    <cellStyle name="20% - Accent3 39 2 2 2" xfId="23062"/>
    <cellStyle name="20% - Accent3 39 2 3" xfId="9780"/>
    <cellStyle name="20% - Accent3 39 2 3 2" xfId="21068"/>
    <cellStyle name="20% - Accent3 39 2 4" xfId="7786"/>
    <cellStyle name="20% - Accent3 39 2 4 2" xfId="19074"/>
    <cellStyle name="20% - Accent3 39 2 5" xfId="5792"/>
    <cellStyle name="20% - Accent3 39 2 5 2" xfId="17080"/>
    <cellStyle name="20% - Accent3 39 2 6" xfId="15086"/>
    <cellStyle name="20% - Accent3 39 3" xfId="10777"/>
    <cellStyle name="20% - Accent3 39 3 2" xfId="22065"/>
    <cellStyle name="20% - Accent3 39 4" xfId="8783"/>
    <cellStyle name="20% - Accent3 39 4 2" xfId="20071"/>
    <cellStyle name="20% - Accent3 39 5" xfId="6789"/>
    <cellStyle name="20% - Accent3 39 5 2" xfId="18077"/>
    <cellStyle name="20% - Accent3 39 6" xfId="4795"/>
    <cellStyle name="20% - Accent3 39 6 2" xfId="16083"/>
    <cellStyle name="20% - Accent3 39 7" xfId="14089"/>
    <cellStyle name="20% - Accent3 39 8" xfId="12775"/>
    <cellStyle name="20% - Accent3 4" xfId="840"/>
    <cellStyle name="20% - Accent3 4 10" xfId="24573"/>
    <cellStyle name="20% - Accent3 4 11" xfId="24963"/>
    <cellStyle name="20% - Accent3 4 2" xfId="3796"/>
    <cellStyle name="20% - Accent3 4 2 2" xfId="11775"/>
    <cellStyle name="20% - Accent3 4 2 2 2" xfId="23063"/>
    <cellStyle name="20% - Accent3 4 2 3" xfId="9781"/>
    <cellStyle name="20% - Accent3 4 2 3 2" xfId="21069"/>
    <cellStyle name="20% - Accent3 4 2 4" xfId="7787"/>
    <cellStyle name="20% - Accent3 4 2 4 2" xfId="19075"/>
    <cellStyle name="20% - Accent3 4 2 5" xfId="5793"/>
    <cellStyle name="20% - Accent3 4 2 5 2" xfId="17081"/>
    <cellStyle name="20% - Accent3 4 2 6" xfId="15087"/>
    <cellStyle name="20% - Accent3 4 2 7" xfId="24334"/>
    <cellStyle name="20% - Accent3 4 2 8" xfId="24798"/>
    <cellStyle name="20% - Accent3 4 2 9" xfId="25165"/>
    <cellStyle name="20% - Accent3 4 3" xfId="10778"/>
    <cellStyle name="20% - Accent3 4 3 2" xfId="22066"/>
    <cellStyle name="20% - Accent3 4 4" xfId="8784"/>
    <cellStyle name="20% - Accent3 4 4 2" xfId="20072"/>
    <cellStyle name="20% - Accent3 4 5" xfId="6790"/>
    <cellStyle name="20% - Accent3 4 5 2" xfId="18078"/>
    <cellStyle name="20% - Accent3 4 6" xfId="4796"/>
    <cellStyle name="20% - Accent3 4 6 2" xfId="16084"/>
    <cellStyle name="20% - Accent3 4 7" xfId="14090"/>
    <cellStyle name="20% - Accent3 4 8" xfId="12776"/>
    <cellStyle name="20% - Accent3 4 9" xfId="23946"/>
    <cellStyle name="20% - Accent3 40" xfId="841"/>
    <cellStyle name="20% - Accent3 40 2" xfId="3797"/>
    <cellStyle name="20% - Accent3 40 2 2" xfId="11776"/>
    <cellStyle name="20% - Accent3 40 2 2 2" xfId="23064"/>
    <cellStyle name="20% - Accent3 40 2 3" xfId="9782"/>
    <cellStyle name="20% - Accent3 40 2 3 2" xfId="21070"/>
    <cellStyle name="20% - Accent3 40 2 4" xfId="7788"/>
    <cellStyle name="20% - Accent3 40 2 4 2" xfId="19076"/>
    <cellStyle name="20% - Accent3 40 2 5" xfId="5794"/>
    <cellStyle name="20% - Accent3 40 2 5 2" xfId="17082"/>
    <cellStyle name="20% - Accent3 40 2 6" xfId="15088"/>
    <cellStyle name="20% - Accent3 40 3" xfId="10779"/>
    <cellStyle name="20% - Accent3 40 3 2" xfId="22067"/>
    <cellStyle name="20% - Accent3 40 4" xfId="8785"/>
    <cellStyle name="20% - Accent3 40 4 2" xfId="20073"/>
    <cellStyle name="20% - Accent3 40 5" xfId="6791"/>
    <cellStyle name="20% - Accent3 40 5 2" xfId="18079"/>
    <cellStyle name="20% - Accent3 40 6" xfId="4797"/>
    <cellStyle name="20% - Accent3 40 6 2" xfId="16085"/>
    <cellStyle name="20% - Accent3 40 7" xfId="14091"/>
    <cellStyle name="20% - Accent3 40 8" xfId="12777"/>
    <cellStyle name="20% - Accent3 41" xfId="842"/>
    <cellStyle name="20% - Accent3 41 2" xfId="3798"/>
    <cellStyle name="20% - Accent3 41 2 2" xfId="11777"/>
    <cellStyle name="20% - Accent3 41 2 2 2" xfId="23065"/>
    <cellStyle name="20% - Accent3 41 2 3" xfId="9783"/>
    <cellStyle name="20% - Accent3 41 2 3 2" xfId="21071"/>
    <cellStyle name="20% - Accent3 41 2 4" xfId="7789"/>
    <cellStyle name="20% - Accent3 41 2 4 2" xfId="19077"/>
    <cellStyle name="20% - Accent3 41 2 5" xfId="5795"/>
    <cellStyle name="20% - Accent3 41 2 5 2" xfId="17083"/>
    <cellStyle name="20% - Accent3 41 2 6" xfId="15089"/>
    <cellStyle name="20% - Accent3 41 3" xfId="10780"/>
    <cellStyle name="20% - Accent3 41 3 2" xfId="22068"/>
    <cellStyle name="20% - Accent3 41 4" xfId="8786"/>
    <cellStyle name="20% - Accent3 41 4 2" xfId="20074"/>
    <cellStyle name="20% - Accent3 41 5" xfId="6792"/>
    <cellStyle name="20% - Accent3 41 5 2" xfId="18080"/>
    <cellStyle name="20% - Accent3 41 6" xfId="4798"/>
    <cellStyle name="20% - Accent3 41 6 2" xfId="16086"/>
    <cellStyle name="20% - Accent3 41 7" xfId="14092"/>
    <cellStyle name="20% - Accent3 41 8" xfId="12778"/>
    <cellStyle name="20% - Accent3 42" xfId="843"/>
    <cellStyle name="20% - Accent3 42 2" xfId="3799"/>
    <cellStyle name="20% - Accent3 42 2 2" xfId="11778"/>
    <cellStyle name="20% - Accent3 42 2 2 2" xfId="23066"/>
    <cellStyle name="20% - Accent3 42 2 3" xfId="9784"/>
    <cellStyle name="20% - Accent3 42 2 3 2" xfId="21072"/>
    <cellStyle name="20% - Accent3 42 2 4" xfId="7790"/>
    <cellStyle name="20% - Accent3 42 2 4 2" xfId="19078"/>
    <cellStyle name="20% - Accent3 42 2 5" xfId="5796"/>
    <cellStyle name="20% - Accent3 42 2 5 2" xfId="17084"/>
    <cellStyle name="20% - Accent3 42 2 6" xfId="15090"/>
    <cellStyle name="20% - Accent3 42 3" xfId="10781"/>
    <cellStyle name="20% - Accent3 42 3 2" xfId="22069"/>
    <cellStyle name="20% - Accent3 42 4" xfId="8787"/>
    <cellStyle name="20% - Accent3 42 4 2" xfId="20075"/>
    <cellStyle name="20% - Accent3 42 5" xfId="6793"/>
    <cellStyle name="20% - Accent3 42 5 2" xfId="18081"/>
    <cellStyle name="20% - Accent3 42 6" xfId="4799"/>
    <cellStyle name="20% - Accent3 42 6 2" xfId="16087"/>
    <cellStyle name="20% - Accent3 42 7" xfId="14093"/>
    <cellStyle name="20% - Accent3 42 8" xfId="12779"/>
    <cellStyle name="20% - Accent3 43" xfId="844"/>
    <cellStyle name="20% - Accent3 43 2" xfId="3800"/>
    <cellStyle name="20% - Accent3 43 2 2" xfId="11779"/>
    <cellStyle name="20% - Accent3 43 2 2 2" xfId="23067"/>
    <cellStyle name="20% - Accent3 43 2 3" xfId="9785"/>
    <cellStyle name="20% - Accent3 43 2 3 2" xfId="21073"/>
    <cellStyle name="20% - Accent3 43 2 4" xfId="7791"/>
    <cellStyle name="20% - Accent3 43 2 4 2" xfId="19079"/>
    <cellStyle name="20% - Accent3 43 2 5" xfId="5797"/>
    <cellStyle name="20% - Accent3 43 2 5 2" xfId="17085"/>
    <cellStyle name="20% - Accent3 43 2 6" xfId="15091"/>
    <cellStyle name="20% - Accent3 43 3" xfId="10782"/>
    <cellStyle name="20% - Accent3 43 3 2" xfId="22070"/>
    <cellStyle name="20% - Accent3 43 4" xfId="8788"/>
    <cellStyle name="20% - Accent3 43 4 2" xfId="20076"/>
    <cellStyle name="20% - Accent3 43 5" xfId="6794"/>
    <cellStyle name="20% - Accent3 43 5 2" xfId="18082"/>
    <cellStyle name="20% - Accent3 43 6" xfId="4800"/>
    <cellStyle name="20% - Accent3 43 6 2" xfId="16088"/>
    <cellStyle name="20% - Accent3 43 7" xfId="14094"/>
    <cellStyle name="20% - Accent3 43 8" xfId="12780"/>
    <cellStyle name="20% - Accent3 44" xfId="845"/>
    <cellStyle name="20% - Accent3 44 2" xfId="3801"/>
    <cellStyle name="20% - Accent3 44 2 2" xfId="11780"/>
    <cellStyle name="20% - Accent3 44 2 2 2" xfId="23068"/>
    <cellStyle name="20% - Accent3 44 2 3" xfId="9786"/>
    <cellStyle name="20% - Accent3 44 2 3 2" xfId="21074"/>
    <cellStyle name="20% - Accent3 44 2 4" xfId="7792"/>
    <cellStyle name="20% - Accent3 44 2 4 2" xfId="19080"/>
    <cellStyle name="20% - Accent3 44 2 5" xfId="5798"/>
    <cellStyle name="20% - Accent3 44 2 5 2" xfId="17086"/>
    <cellStyle name="20% - Accent3 44 2 6" xfId="15092"/>
    <cellStyle name="20% - Accent3 44 3" xfId="10783"/>
    <cellStyle name="20% - Accent3 44 3 2" xfId="22071"/>
    <cellStyle name="20% - Accent3 44 4" xfId="8789"/>
    <cellStyle name="20% - Accent3 44 4 2" xfId="20077"/>
    <cellStyle name="20% - Accent3 44 5" xfId="6795"/>
    <cellStyle name="20% - Accent3 44 5 2" xfId="18083"/>
    <cellStyle name="20% - Accent3 44 6" xfId="4801"/>
    <cellStyle name="20% - Accent3 44 6 2" xfId="16089"/>
    <cellStyle name="20% - Accent3 44 7" xfId="14095"/>
    <cellStyle name="20% - Accent3 44 8" xfId="12781"/>
    <cellStyle name="20% - Accent3 45" xfId="846"/>
    <cellStyle name="20% - Accent3 45 2" xfId="3802"/>
    <cellStyle name="20% - Accent3 45 2 2" xfId="11781"/>
    <cellStyle name="20% - Accent3 45 2 2 2" xfId="23069"/>
    <cellStyle name="20% - Accent3 45 2 3" xfId="9787"/>
    <cellStyle name="20% - Accent3 45 2 3 2" xfId="21075"/>
    <cellStyle name="20% - Accent3 45 2 4" xfId="7793"/>
    <cellStyle name="20% - Accent3 45 2 4 2" xfId="19081"/>
    <cellStyle name="20% - Accent3 45 2 5" xfId="5799"/>
    <cellStyle name="20% - Accent3 45 2 5 2" xfId="17087"/>
    <cellStyle name="20% - Accent3 45 2 6" xfId="15093"/>
    <cellStyle name="20% - Accent3 45 3" xfId="10784"/>
    <cellStyle name="20% - Accent3 45 3 2" xfId="22072"/>
    <cellStyle name="20% - Accent3 45 4" xfId="8790"/>
    <cellStyle name="20% - Accent3 45 4 2" xfId="20078"/>
    <cellStyle name="20% - Accent3 45 5" xfId="6796"/>
    <cellStyle name="20% - Accent3 45 5 2" xfId="18084"/>
    <cellStyle name="20% - Accent3 45 6" xfId="4802"/>
    <cellStyle name="20% - Accent3 45 6 2" xfId="16090"/>
    <cellStyle name="20% - Accent3 45 7" xfId="14096"/>
    <cellStyle name="20% - Accent3 45 8" xfId="12782"/>
    <cellStyle name="20% - Accent3 46" xfId="847"/>
    <cellStyle name="20% - Accent3 46 2" xfId="3803"/>
    <cellStyle name="20% - Accent3 46 2 2" xfId="11782"/>
    <cellStyle name="20% - Accent3 46 2 2 2" xfId="23070"/>
    <cellStyle name="20% - Accent3 46 2 3" xfId="9788"/>
    <cellStyle name="20% - Accent3 46 2 3 2" xfId="21076"/>
    <cellStyle name="20% - Accent3 46 2 4" xfId="7794"/>
    <cellStyle name="20% - Accent3 46 2 4 2" xfId="19082"/>
    <cellStyle name="20% - Accent3 46 2 5" xfId="5800"/>
    <cellStyle name="20% - Accent3 46 2 5 2" xfId="17088"/>
    <cellStyle name="20% - Accent3 46 2 6" xfId="15094"/>
    <cellStyle name="20% - Accent3 46 3" xfId="10785"/>
    <cellStyle name="20% - Accent3 46 3 2" xfId="22073"/>
    <cellStyle name="20% - Accent3 46 4" xfId="8791"/>
    <cellStyle name="20% - Accent3 46 4 2" xfId="20079"/>
    <cellStyle name="20% - Accent3 46 5" xfId="6797"/>
    <cellStyle name="20% - Accent3 46 5 2" xfId="18085"/>
    <cellStyle name="20% - Accent3 46 6" xfId="4803"/>
    <cellStyle name="20% - Accent3 46 6 2" xfId="16091"/>
    <cellStyle name="20% - Accent3 46 7" xfId="14097"/>
    <cellStyle name="20% - Accent3 46 8" xfId="12783"/>
    <cellStyle name="20% - Accent3 47" xfId="848"/>
    <cellStyle name="20% - Accent3 47 2" xfId="3804"/>
    <cellStyle name="20% - Accent3 47 2 2" xfId="11783"/>
    <cellStyle name="20% - Accent3 47 2 2 2" xfId="23071"/>
    <cellStyle name="20% - Accent3 47 2 3" xfId="9789"/>
    <cellStyle name="20% - Accent3 47 2 3 2" xfId="21077"/>
    <cellStyle name="20% - Accent3 47 2 4" xfId="7795"/>
    <cellStyle name="20% - Accent3 47 2 4 2" xfId="19083"/>
    <cellStyle name="20% - Accent3 47 2 5" xfId="5801"/>
    <cellStyle name="20% - Accent3 47 2 5 2" xfId="17089"/>
    <cellStyle name="20% - Accent3 47 2 6" xfId="15095"/>
    <cellStyle name="20% - Accent3 47 3" xfId="10786"/>
    <cellStyle name="20% - Accent3 47 3 2" xfId="22074"/>
    <cellStyle name="20% - Accent3 47 4" xfId="8792"/>
    <cellStyle name="20% - Accent3 47 4 2" xfId="20080"/>
    <cellStyle name="20% - Accent3 47 5" xfId="6798"/>
    <cellStyle name="20% - Accent3 47 5 2" xfId="18086"/>
    <cellStyle name="20% - Accent3 47 6" xfId="4804"/>
    <cellStyle name="20% - Accent3 47 6 2" xfId="16092"/>
    <cellStyle name="20% - Accent3 47 7" xfId="14098"/>
    <cellStyle name="20% - Accent3 47 8" xfId="12784"/>
    <cellStyle name="20% - Accent3 48" xfId="849"/>
    <cellStyle name="20% - Accent3 48 2" xfId="3805"/>
    <cellStyle name="20% - Accent3 48 2 2" xfId="11784"/>
    <cellStyle name="20% - Accent3 48 2 2 2" xfId="23072"/>
    <cellStyle name="20% - Accent3 48 2 3" xfId="9790"/>
    <cellStyle name="20% - Accent3 48 2 3 2" xfId="21078"/>
    <cellStyle name="20% - Accent3 48 2 4" xfId="7796"/>
    <cellStyle name="20% - Accent3 48 2 4 2" xfId="19084"/>
    <cellStyle name="20% - Accent3 48 2 5" xfId="5802"/>
    <cellStyle name="20% - Accent3 48 2 5 2" xfId="17090"/>
    <cellStyle name="20% - Accent3 48 2 6" xfId="15096"/>
    <cellStyle name="20% - Accent3 48 3" xfId="10787"/>
    <cellStyle name="20% - Accent3 48 3 2" xfId="22075"/>
    <cellStyle name="20% - Accent3 48 4" xfId="8793"/>
    <cellStyle name="20% - Accent3 48 4 2" xfId="20081"/>
    <cellStyle name="20% - Accent3 48 5" xfId="6799"/>
    <cellStyle name="20% - Accent3 48 5 2" xfId="18087"/>
    <cellStyle name="20% - Accent3 48 6" xfId="4805"/>
    <cellStyle name="20% - Accent3 48 6 2" xfId="16093"/>
    <cellStyle name="20% - Accent3 48 7" xfId="14099"/>
    <cellStyle name="20% - Accent3 48 8" xfId="12785"/>
    <cellStyle name="20% - Accent3 49" xfId="850"/>
    <cellStyle name="20% - Accent3 49 2" xfId="3806"/>
    <cellStyle name="20% - Accent3 49 2 2" xfId="11785"/>
    <cellStyle name="20% - Accent3 49 2 2 2" xfId="23073"/>
    <cellStyle name="20% - Accent3 49 2 3" xfId="9791"/>
    <cellStyle name="20% - Accent3 49 2 3 2" xfId="21079"/>
    <cellStyle name="20% - Accent3 49 2 4" xfId="7797"/>
    <cellStyle name="20% - Accent3 49 2 4 2" xfId="19085"/>
    <cellStyle name="20% - Accent3 49 2 5" xfId="5803"/>
    <cellStyle name="20% - Accent3 49 2 5 2" xfId="17091"/>
    <cellStyle name="20% - Accent3 49 2 6" xfId="15097"/>
    <cellStyle name="20% - Accent3 49 3" xfId="10788"/>
    <cellStyle name="20% - Accent3 49 3 2" xfId="22076"/>
    <cellStyle name="20% - Accent3 49 4" xfId="8794"/>
    <cellStyle name="20% - Accent3 49 4 2" xfId="20082"/>
    <cellStyle name="20% - Accent3 49 5" xfId="6800"/>
    <cellStyle name="20% - Accent3 49 5 2" xfId="18088"/>
    <cellStyle name="20% - Accent3 49 6" xfId="4806"/>
    <cellStyle name="20% - Accent3 49 6 2" xfId="16094"/>
    <cellStyle name="20% - Accent3 49 7" xfId="14100"/>
    <cellStyle name="20% - Accent3 49 8" xfId="12786"/>
    <cellStyle name="20% - Accent3 5" xfId="851"/>
    <cellStyle name="20% - Accent3 5 10" xfId="24574"/>
    <cellStyle name="20% - Accent3 5 11" xfId="24964"/>
    <cellStyle name="20% - Accent3 5 2" xfId="3807"/>
    <cellStyle name="20% - Accent3 5 2 2" xfId="11786"/>
    <cellStyle name="20% - Accent3 5 2 2 2" xfId="23074"/>
    <cellStyle name="20% - Accent3 5 2 3" xfId="9792"/>
    <cellStyle name="20% - Accent3 5 2 3 2" xfId="21080"/>
    <cellStyle name="20% - Accent3 5 2 4" xfId="7798"/>
    <cellStyle name="20% - Accent3 5 2 4 2" xfId="19086"/>
    <cellStyle name="20% - Accent3 5 2 5" xfId="5804"/>
    <cellStyle name="20% - Accent3 5 2 5 2" xfId="17092"/>
    <cellStyle name="20% - Accent3 5 2 6" xfId="15098"/>
    <cellStyle name="20% - Accent3 5 2 7" xfId="24335"/>
    <cellStyle name="20% - Accent3 5 2 8" xfId="24799"/>
    <cellStyle name="20% - Accent3 5 2 9" xfId="25166"/>
    <cellStyle name="20% - Accent3 5 3" xfId="10789"/>
    <cellStyle name="20% - Accent3 5 3 2" xfId="22077"/>
    <cellStyle name="20% - Accent3 5 4" xfId="8795"/>
    <cellStyle name="20% - Accent3 5 4 2" xfId="20083"/>
    <cellStyle name="20% - Accent3 5 5" xfId="6801"/>
    <cellStyle name="20% - Accent3 5 5 2" xfId="18089"/>
    <cellStyle name="20% - Accent3 5 6" xfId="4807"/>
    <cellStyle name="20% - Accent3 5 6 2" xfId="16095"/>
    <cellStyle name="20% - Accent3 5 7" xfId="14101"/>
    <cellStyle name="20% - Accent3 5 8" xfId="12787"/>
    <cellStyle name="20% - Accent3 5 9" xfId="23947"/>
    <cellStyle name="20% - Accent3 50" xfId="852"/>
    <cellStyle name="20% - Accent3 50 2" xfId="3808"/>
    <cellStyle name="20% - Accent3 50 2 2" xfId="11787"/>
    <cellStyle name="20% - Accent3 50 2 2 2" xfId="23075"/>
    <cellStyle name="20% - Accent3 50 2 3" xfId="9793"/>
    <cellStyle name="20% - Accent3 50 2 3 2" xfId="21081"/>
    <cellStyle name="20% - Accent3 50 2 4" xfId="7799"/>
    <cellStyle name="20% - Accent3 50 2 4 2" xfId="19087"/>
    <cellStyle name="20% - Accent3 50 2 5" xfId="5805"/>
    <cellStyle name="20% - Accent3 50 2 5 2" xfId="17093"/>
    <cellStyle name="20% - Accent3 50 2 6" xfId="15099"/>
    <cellStyle name="20% - Accent3 50 3" xfId="10790"/>
    <cellStyle name="20% - Accent3 50 3 2" xfId="22078"/>
    <cellStyle name="20% - Accent3 50 4" xfId="8796"/>
    <cellStyle name="20% - Accent3 50 4 2" xfId="20084"/>
    <cellStyle name="20% - Accent3 50 5" xfId="6802"/>
    <cellStyle name="20% - Accent3 50 5 2" xfId="18090"/>
    <cellStyle name="20% - Accent3 50 6" xfId="4808"/>
    <cellStyle name="20% - Accent3 50 6 2" xfId="16096"/>
    <cellStyle name="20% - Accent3 50 7" xfId="14102"/>
    <cellStyle name="20% - Accent3 50 8" xfId="12788"/>
    <cellStyle name="20% - Accent3 51" xfId="853"/>
    <cellStyle name="20% - Accent3 51 2" xfId="3809"/>
    <cellStyle name="20% - Accent3 51 2 2" xfId="11788"/>
    <cellStyle name="20% - Accent3 51 2 2 2" xfId="23076"/>
    <cellStyle name="20% - Accent3 51 2 3" xfId="9794"/>
    <cellStyle name="20% - Accent3 51 2 3 2" xfId="21082"/>
    <cellStyle name="20% - Accent3 51 2 4" xfId="7800"/>
    <cellStyle name="20% - Accent3 51 2 4 2" xfId="19088"/>
    <cellStyle name="20% - Accent3 51 2 5" xfId="5806"/>
    <cellStyle name="20% - Accent3 51 2 5 2" xfId="17094"/>
    <cellStyle name="20% - Accent3 51 2 6" xfId="15100"/>
    <cellStyle name="20% - Accent3 51 3" xfId="10791"/>
    <cellStyle name="20% - Accent3 51 3 2" xfId="22079"/>
    <cellStyle name="20% - Accent3 51 4" xfId="8797"/>
    <cellStyle name="20% - Accent3 51 4 2" xfId="20085"/>
    <cellStyle name="20% - Accent3 51 5" xfId="6803"/>
    <cellStyle name="20% - Accent3 51 5 2" xfId="18091"/>
    <cellStyle name="20% - Accent3 51 6" xfId="4809"/>
    <cellStyle name="20% - Accent3 51 6 2" xfId="16097"/>
    <cellStyle name="20% - Accent3 51 7" xfId="14103"/>
    <cellStyle name="20% - Accent3 51 8" xfId="12789"/>
    <cellStyle name="20% - Accent3 52" xfId="854"/>
    <cellStyle name="20% - Accent3 52 2" xfId="3810"/>
    <cellStyle name="20% - Accent3 52 2 2" xfId="11789"/>
    <cellStyle name="20% - Accent3 52 2 2 2" xfId="23077"/>
    <cellStyle name="20% - Accent3 52 2 3" xfId="9795"/>
    <cellStyle name="20% - Accent3 52 2 3 2" xfId="21083"/>
    <cellStyle name="20% - Accent3 52 2 4" xfId="7801"/>
    <cellStyle name="20% - Accent3 52 2 4 2" xfId="19089"/>
    <cellStyle name="20% - Accent3 52 2 5" xfId="5807"/>
    <cellStyle name="20% - Accent3 52 2 5 2" xfId="17095"/>
    <cellStyle name="20% - Accent3 52 2 6" xfId="15101"/>
    <cellStyle name="20% - Accent3 52 3" xfId="10792"/>
    <cellStyle name="20% - Accent3 52 3 2" xfId="22080"/>
    <cellStyle name="20% - Accent3 52 4" xfId="8798"/>
    <cellStyle name="20% - Accent3 52 4 2" xfId="20086"/>
    <cellStyle name="20% - Accent3 52 5" xfId="6804"/>
    <cellStyle name="20% - Accent3 52 5 2" xfId="18092"/>
    <cellStyle name="20% - Accent3 52 6" xfId="4810"/>
    <cellStyle name="20% - Accent3 52 6 2" xfId="16098"/>
    <cellStyle name="20% - Accent3 52 7" xfId="14104"/>
    <cellStyle name="20% - Accent3 52 8" xfId="12790"/>
    <cellStyle name="20% - Accent3 53" xfId="855"/>
    <cellStyle name="20% - Accent3 53 2" xfId="3811"/>
    <cellStyle name="20% - Accent3 53 2 2" xfId="11790"/>
    <cellStyle name="20% - Accent3 53 2 2 2" xfId="23078"/>
    <cellStyle name="20% - Accent3 53 2 3" xfId="9796"/>
    <cellStyle name="20% - Accent3 53 2 3 2" xfId="21084"/>
    <cellStyle name="20% - Accent3 53 2 4" xfId="7802"/>
    <cellStyle name="20% - Accent3 53 2 4 2" xfId="19090"/>
    <cellStyle name="20% - Accent3 53 2 5" xfId="5808"/>
    <cellStyle name="20% - Accent3 53 2 5 2" xfId="17096"/>
    <cellStyle name="20% - Accent3 53 2 6" xfId="15102"/>
    <cellStyle name="20% - Accent3 53 3" xfId="10793"/>
    <cellStyle name="20% - Accent3 53 3 2" xfId="22081"/>
    <cellStyle name="20% - Accent3 53 4" xfId="8799"/>
    <cellStyle name="20% - Accent3 53 4 2" xfId="20087"/>
    <cellStyle name="20% - Accent3 53 5" xfId="6805"/>
    <cellStyle name="20% - Accent3 53 5 2" xfId="18093"/>
    <cellStyle name="20% - Accent3 53 6" xfId="4811"/>
    <cellStyle name="20% - Accent3 53 6 2" xfId="16099"/>
    <cellStyle name="20% - Accent3 53 7" xfId="14105"/>
    <cellStyle name="20% - Accent3 53 8" xfId="12791"/>
    <cellStyle name="20% - Accent3 54" xfId="856"/>
    <cellStyle name="20% - Accent3 54 2" xfId="3812"/>
    <cellStyle name="20% - Accent3 54 2 2" xfId="11791"/>
    <cellStyle name="20% - Accent3 54 2 2 2" xfId="23079"/>
    <cellStyle name="20% - Accent3 54 2 3" xfId="9797"/>
    <cellStyle name="20% - Accent3 54 2 3 2" xfId="21085"/>
    <cellStyle name="20% - Accent3 54 2 4" xfId="7803"/>
    <cellStyle name="20% - Accent3 54 2 4 2" xfId="19091"/>
    <cellStyle name="20% - Accent3 54 2 5" xfId="5809"/>
    <cellStyle name="20% - Accent3 54 2 5 2" xfId="17097"/>
    <cellStyle name="20% - Accent3 54 2 6" xfId="15103"/>
    <cellStyle name="20% - Accent3 54 3" xfId="10794"/>
    <cellStyle name="20% - Accent3 54 3 2" xfId="22082"/>
    <cellStyle name="20% - Accent3 54 4" xfId="8800"/>
    <cellStyle name="20% - Accent3 54 4 2" xfId="20088"/>
    <cellStyle name="20% - Accent3 54 5" xfId="6806"/>
    <cellStyle name="20% - Accent3 54 5 2" xfId="18094"/>
    <cellStyle name="20% - Accent3 54 6" xfId="4812"/>
    <cellStyle name="20% - Accent3 54 6 2" xfId="16100"/>
    <cellStyle name="20% - Accent3 54 7" xfId="14106"/>
    <cellStyle name="20% - Accent3 54 8" xfId="12792"/>
    <cellStyle name="20% - Accent3 55" xfId="857"/>
    <cellStyle name="20% - Accent3 55 2" xfId="3813"/>
    <cellStyle name="20% - Accent3 55 2 2" xfId="11792"/>
    <cellStyle name="20% - Accent3 55 2 2 2" xfId="23080"/>
    <cellStyle name="20% - Accent3 55 2 3" xfId="9798"/>
    <cellStyle name="20% - Accent3 55 2 3 2" xfId="21086"/>
    <cellStyle name="20% - Accent3 55 2 4" xfId="7804"/>
    <cellStyle name="20% - Accent3 55 2 4 2" xfId="19092"/>
    <cellStyle name="20% - Accent3 55 2 5" xfId="5810"/>
    <cellStyle name="20% - Accent3 55 2 5 2" xfId="17098"/>
    <cellStyle name="20% - Accent3 55 2 6" xfId="15104"/>
    <cellStyle name="20% - Accent3 55 3" xfId="10795"/>
    <cellStyle name="20% - Accent3 55 3 2" xfId="22083"/>
    <cellStyle name="20% - Accent3 55 4" xfId="8801"/>
    <cellStyle name="20% - Accent3 55 4 2" xfId="20089"/>
    <cellStyle name="20% - Accent3 55 5" xfId="6807"/>
    <cellStyle name="20% - Accent3 55 5 2" xfId="18095"/>
    <cellStyle name="20% - Accent3 55 6" xfId="4813"/>
    <cellStyle name="20% - Accent3 55 6 2" xfId="16101"/>
    <cellStyle name="20% - Accent3 55 7" xfId="14107"/>
    <cellStyle name="20% - Accent3 55 8" xfId="12793"/>
    <cellStyle name="20% - Accent3 56" xfId="858"/>
    <cellStyle name="20% - Accent3 56 2" xfId="3814"/>
    <cellStyle name="20% - Accent3 56 2 2" xfId="11793"/>
    <cellStyle name="20% - Accent3 56 2 2 2" xfId="23081"/>
    <cellStyle name="20% - Accent3 56 2 3" xfId="9799"/>
    <cellStyle name="20% - Accent3 56 2 3 2" xfId="21087"/>
    <cellStyle name="20% - Accent3 56 2 4" xfId="7805"/>
    <cellStyle name="20% - Accent3 56 2 4 2" xfId="19093"/>
    <cellStyle name="20% - Accent3 56 2 5" xfId="5811"/>
    <cellStyle name="20% - Accent3 56 2 5 2" xfId="17099"/>
    <cellStyle name="20% - Accent3 56 2 6" xfId="15105"/>
    <cellStyle name="20% - Accent3 56 3" xfId="10796"/>
    <cellStyle name="20% - Accent3 56 3 2" xfId="22084"/>
    <cellStyle name="20% - Accent3 56 4" xfId="8802"/>
    <cellStyle name="20% - Accent3 56 4 2" xfId="20090"/>
    <cellStyle name="20% - Accent3 56 5" xfId="6808"/>
    <cellStyle name="20% - Accent3 56 5 2" xfId="18096"/>
    <cellStyle name="20% - Accent3 56 6" xfId="4814"/>
    <cellStyle name="20% - Accent3 56 6 2" xfId="16102"/>
    <cellStyle name="20% - Accent3 56 7" xfId="14108"/>
    <cellStyle name="20% - Accent3 56 8" xfId="12794"/>
    <cellStyle name="20% - Accent3 57" xfId="859"/>
    <cellStyle name="20% - Accent3 57 2" xfId="3815"/>
    <cellStyle name="20% - Accent3 57 2 2" xfId="11794"/>
    <cellStyle name="20% - Accent3 57 2 2 2" xfId="23082"/>
    <cellStyle name="20% - Accent3 57 2 3" xfId="9800"/>
    <cellStyle name="20% - Accent3 57 2 3 2" xfId="21088"/>
    <cellStyle name="20% - Accent3 57 2 4" xfId="7806"/>
    <cellStyle name="20% - Accent3 57 2 4 2" xfId="19094"/>
    <cellStyle name="20% - Accent3 57 2 5" xfId="5812"/>
    <cellStyle name="20% - Accent3 57 2 5 2" xfId="17100"/>
    <cellStyle name="20% - Accent3 57 2 6" xfId="15106"/>
    <cellStyle name="20% - Accent3 57 3" xfId="10797"/>
    <cellStyle name="20% - Accent3 57 3 2" xfId="22085"/>
    <cellStyle name="20% - Accent3 57 4" xfId="8803"/>
    <cellStyle name="20% - Accent3 57 4 2" xfId="20091"/>
    <cellStyle name="20% - Accent3 57 5" xfId="6809"/>
    <cellStyle name="20% - Accent3 57 5 2" xfId="18097"/>
    <cellStyle name="20% - Accent3 57 6" xfId="4815"/>
    <cellStyle name="20% - Accent3 57 6 2" xfId="16103"/>
    <cellStyle name="20% - Accent3 57 7" xfId="14109"/>
    <cellStyle name="20% - Accent3 57 8" xfId="12795"/>
    <cellStyle name="20% - Accent3 58" xfId="860"/>
    <cellStyle name="20% - Accent3 58 2" xfId="3816"/>
    <cellStyle name="20% - Accent3 58 2 2" xfId="11795"/>
    <cellStyle name="20% - Accent3 58 2 2 2" xfId="23083"/>
    <cellStyle name="20% - Accent3 58 2 3" xfId="9801"/>
    <cellStyle name="20% - Accent3 58 2 3 2" xfId="21089"/>
    <cellStyle name="20% - Accent3 58 2 4" xfId="7807"/>
    <cellStyle name="20% - Accent3 58 2 4 2" xfId="19095"/>
    <cellStyle name="20% - Accent3 58 2 5" xfId="5813"/>
    <cellStyle name="20% - Accent3 58 2 5 2" xfId="17101"/>
    <cellStyle name="20% - Accent3 58 2 6" xfId="15107"/>
    <cellStyle name="20% - Accent3 58 3" xfId="10798"/>
    <cellStyle name="20% - Accent3 58 3 2" xfId="22086"/>
    <cellStyle name="20% - Accent3 58 4" xfId="8804"/>
    <cellStyle name="20% - Accent3 58 4 2" xfId="20092"/>
    <cellStyle name="20% - Accent3 58 5" xfId="6810"/>
    <cellStyle name="20% - Accent3 58 5 2" xfId="18098"/>
    <cellStyle name="20% - Accent3 58 6" xfId="4816"/>
    <cellStyle name="20% - Accent3 58 6 2" xfId="16104"/>
    <cellStyle name="20% - Accent3 58 7" xfId="14110"/>
    <cellStyle name="20% - Accent3 58 8" xfId="12796"/>
    <cellStyle name="20% - Accent3 59" xfId="861"/>
    <cellStyle name="20% - Accent3 59 2" xfId="3817"/>
    <cellStyle name="20% - Accent3 59 2 2" xfId="11796"/>
    <cellStyle name="20% - Accent3 59 2 2 2" xfId="23084"/>
    <cellStyle name="20% - Accent3 59 2 3" xfId="9802"/>
    <cellStyle name="20% - Accent3 59 2 3 2" xfId="21090"/>
    <cellStyle name="20% - Accent3 59 2 4" xfId="7808"/>
    <cellStyle name="20% - Accent3 59 2 4 2" xfId="19096"/>
    <cellStyle name="20% - Accent3 59 2 5" xfId="5814"/>
    <cellStyle name="20% - Accent3 59 2 5 2" xfId="17102"/>
    <cellStyle name="20% - Accent3 59 2 6" xfId="15108"/>
    <cellStyle name="20% - Accent3 59 3" xfId="10799"/>
    <cellStyle name="20% - Accent3 59 3 2" xfId="22087"/>
    <cellStyle name="20% - Accent3 59 4" xfId="8805"/>
    <cellStyle name="20% - Accent3 59 4 2" xfId="20093"/>
    <cellStyle name="20% - Accent3 59 5" xfId="6811"/>
    <cellStyle name="20% - Accent3 59 5 2" xfId="18099"/>
    <cellStyle name="20% - Accent3 59 6" xfId="4817"/>
    <cellStyle name="20% - Accent3 59 6 2" xfId="16105"/>
    <cellStyle name="20% - Accent3 59 7" xfId="14111"/>
    <cellStyle name="20% - Accent3 59 8" xfId="12797"/>
    <cellStyle name="20% - Accent3 6" xfId="862"/>
    <cellStyle name="20% - Accent3 6 10" xfId="24575"/>
    <cellStyle name="20% - Accent3 6 11" xfId="24965"/>
    <cellStyle name="20% - Accent3 6 2" xfId="3818"/>
    <cellStyle name="20% - Accent3 6 2 2" xfId="11797"/>
    <cellStyle name="20% - Accent3 6 2 2 2" xfId="23085"/>
    <cellStyle name="20% - Accent3 6 2 3" xfId="9803"/>
    <cellStyle name="20% - Accent3 6 2 3 2" xfId="21091"/>
    <cellStyle name="20% - Accent3 6 2 4" xfId="7809"/>
    <cellStyle name="20% - Accent3 6 2 4 2" xfId="19097"/>
    <cellStyle name="20% - Accent3 6 2 5" xfId="5815"/>
    <cellStyle name="20% - Accent3 6 2 5 2" xfId="17103"/>
    <cellStyle name="20% - Accent3 6 2 6" xfId="15109"/>
    <cellStyle name="20% - Accent3 6 2 7" xfId="24336"/>
    <cellStyle name="20% - Accent3 6 2 8" xfId="24800"/>
    <cellStyle name="20% - Accent3 6 2 9" xfId="25167"/>
    <cellStyle name="20% - Accent3 6 3" xfId="10800"/>
    <cellStyle name="20% - Accent3 6 3 2" xfId="22088"/>
    <cellStyle name="20% - Accent3 6 4" xfId="8806"/>
    <cellStyle name="20% - Accent3 6 4 2" xfId="20094"/>
    <cellStyle name="20% - Accent3 6 5" xfId="6812"/>
    <cellStyle name="20% - Accent3 6 5 2" xfId="18100"/>
    <cellStyle name="20% - Accent3 6 6" xfId="4818"/>
    <cellStyle name="20% - Accent3 6 6 2" xfId="16106"/>
    <cellStyle name="20% - Accent3 6 7" xfId="14112"/>
    <cellStyle name="20% - Accent3 6 8" xfId="12798"/>
    <cellStyle name="20% - Accent3 6 9" xfId="23948"/>
    <cellStyle name="20% - Accent3 60" xfId="863"/>
    <cellStyle name="20% - Accent3 60 2" xfId="3819"/>
    <cellStyle name="20% - Accent3 60 2 2" xfId="11798"/>
    <cellStyle name="20% - Accent3 60 2 2 2" xfId="23086"/>
    <cellStyle name="20% - Accent3 60 2 3" xfId="9804"/>
    <cellStyle name="20% - Accent3 60 2 3 2" xfId="21092"/>
    <cellStyle name="20% - Accent3 60 2 4" xfId="7810"/>
    <cellStyle name="20% - Accent3 60 2 4 2" xfId="19098"/>
    <cellStyle name="20% - Accent3 60 2 5" xfId="5816"/>
    <cellStyle name="20% - Accent3 60 2 5 2" xfId="17104"/>
    <cellStyle name="20% - Accent3 60 2 6" xfId="15110"/>
    <cellStyle name="20% - Accent3 60 3" xfId="10801"/>
    <cellStyle name="20% - Accent3 60 3 2" xfId="22089"/>
    <cellStyle name="20% - Accent3 60 4" xfId="8807"/>
    <cellStyle name="20% - Accent3 60 4 2" xfId="20095"/>
    <cellStyle name="20% - Accent3 60 5" xfId="6813"/>
    <cellStyle name="20% - Accent3 60 5 2" xfId="18101"/>
    <cellStyle name="20% - Accent3 60 6" xfId="4819"/>
    <cellStyle name="20% - Accent3 60 6 2" xfId="16107"/>
    <cellStyle name="20% - Accent3 60 7" xfId="14113"/>
    <cellStyle name="20% - Accent3 60 8" xfId="12799"/>
    <cellStyle name="20% - Accent3 61" xfId="864"/>
    <cellStyle name="20% - Accent3 61 2" xfId="3820"/>
    <cellStyle name="20% - Accent3 61 2 2" xfId="11799"/>
    <cellStyle name="20% - Accent3 61 2 2 2" xfId="23087"/>
    <cellStyle name="20% - Accent3 61 2 3" xfId="9805"/>
    <cellStyle name="20% - Accent3 61 2 3 2" xfId="21093"/>
    <cellStyle name="20% - Accent3 61 2 4" xfId="7811"/>
    <cellStyle name="20% - Accent3 61 2 4 2" xfId="19099"/>
    <cellStyle name="20% - Accent3 61 2 5" xfId="5817"/>
    <cellStyle name="20% - Accent3 61 2 5 2" xfId="17105"/>
    <cellStyle name="20% - Accent3 61 2 6" xfId="15111"/>
    <cellStyle name="20% - Accent3 61 3" xfId="10802"/>
    <cellStyle name="20% - Accent3 61 3 2" xfId="22090"/>
    <cellStyle name="20% - Accent3 61 4" xfId="8808"/>
    <cellStyle name="20% - Accent3 61 4 2" xfId="20096"/>
    <cellStyle name="20% - Accent3 61 5" xfId="6814"/>
    <cellStyle name="20% - Accent3 61 5 2" xfId="18102"/>
    <cellStyle name="20% - Accent3 61 6" xfId="4820"/>
    <cellStyle name="20% - Accent3 61 6 2" xfId="16108"/>
    <cellStyle name="20% - Accent3 61 7" xfId="14114"/>
    <cellStyle name="20% - Accent3 61 8" xfId="12800"/>
    <cellStyle name="20% - Accent3 62" xfId="865"/>
    <cellStyle name="20% - Accent3 62 2" xfId="3821"/>
    <cellStyle name="20% - Accent3 62 2 2" xfId="11800"/>
    <cellStyle name="20% - Accent3 62 2 2 2" xfId="23088"/>
    <cellStyle name="20% - Accent3 62 2 3" xfId="9806"/>
    <cellStyle name="20% - Accent3 62 2 3 2" xfId="21094"/>
    <cellStyle name="20% - Accent3 62 2 4" xfId="7812"/>
    <cellStyle name="20% - Accent3 62 2 4 2" xfId="19100"/>
    <cellStyle name="20% - Accent3 62 2 5" xfId="5818"/>
    <cellStyle name="20% - Accent3 62 2 5 2" xfId="17106"/>
    <cellStyle name="20% - Accent3 62 2 6" xfId="15112"/>
    <cellStyle name="20% - Accent3 62 3" xfId="10803"/>
    <cellStyle name="20% - Accent3 62 3 2" xfId="22091"/>
    <cellStyle name="20% - Accent3 62 4" xfId="8809"/>
    <cellStyle name="20% - Accent3 62 4 2" xfId="20097"/>
    <cellStyle name="20% - Accent3 62 5" xfId="6815"/>
    <cellStyle name="20% - Accent3 62 5 2" xfId="18103"/>
    <cellStyle name="20% - Accent3 62 6" xfId="4821"/>
    <cellStyle name="20% - Accent3 62 6 2" xfId="16109"/>
    <cellStyle name="20% - Accent3 62 7" xfId="14115"/>
    <cellStyle name="20% - Accent3 62 8" xfId="12801"/>
    <cellStyle name="20% - Accent3 63" xfId="866"/>
    <cellStyle name="20% - Accent3 63 2" xfId="3822"/>
    <cellStyle name="20% - Accent3 63 2 2" xfId="11801"/>
    <cellStyle name="20% - Accent3 63 2 2 2" xfId="23089"/>
    <cellStyle name="20% - Accent3 63 2 3" xfId="9807"/>
    <cellStyle name="20% - Accent3 63 2 3 2" xfId="21095"/>
    <cellStyle name="20% - Accent3 63 2 4" xfId="7813"/>
    <cellStyle name="20% - Accent3 63 2 4 2" xfId="19101"/>
    <cellStyle name="20% - Accent3 63 2 5" xfId="5819"/>
    <cellStyle name="20% - Accent3 63 2 5 2" xfId="17107"/>
    <cellStyle name="20% - Accent3 63 2 6" xfId="15113"/>
    <cellStyle name="20% - Accent3 63 3" xfId="10804"/>
    <cellStyle name="20% - Accent3 63 3 2" xfId="22092"/>
    <cellStyle name="20% - Accent3 63 4" xfId="8810"/>
    <cellStyle name="20% - Accent3 63 4 2" xfId="20098"/>
    <cellStyle name="20% - Accent3 63 5" xfId="6816"/>
    <cellStyle name="20% - Accent3 63 5 2" xfId="18104"/>
    <cellStyle name="20% - Accent3 63 6" xfId="4822"/>
    <cellStyle name="20% - Accent3 63 6 2" xfId="16110"/>
    <cellStyle name="20% - Accent3 63 7" xfId="14116"/>
    <cellStyle name="20% - Accent3 63 8" xfId="12802"/>
    <cellStyle name="20% - Accent3 64" xfId="867"/>
    <cellStyle name="20% - Accent3 64 2" xfId="3823"/>
    <cellStyle name="20% - Accent3 64 2 2" xfId="11802"/>
    <cellStyle name="20% - Accent3 64 2 2 2" xfId="23090"/>
    <cellStyle name="20% - Accent3 64 2 3" xfId="9808"/>
    <cellStyle name="20% - Accent3 64 2 3 2" xfId="21096"/>
    <cellStyle name="20% - Accent3 64 2 4" xfId="7814"/>
    <cellStyle name="20% - Accent3 64 2 4 2" xfId="19102"/>
    <cellStyle name="20% - Accent3 64 2 5" xfId="5820"/>
    <cellStyle name="20% - Accent3 64 2 5 2" xfId="17108"/>
    <cellStyle name="20% - Accent3 64 2 6" xfId="15114"/>
    <cellStyle name="20% - Accent3 64 3" xfId="10805"/>
    <cellStyle name="20% - Accent3 64 3 2" xfId="22093"/>
    <cellStyle name="20% - Accent3 64 4" xfId="8811"/>
    <cellStyle name="20% - Accent3 64 4 2" xfId="20099"/>
    <cellStyle name="20% - Accent3 64 5" xfId="6817"/>
    <cellStyle name="20% - Accent3 64 5 2" xfId="18105"/>
    <cellStyle name="20% - Accent3 64 6" xfId="4823"/>
    <cellStyle name="20% - Accent3 64 6 2" xfId="16111"/>
    <cellStyle name="20% - Accent3 64 7" xfId="14117"/>
    <cellStyle name="20% - Accent3 64 8" xfId="12803"/>
    <cellStyle name="20% - Accent3 65" xfId="868"/>
    <cellStyle name="20% - Accent3 65 2" xfId="3824"/>
    <cellStyle name="20% - Accent3 65 2 2" xfId="11803"/>
    <cellStyle name="20% - Accent3 65 2 2 2" xfId="23091"/>
    <cellStyle name="20% - Accent3 65 2 3" xfId="9809"/>
    <cellStyle name="20% - Accent3 65 2 3 2" xfId="21097"/>
    <cellStyle name="20% - Accent3 65 2 4" xfId="7815"/>
    <cellStyle name="20% - Accent3 65 2 4 2" xfId="19103"/>
    <cellStyle name="20% - Accent3 65 2 5" xfId="5821"/>
    <cellStyle name="20% - Accent3 65 2 5 2" xfId="17109"/>
    <cellStyle name="20% - Accent3 65 2 6" xfId="15115"/>
    <cellStyle name="20% - Accent3 65 3" xfId="10806"/>
    <cellStyle name="20% - Accent3 65 3 2" xfId="22094"/>
    <cellStyle name="20% - Accent3 65 4" xfId="8812"/>
    <cellStyle name="20% - Accent3 65 4 2" xfId="20100"/>
    <cellStyle name="20% - Accent3 65 5" xfId="6818"/>
    <cellStyle name="20% - Accent3 65 5 2" xfId="18106"/>
    <cellStyle name="20% - Accent3 65 6" xfId="4824"/>
    <cellStyle name="20% - Accent3 65 6 2" xfId="16112"/>
    <cellStyle name="20% - Accent3 65 7" xfId="14118"/>
    <cellStyle name="20% - Accent3 65 8" xfId="12804"/>
    <cellStyle name="20% - Accent3 66" xfId="869"/>
    <cellStyle name="20% - Accent3 66 2" xfId="3825"/>
    <cellStyle name="20% - Accent3 66 2 2" xfId="11804"/>
    <cellStyle name="20% - Accent3 66 2 2 2" xfId="23092"/>
    <cellStyle name="20% - Accent3 66 2 3" xfId="9810"/>
    <cellStyle name="20% - Accent3 66 2 3 2" xfId="21098"/>
    <cellStyle name="20% - Accent3 66 2 4" xfId="7816"/>
    <cellStyle name="20% - Accent3 66 2 4 2" xfId="19104"/>
    <cellStyle name="20% - Accent3 66 2 5" xfId="5822"/>
    <cellStyle name="20% - Accent3 66 2 5 2" xfId="17110"/>
    <cellStyle name="20% - Accent3 66 2 6" xfId="15116"/>
    <cellStyle name="20% - Accent3 66 3" xfId="10807"/>
    <cellStyle name="20% - Accent3 66 3 2" xfId="22095"/>
    <cellStyle name="20% - Accent3 66 4" xfId="8813"/>
    <cellStyle name="20% - Accent3 66 4 2" xfId="20101"/>
    <cellStyle name="20% - Accent3 66 5" xfId="6819"/>
    <cellStyle name="20% - Accent3 66 5 2" xfId="18107"/>
    <cellStyle name="20% - Accent3 66 6" xfId="4825"/>
    <cellStyle name="20% - Accent3 66 6 2" xfId="16113"/>
    <cellStyle name="20% - Accent3 66 7" xfId="14119"/>
    <cellStyle name="20% - Accent3 66 8" xfId="12805"/>
    <cellStyle name="20% - Accent3 67" xfId="870"/>
    <cellStyle name="20% - Accent3 67 2" xfId="3826"/>
    <cellStyle name="20% - Accent3 67 2 2" xfId="11805"/>
    <cellStyle name="20% - Accent3 67 2 2 2" xfId="23093"/>
    <cellStyle name="20% - Accent3 67 2 3" xfId="9811"/>
    <cellStyle name="20% - Accent3 67 2 3 2" xfId="21099"/>
    <cellStyle name="20% - Accent3 67 2 4" xfId="7817"/>
    <cellStyle name="20% - Accent3 67 2 4 2" xfId="19105"/>
    <cellStyle name="20% - Accent3 67 2 5" xfId="5823"/>
    <cellStyle name="20% - Accent3 67 2 5 2" xfId="17111"/>
    <cellStyle name="20% - Accent3 67 2 6" xfId="15117"/>
    <cellStyle name="20% - Accent3 67 3" xfId="10808"/>
    <cellStyle name="20% - Accent3 67 3 2" xfId="22096"/>
    <cellStyle name="20% - Accent3 67 4" xfId="8814"/>
    <cellStyle name="20% - Accent3 67 4 2" xfId="20102"/>
    <cellStyle name="20% - Accent3 67 5" xfId="6820"/>
    <cellStyle name="20% - Accent3 67 5 2" xfId="18108"/>
    <cellStyle name="20% - Accent3 67 6" xfId="4826"/>
    <cellStyle name="20% - Accent3 67 6 2" xfId="16114"/>
    <cellStyle name="20% - Accent3 67 7" xfId="14120"/>
    <cellStyle name="20% - Accent3 67 8" xfId="12806"/>
    <cellStyle name="20% - Accent3 68" xfId="871"/>
    <cellStyle name="20% - Accent3 68 2" xfId="3827"/>
    <cellStyle name="20% - Accent3 68 2 2" xfId="11806"/>
    <cellStyle name="20% - Accent3 68 2 2 2" xfId="23094"/>
    <cellStyle name="20% - Accent3 68 2 3" xfId="9812"/>
    <cellStyle name="20% - Accent3 68 2 3 2" xfId="21100"/>
    <cellStyle name="20% - Accent3 68 2 4" xfId="7818"/>
    <cellStyle name="20% - Accent3 68 2 4 2" xfId="19106"/>
    <cellStyle name="20% - Accent3 68 2 5" xfId="5824"/>
    <cellStyle name="20% - Accent3 68 2 5 2" xfId="17112"/>
    <cellStyle name="20% - Accent3 68 2 6" xfId="15118"/>
    <cellStyle name="20% - Accent3 68 3" xfId="10809"/>
    <cellStyle name="20% - Accent3 68 3 2" xfId="22097"/>
    <cellStyle name="20% - Accent3 68 4" xfId="8815"/>
    <cellStyle name="20% - Accent3 68 4 2" xfId="20103"/>
    <cellStyle name="20% - Accent3 68 5" xfId="6821"/>
    <cellStyle name="20% - Accent3 68 5 2" xfId="18109"/>
    <cellStyle name="20% - Accent3 68 6" xfId="4827"/>
    <cellStyle name="20% - Accent3 68 6 2" xfId="16115"/>
    <cellStyle name="20% - Accent3 68 7" xfId="14121"/>
    <cellStyle name="20% - Accent3 68 8" xfId="12807"/>
    <cellStyle name="20% - Accent3 69" xfId="872"/>
    <cellStyle name="20% - Accent3 69 2" xfId="3828"/>
    <cellStyle name="20% - Accent3 69 2 2" xfId="11807"/>
    <cellStyle name="20% - Accent3 69 2 2 2" xfId="23095"/>
    <cellStyle name="20% - Accent3 69 2 3" xfId="9813"/>
    <cellStyle name="20% - Accent3 69 2 3 2" xfId="21101"/>
    <cellStyle name="20% - Accent3 69 2 4" xfId="7819"/>
    <cellStyle name="20% - Accent3 69 2 4 2" xfId="19107"/>
    <cellStyle name="20% - Accent3 69 2 5" xfId="5825"/>
    <cellStyle name="20% - Accent3 69 2 5 2" xfId="17113"/>
    <cellStyle name="20% - Accent3 69 2 6" xfId="15119"/>
    <cellStyle name="20% - Accent3 69 3" xfId="10810"/>
    <cellStyle name="20% - Accent3 69 3 2" xfId="22098"/>
    <cellStyle name="20% - Accent3 69 4" xfId="8816"/>
    <cellStyle name="20% - Accent3 69 4 2" xfId="20104"/>
    <cellStyle name="20% - Accent3 69 5" xfId="6822"/>
    <cellStyle name="20% - Accent3 69 5 2" xfId="18110"/>
    <cellStyle name="20% - Accent3 69 6" xfId="4828"/>
    <cellStyle name="20% - Accent3 69 6 2" xfId="16116"/>
    <cellStyle name="20% - Accent3 69 7" xfId="14122"/>
    <cellStyle name="20% - Accent3 69 8" xfId="12808"/>
    <cellStyle name="20% - Accent3 7" xfId="873"/>
    <cellStyle name="20% - Accent3 7 10" xfId="24576"/>
    <cellStyle name="20% - Accent3 7 11" xfId="24966"/>
    <cellStyle name="20% - Accent3 7 2" xfId="3829"/>
    <cellStyle name="20% - Accent3 7 2 2" xfId="11808"/>
    <cellStyle name="20% - Accent3 7 2 2 2" xfId="23096"/>
    <cellStyle name="20% - Accent3 7 2 3" xfId="9814"/>
    <cellStyle name="20% - Accent3 7 2 3 2" xfId="21102"/>
    <cellStyle name="20% - Accent3 7 2 4" xfId="7820"/>
    <cellStyle name="20% - Accent3 7 2 4 2" xfId="19108"/>
    <cellStyle name="20% - Accent3 7 2 5" xfId="5826"/>
    <cellStyle name="20% - Accent3 7 2 5 2" xfId="17114"/>
    <cellStyle name="20% - Accent3 7 2 6" xfId="15120"/>
    <cellStyle name="20% - Accent3 7 2 7" xfId="24337"/>
    <cellStyle name="20% - Accent3 7 2 8" xfId="24801"/>
    <cellStyle name="20% - Accent3 7 2 9" xfId="25168"/>
    <cellStyle name="20% - Accent3 7 3" xfId="10811"/>
    <cellStyle name="20% - Accent3 7 3 2" xfId="22099"/>
    <cellStyle name="20% - Accent3 7 4" xfId="8817"/>
    <cellStyle name="20% - Accent3 7 4 2" xfId="20105"/>
    <cellStyle name="20% - Accent3 7 5" xfId="6823"/>
    <cellStyle name="20% - Accent3 7 5 2" xfId="18111"/>
    <cellStyle name="20% - Accent3 7 6" xfId="4829"/>
    <cellStyle name="20% - Accent3 7 6 2" xfId="16117"/>
    <cellStyle name="20% - Accent3 7 7" xfId="14123"/>
    <cellStyle name="20% - Accent3 7 8" xfId="12809"/>
    <cellStyle name="20% - Accent3 7 9" xfId="23949"/>
    <cellStyle name="20% - Accent3 70" xfId="874"/>
    <cellStyle name="20% - Accent3 70 2" xfId="3830"/>
    <cellStyle name="20% - Accent3 70 2 2" xfId="11809"/>
    <cellStyle name="20% - Accent3 70 2 2 2" xfId="23097"/>
    <cellStyle name="20% - Accent3 70 2 3" xfId="9815"/>
    <cellStyle name="20% - Accent3 70 2 3 2" xfId="21103"/>
    <cellStyle name="20% - Accent3 70 2 4" xfId="7821"/>
    <cellStyle name="20% - Accent3 70 2 4 2" xfId="19109"/>
    <cellStyle name="20% - Accent3 70 2 5" xfId="5827"/>
    <cellStyle name="20% - Accent3 70 2 5 2" xfId="17115"/>
    <cellStyle name="20% - Accent3 70 2 6" xfId="15121"/>
    <cellStyle name="20% - Accent3 70 3" xfId="10812"/>
    <cellStyle name="20% - Accent3 70 3 2" xfId="22100"/>
    <cellStyle name="20% - Accent3 70 4" xfId="8818"/>
    <cellStyle name="20% - Accent3 70 4 2" xfId="20106"/>
    <cellStyle name="20% - Accent3 70 5" xfId="6824"/>
    <cellStyle name="20% - Accent3 70 5 2" xfId="18112"/>
    <cellStyle name="20% - Accent3 70 6" xfId="4830"/>
    <cellStyle name="20% - Accent3 70 6 2" xfId="16118"/>
    <cellStyle name="20% - Accent3 70 7" xfId="14124"/>
    <cellStyle name="20% - Accent3 70 8" xfId="12810"/>
    <cellStyle name="20% - Accent3 71" xfId="875"/>
    <cellStyle name="20% - Accent3 71 2" xfId="3831"/>
    <cellStyle name="20% - Accent3 71 2 2" xfId="11810"/>
    <cellStyle name="20% - Accent3 71 2 2 2" xfId="23098"/>
    <cellStyle name="20% - Accent3 71 2 3" xfId="9816"/>
    <cellStyle name="20% - Accent3 71 2 3 2" xfId="21104"/>
    <cellStyle name="20% - Accent3 71 2 4" xfId="7822"/>
    <cellStyle name="20% - Accent3 71 2 4 2" xfId="19110"/>
    <cellStyle name="20% - Accent3 71 2 5" xfId="5828"/>
    <cellStyle name="20% - Accent3 71 2 5 2" xfId="17116"/>
    <cellStyle name="20% - Accent3 71 2 6" xfId="15122"/>
    <cellStyle name="20% - Accent3 71 3" xfId="10813"/>
    <cellStyle name="20% - Accent3 71 3 2" xfId="22101"/>
    <cellStyle name="20% - Accent3 71 4" xfId="8819"/>
    <cellStyle name="20% - Accent3 71 4 2" xfId="20107"/>
    <cellStyle name="20% - Accent3 71 5" xfId="6825"/>
    <cellStyle name="20% - Accent3 71 5 2" xfId="18113"/>
    <cellStyle name="20% - Accent3 71 6" xfId="4831"/>
    <cellStyle name="20% - Accent3 71 6 2" xfId="16119"/>
    <cellStyle name="20% - Accent3 71 7" xfId="14125"/>
    <cellStyle name="20% - Accent3 71 8" xfId="12811"/>
    <cellStyle name="20% - Accent3 72" xfId="876"/>
    <cellStyle name="20% - Accent3 72 2" xfId="3832"/>
    <cellStyle name="20% - Accent3 72 2 2" xfId="11811"/>
    <cellStyle name="20% - Accent3 72 2 2 2" xfId="23099"/>
    <cellStyle name="20% - Accent3 72 2 3" xfId="9817"/>
    <cellStyle name="20% - Accent3 72 2 3 2" xfId="21105"/>
    <cellStyle name="20% - Accent3 72 2 4" xfId="7823"/>
    <cellStyle name="20% - Accent3 72 2 4 2" xfId="19111"/>
    <cellStyle name="20% - Accent3 72 2 5" xfId="5829"/>
    <cellStyle name="20% - Accent3 72 2 5 2" xfId="17117"/>
    <cellStyle name="20% - Accent3 72 2 6" xfId="15123"/>
    <cellStyle name="20% - Accent3 72 3" xfId="10814"/>
    <cellStyle name="20% - Accent3 72 3 2" xfId="22102"/>
    <cellStyle name="20% - Accent3 72 4" xfId="8820"/>
    <cellStyle name="20% - Accent3 72 4 2" xfId="20108"/>
    <cellStyle name="20% - Accent3 72 5" xfId="6826"/>
    <cellStyle name="20% - Accent3 72 5 2" xfId="18114"/>
    <cellStyle name="20% - Accent3 72 6" xfId="4832"/>
    <cellStyle name="20% - Accent3 72 6 2" xfId="16120"/>
    <cellStyle name="20% - Accent3 72 7" xfId="14126"/>
    <cellStyle name="20% - Accent3 72 8" xfId="12812"/>
    <cellStyle name="20% - Accent3 8" xfId="877"/>
    <cellStyle name="20% - Accent3 8 2" xfId="3833"/>
    <cellStyle name="20% - Accent3 8 2 2" xfId="11812"/>
    <cellStyle name="20% - Accent3 8 2 2 2" xfId="23100"/>
    <cellStyle name="20% - Accent3 8 2 3" xfId="9818"/>
    <cellStyle name="20% - Accent3 8 2 3 2" xfId="21106"/>
    <cellStyle name="20% - Accent3 8 2 4" xfId="7824"/>
    <cellStyle name="20% - Accent3 8 2 4 2" xfId="19112"/>
    <cellStyle name="20% - Accent3 8 2 5" xfId="5830"/>
    <cellStyle name="20% - Accent3 8 2 5 2" xfId="17118"/>
    <cellStyle name="20% - Accent3 8 2 6" xfId="15124"/>
    <cellStyle name="20% - Accent3 8 3" xfId="10815"/>
    <cellStyle name="20% - Accent3 8 3 2" xfId="22103"/>
    <cellStyle name="20% - Accent3 8 4" xfId="8821"/>
    <cellStyle name="20% - Accent3 8 4 2" xfId="20109"/>
    <cellStyle name="20% - Accent3 8 5" xfId="6827"/>
    <cellStyle name="20% - Accent3 8 5 2" xfId="18115"/>
    <cellStyle name="20% - Accent3 8 6" xfId="4833"/>
    <cellStyle name="20% - Accent3 8 6 2" xfId="16121"/>
    <cellStyle name="20% - Accent3 8 7" xfId="14127"/>
    <cellStyle name="20% - Accent3 8 8" xfId="12813"/>
    <cellStyle name="20% - Accent3 9" xfId="878"/>
    <cellStyle name="20% - Accent3 9 2" xfId="3834"/>
    <cellStyle name="20% - Accent3 9 2 2" xfId="11813"/>
    <cellStyle name="20% - Accent3 9 2 2 2" xfId="23101"/>
    <cellStyle name="20% - Accent3 9 2 3" xfId="9819"/>
    <cellStyle name="20% - Accent3 9 2 3 2" xfId="21107"/>
    <cellStyle name="20% - Accent3 9 2 4" xfId="7825"/>
    <cellStyle name="20% - Accent3 9 2 4 2" xfId="19113"/>
    <cellStyle name="20% - Accent3 9 2 5" xfId="5831"/>
    <cellStyle name="20% - Accent3 9 2 5 2" xfId="17119"/>
    <cellStyle name="20% - Accent3 9 2 6" xfId="15125"/>
    <cellStyle name="20% - Accent3 9 3" xfId="10816"/>
    <cellStyle name="20% - Accent3 9 3 2" xfId="22104"/>
    <cellStyle name="20% - Accent3 9 4" xfId="8822"/>
    <cellStyle name="20% - Accent3 9 4 2" xfId="20110"/>
    <cellStyle name="20% - Accent3 9 5" xfId="6828"/>
    <cellStyle name="20% - Accent3 9 5 2" xfId="18116"/>
    <cellStyle name="20% - Accent3 9 6" xfId="4834"/>
    <cellStyle name="20% - Accent3 9 6 2" xfId="16122"/>
    <cellStyle name="20% - Accent3 9 7" xfId="14128"/>
    <cellStyle name="20% - Accent3 9 8" xfId="12814"/>
    <cellStyle name="20% - Accent4 10" xfId="879"/>
    <cellStyle name="20% - Accent4 10 2" xfId="3835"/>
    <cellStyle name="20% - Accent4 10 2 2" xfId="11814"/>
    <cellStyle name="20% - Accent4 10 2 2 2" xfId="23102"/>
    <cellStyle name="20% - Accent4 10 2 3" xfId="9820"/>
    <cellStyle name="20% - Accent4 10 2 3 2" xfId="21108"/>
    <cellStyle name="20% - Accent4 10 2 4" xfId="7826"/>
    <cellStyle name="20% - Accent4 10 2 4 2" xfId="19114"/>
    <cellStyle name="20% - Accent4 10 2 5" xfId="5832"/>
    <cellStyle name="20% - Accent4 10 2 5 2" xfId="17120"/>
    <cellStyle name="20% - Accent4 10 2 6" xfId="15126"/>
    <cellStyle name="20% - Accent4 10 3" xfId="10817"/>
    <cellStyle name="20% - Accent4 10 3 2" xfId="22105"/>
    <cellStyle name="20% - Accent4 10 4" xfId="8823"/>
    <cellStyle name="20% - Accent4 10 4 2" xfId="20111"/>
    <cellStyle name="20% - Accent4 10 5" xfId="6829"/>
    <cellStyle name="20% - Accent4 10 5 2" xfId="18117"/>
    <cellStyle name="20% - Accent4 10 6" xfId="4835"/>
    <cellStyle name="20% - Accent4 10 6 2" xfId="16123"/>
    <cellStyle name="20% - Accent4 10 7" xfId="14129"/>
    <cellStyle name="20% - Accent4 10 8" xfId="12815"/>
    <cellStyle name="20% - Accent4 11" xfId="880"/>
    <cellStyle name="20% - Accent4 11 2" xfId="3836"/>
    <cellStyle name="20% - Accent4 11 2 2" xfId="11815"/>
    <cellStyle name="20% - Accent4 11 2 2 2" xfId="23103"/>
    <cellStyle name="20% - Accent4 11 2 3" xfId="9821"/>
    <cellStyle name="20% - Accent4 11 2 3 2" xfId="21109"/>
    <cellStyle name="20% - Accent4 11 2 4" xfId="7827"/>
    <cellStyle name="20% - Accent4 11 2 4 2" xfId="19115"/>
    <cellStyle name="20% - Accent4 11 2 5" xfId="5833"/>
    <cellStyle name="20% - Accent4 11 2 5 2" xfId="17121"/>
    <cellStyle name="20% - Accent4 11 2 6" xfId="15127"/>
    <cellStyle name="20% - Accent4 11 3" xfId="10818"/>
    <cellStyle name="20% - Accent4 11 3 2" xfId="22106"/>
    <cellStyle name="20% - Accent4 11 4" xfId="8824"/>
    <cellStyle name="20% - Accent4 11 4 2" xfId="20112"/>
    <cellStyle name="20% - Accent4 11 5" xfId="6830"/>
    <cellStyle name="20% - Accent4 11 5 2" xfId="18118"/>
    <cellStyle name="20% - Accent4 11 6" xfId="4836"/>
    <cellStyle name="20% - Accent4 11 6 2" xfId="16124"/>
    <cellStyle name="20% - Accent4 11 7" xfId="14130"/>
    <cellStyle name="20% - Accent4 11 8" xfId="12816"/>
    <cellStyle name="20% - Accent4 12" xfId="881"/>
    <cellStyle name="20% - Accent4 12 2" xfId="3837"/>
    <cellStyle name="20% - Accent4 12 2 2" xfId="11816"/>
    <cellStyle name="20% - Accent4 12 2 2 2" xfId="23104"/>
    <cellStyle name="20% - Accent4 12 2 3" xfId="9822"/>
    <cellStyle name="20% - Accent4 12 2 3 2" xfId="21110"/>
    <cellStyle name="20% - Accent4 12 2 4" xfId="7828"/>
    <cellStyle name="20% - Accent4 12 2 4 2" xfId="19116"/>
    <cellStyle name="20% - Accent4 12 2 5" xfId="5834"/>
    <cellStyle name="20% - Accent4 12 2 5 2" xfId="17122"/>
    <cellStyle name="20% - Accent4 12 2 6" xfId="15128"/>
    <cellStyle name="20% - Accent4 12 3" xfId="10819"/>
    <cellStyle name="20% - Accent4 12 3 2" xfId="22107"/>
    <cellStyle name="20% - Accent4 12 4" xfId="8825"/>
    <cellStyle name="20% - Accent4 12 4 2" xfId="20113"/>
    <cellStyle name="20% - Accent4 12 5" xfId="6831"/>
    <cellStyle name="20% - Accent4 12 5 2" xfId="18119"/>
    <cellStyle name="20% - Accent4 12 6" xfId="4837"/>
    <cellStyle name="20% - Accent4 12 6 2" xfId="16125"/>
    <cellStyle name="20% - Accent4 12 7" xfId="14131"/>
    <cellStyle name="20% - Accent4 12 8" xfId="12817"/>
    <cellStyle name="20% - Accent4 13" xfId="882"/>
    <cellStyle name="20% - Accent4 13 2" xfId="3838"/>
    <cellStyle name="20% - Accent4 13 2 2" xfId="11817"/>
    <cellStyle name="20% - Accent4 13 2 2 2" xfId="23105"/>
    <cellStyle name="20% - Accent4 13 2 3" xfId="9823"/>
    <cellStyle name="20% - Accent4 13 2 3 2" xfId="21111"/>
    <cellStyle name="20% - Accent4 13 2 4" xfId="7829"/>
    <cellStyle name="20% - Accent4 13 2 4 2" xfId="19117"/>
    <cellStyle name="20% - Accent4 13 2 5" xfId="5835"/>
    <cellStyle name="20% - Accent4 13 2 5 2" xfId="17123"/>
    <cellStyle name="20% - Accent4 13 2 6" xfId="15129"/>
    <cellStyle name="20% - Accent4 13 3" xfId="10820"/>
    <cellStyle name="20% - Accent4 13 3 2" xfId="22108"/>
    <cellStyle name="20% - Accent4 13 4" xfId="8826"/>
    <cellStyle name="20% - Accent4 13 4 2" xfId="20114"/>
    <cellStyle name="20% - Accent4 13 5" xfId="6832"/>
    <cellStyle name="20% - Accent4 13 5 2" xfId="18120"/>
    <cellStyle name="20% - Accent4 13 6" xfId="4838"/>
    <cellStyle name="20% - Accent4 13 6 2" xfId="16126"/>
    <cellStyle name="20% - Accent4 13 7" xfId="14132"/>
    <cellStyle name="20% - Accent4 13 8" xfId="12818"/>
    <cellStyle name="20% - Accent4 14" xfId="883"/>
    <cellStyle name="20% - Accent4 14 2" xfId="3839"/>
    <cellStyle name="20% - Accent4 14 2 2" xfId="11818"/>
    <cellStyle name="20% - Accent4 14 2 2 2" xfId="23106"/>
    <cellStyle name="20% - Accent4 14 2 3" xfId="9824"/>
    <cellStyle name="20% - Accent4 14 2 3 2" xfId="21112"/>
    <cellStyle name="20% - Accent4 14 2 4" xfId="7830"/>
    <cellStyle name="20% - Accent4 14 2 4 2" xfId="19118"/>
    <cellStyle name="20% - Accent4 14 2 5" xfId="5836"/>
    <cellStyle name="20% - Accent4 14 2 5 2" xfId="17124"/>
    <cellStyle name="20% - Accent4 14 2 6" xfId="15130"/>
    <cellStyle name="20% - Accent4 14 3" xfId="10821"/>
    <cellStyle name="20% - Accent4 14 3 2" xfId="22109"/>
    <cellStyle name="20% - Accent4 14 4" xfId="8827"/>
    <cellStyle name="20% - Accent4 14 4 2" xfId="20115"/>
    <cellStyle name="20% - Accent4 14 5" xfId="6833"/>
    <cellStyle name="20% - Accent4 14 5 2" xfId="18121"/>
    <cellStyle name="20% - Accent4 14 6" xfId="4839"/>
    <cellStyle name="20% - Accent4 14 6 2" xfId="16127"/>
    <cellStyle name="20% - Accent4 14 7" xfId="14133"/>
    <cellStyle name="20% - Accent4 14 8" xfId="12819"/>
    <cellStyle name="20% - Accent4 15" xfId="884"/>
    <cellStyle name="20% - Accent4 15 2" xfId="3840"/>
    <cellStyle name="20% - Accent4 15 2 2" xfId="11819"/>
    <cellStyle name="20% - Accent4 15 2 2 2" xfId="23107"/>
    <cellStyle name="20% - Accent4 15 2 3" xfId="9825"/>
    <cellStyle name="20% - Accent4 15 2 3 2" xfId="21113"/>
    <cellStyle name="20% - Accent4 15 2 4" xfId="7831"/>
    <cellStyle name="20% - Accent4 15 2 4 2" xfId="19119"/>
    <cellStyle name="20% - Accent4 15 2 5" xfId="5837"/>
    <cellStyle name="20% - Accent4 15 2 5 2" xfId="17125"/>
    <cellStyle name="20% - Accent4 15 2 6" xfId="15131"/>
    <cellStyle name="20% - Accent4 15 3" xfId="10822"/>
    <cellStyle name="20% - Accent4 15 3 2" xfId="22110"/>
    <cellStyle name="20% - Accent4 15 4" xfId="8828"/>
    <cellStyle name="20% - Accent4 15 4 2" xfId="20116"/>
    <cellStyle name="20% - Accent4 15 5" xfId="6834"/>
    <cellStyle name="20% - Accent4 15 5 2" xfId="18122"/>
    <cellStyle name="20% - Accent4 15 6" xfId="4840"/>
    <cellStyle name="20% - Accent4 15 6 2" xfId="16128"/>
    <cellStyle name="20% - Accent4 15 7" xfId="14134"/>
    <cellStyle name="20% - Accent4 15 8" xfId="12820"/>
    <cellStyle name="20% - Accent4 16" xfId="885"/>
    <cellStyle name="20% - Accent4 16 2" xfId="3841"/>
    <cellStyle name="20% - Accent4 16 2 2" xfId="11820"/>
    <cellStyle name="20% - Accent4 16 2 2 2" xfId="23108"/>
    <cellStyle name="20% - Accent4 16 2 3" xfId="9826"/>
    <cellStyle name="20% - Accent4 16 2 3 2" xfId="21114"/>
    <cellStyle name="20% - Accent4 16 2 4" xfId="7832"/>
    <cellStyle name="20% - Accent4 16 2 4 2" xfId="19120"/>
    <cellStyle name="20% - Accent4 16 2 5" xfId="5838"/>
    <cellStyle name="20% - Accent4 16 2 5 2" xfId="17126"/>
    <cellStyle name="20% - Accent4 16 2 6" xfId="15132"/>
    <cellStyle name="20% - Accent4 16 3" xfId="10823"/>
    <cellStyle name="20% - Accent4 16 3 2" xfId="22111"/>
    <cellStyle name="20% - Accent4 16 4" xfId="8829"/>
    <cellStyle name="20% - Accent4 16 4 2" xfId="20117"/>
    <cellStyle name="20% - Accent4 16 5" xfId="6835"/>
    <cellStyle name="20% - Accent4 16 5 2" xfId="18123"/>
    <cellStyle name="20% - Accent4 16 6" xfId="4841"/>
    <cellStyle name="20% - Accent4 16 6 2" xfId="16129"/>
    <cellStyle name="20% - Accent4 16 7" xfId="14135"/>
    <cellStyle name="20% - Accent4 16 8" xfId="12821"/>
    <cellStyle name="20% - Accent4 17" xfId="886"/>
    <cellStyle name="20% - Accent4 17 2" xfId="3842"/>
    <cellStyle name="20% - Accent4 17 2 2" xfId="11821"/>
    <cellStyle name="20% - Accent4 17 2 2 2" xfId="23109"/>
    <cellStyle name="20% - Accent4 17 2 3" xfId="9827"/>
    <cellStyle name="20% - Accent4 17 2 3 2" xfId="21115"/>
    <cellStyle name="20% - Accent4 17 2 4" xfId="7833"/>
    <cellStyle name="20% - Accent4 17 2 4 2" xfId="19121"/>
    <cellStyle name="20% - Accent4 17 2 5" xfId="5839"/>
    <cellStyle name="20% - Accent4 17 2 5 2" xfId="17127"/>
    <cellStyle name="20% - Accent4 17 2 6" xfId="15133"/>
    <cellStyle name="20% - Accent4 17 3" xfId="10824"/>
    <cellStyle name="20% - Accent4 17 3 2" xfId="22112"/>
    <cellStyle name="20% - Accent4 17 4" xfId="8830"/>
    <cellStyle name="20% - Accent4 17 4 2" xfId="20118"/>
    <cellStyle name="20% - Accent4 17 5" xfId="6836"/>
    <cellStyle name="20% - Accent4 17 5 2" xfId="18124"/>
    <cellStyle name="20% - Accent4 17 6" xfId="4842"/>
    <cellStyle name="20% - Accent4 17 6 2" xfId="16130"/>
    <cellStyle name="20% - Accent4 17 7" xfId="14136"/>
    <cellStyle name="20% - Accent4 17 8" xfId="12822"/>
    <cellStyle name="20% - Accent4 18" xfId="887"/>
    <cellStyle name="20% - Accent4 18 2" xfId="3843"/>
    <cellStyle name="20% - Accent4 18 2 2" xfId="11822"/>
    <cellStyle name="20% - Accent4 18 2 2 2" xfId="23110"/>
    <cellStyle name="20% - Accent4 18 2 3" xfId="9828"/>
    <cellStyle name="20% - Accent4 18 2 3 2" xfId="21116"/>
    <cellStyle name="20% - Accent4 18 2 4" xfId="7834"/>
    <cellStyle name="20% - Accent4 18 2 4 2" xfId="19122"/>
    <cellStyle name="20% - Accent4 18 2 5" xfId="5840"/>
    <cellStyle name="20% - Accent4 18 2 5 2" xfId="17128"/>
    <cellStyle name="20% - Accent4 18 2 6" xfId="15134"/>
    <cellStyle name="20% - Accent4 18 3" xfId="10825"/>
    <cellStyle name="20% - Accent4 18 3 2" xfId="22113"/>
    <cellStyle name="20% - Accent4 18 4" xfId="8831"/>
    <cellStyle name="20% - Accent4 18 4 2" xfId="20119"/>
    <cellStyle name="20% - Accent4 18 5" xfId="6837"/>
    <cellStyle name="20% - Accent4 18 5 2" xfId="18125"/>
    <cellStyle name="20% - Accent4 18 6" xfId="4843"/>
    <cellStyle name="20% - Accent4 18 6 2" xfId="16131"/>
    <cellStyle name="20% - Accent4 18 7" xfId="14137"/>
    <cellStyle name="20% - Accent4 18 8" xfId="12823"/>
    <cellStyle name="20% - Accent4 19" xfId="888"/>
    <cellStyle name="20% - Accent4 19 2" xfId="3844"/>
    <cellStyle name="20% - Accent4 19 2 2" xfId="11823"/>
    <cellStyle name="20% - Accent4 19 2 2 2" xfId="23111"/>
    <cellStyle name="20% - Accent4 19 2 3" xfId="9829"/>
    <cellStyle name="20% - Accent4 19 2 3 2" xfId="21117"/>
    <cellStyle name="20% - Accent4 19 2 4" xfId="7835"/>
    <cellStyle name="20% - Accent4 19 2 4 2" xfId="19123"/>
    <cellStyle name="20% - Accent4 19 2 5" xfId="5841"/>
    <cellStyle name="20% - Accent4 19 2 5 2" xfId="17129"/>
    <cellStyle name="20% - Accent4 19 2 6" xfId="15135"/>
    <cellStyle name="20% - Accent4 19 3" xfId="10826"/>
    <cellStyle name="20% - Accent4 19 3 2" xfId="22114"/>
    <cellStyle name="20% - Accent4 19 4" xfId="8832"/>
    <cellStyle name="20% - Accent4 19 4 2" xfId="20120"/>
    <cellStyle name="20% - Accent4 19 5" xfId="6838"/>
    <cellStyle name="20% - Accent4 19 5 2" xfId="18126"/>
    <cellStyle name="20% - Accent4 19 6" xfId="4844"/>
    <cellStyle name="20% - Accent4 19 6 2" xfId="16132"/>
    <cellStyle name="20% - Accent4 19 7" xfId="14138"/>
    <cellStyle name="20% - Accent4 19 8" xfId="12824"/>
    <cellStyle name="20% - Accent4 2" xfId="889"/>
    <cellStyle name="20% - Accent4 2 10" xfId="24577"/>
    <cellStyle name="20% - Accent4 2 11" xfId="24967"/>
    <cellStyle name="20% - Accent4 2 2" xfId="3845"/>
    <cellStyle name="20% - Accent4 2 2 2" xfId="11824"/>
    <cellStyle name="20% - Accent4 2 2 2 2" xfId="23112"/>
    <cellStyle name="20% - Accent4 2 2 3" xfId="9830"/>
    <cellStyle name="20% - Accent4 2 2 3 2" xfId="21118"/>
    <cellStyle name="20% - Accent4 2 2 4" xfId="7836"/>
    <cellStyle name="20% - Accent4 2 2 4 2" xfId="19124"/>
    <cellStyle name="20% - Accent4 2 2 5" xfId="5842"/>
    <cellStyle name="20% - Accent4 2 2 5 2" xfId="17130"/>
    <cellStyle name="20% - Accent4 2 2 6" xfId="15136"/>
    <cellStyle name="20% - Accent4 2 2 7" xfId="24338"/>
    <cellStyle name="20% - Accent4 2 2 8" xfId="24802"/>
    <cellStyle name="20% - Accent4 2 2 9" xfId="25169"/>
    <cellStyle name="20% - Accent4 2 3" xfId="10827"/>
    <cellStyle name="20% - Accent4 2 3 2" xfId="22115"/>
    <cellStyle name="20% - Accent4 2 4" xfId="8833"/>
    <cellStyle name="20% - Accent4 2 4 2" xfId="20121"/>
    <cellStyle name="20% - Accent4 2 5" xfId="6839"/>
    <cellStyle name="20% - Accent4 2 5 2" xfId="18127"/>
    <cellStyle name="20% - Accent4 2 6" xfId="4845"/>
    <cellStyle name="20% - Accent4 2 6 2" xfId="16133"/>
    <cellStyle name="20% - Accent4 2 7" xfId="14139"/>
    <cellStyle name="20% - Accent4 2 8" xfId="12825"/>
    <cellStyle name="20% - Accent4 2 9" xfId="23950"/>
    <cellStyle name="20% - Accent4 20" xfId="890"/>
    <cellStyle name="20% - Accent4 20 2" xfId="3846"/>
    <cellStyle name="20% - Accent4 20 2 2" xfId="11825"/>
    <cellStyle name="20% - Accent4 20 2 2 2" xfId="23113"/>
    <cellStyle name="20% - Accent4 20 2 3" xfId="9831"/>
    <cellStyle name="20% - Accent4 20 2 3 2" xfId="21119"/>
    <cellStyle name="20% - Accent4 20 2 4" xfId="7837"/>
    <cellStyle name="20% - Accent4 20 2 4 2" xfId="19125"/>
    <cellStyle name="20% - Accent4 20 2 5" xfId="5843"/>
    <cellStyle name="20% - Accent4 20 2 5 2" xfId="17131"/>
    <cellStyle name="20% - Accent4 20 2 6" xfId="15137"/>
    <cellStyle name="20% - Accent4 20 3" xfId="10828"/>
    <cellStyle name="20% - Accent4 20 3 2" xfId="22116"/>
    <cellStyle name="20% - Accent4 20 4" xfId="8834"/>
    <cellStyle name="20% - Accent4 20 4 2" xfId="20122"/>
    <cellStyle name="20% - Accent4 20 5" xfId="6840"/>
    <cellStyle name="20% - Accent4 20 5 2" xfId="18128"/>
    <cellStyle name="20% - Accent4 20 6" xfId="4846"/>
    <cellStyle name="20% - Accent4 20 6 2" xfId="16134"/>
    <cellStyle name="20% - Accent4 20 7" xfId="14140"/>
    <cellStyle name="20% - Accent4 20 8" xfId="12826"/>
    <cellStyle name="20% - Accent4 21" xfId="891"/>
    <cellStyle name="20% - Accent4 21 2" xfId="3847"/>
    <cellStyle name="20% - Accent4 21 2 2" xfId="11826"/>
    <cellStyle name="20% - Accent4 21 2 2 2" xfId="23114"/>
    <cellStyle name="20% - Accent4 21 2 3" xfId="9832"/>
    <cellStyle name="20% - Accent4 21 2 3 2" xfId="21120"/>
    <cellStyle name="20% - Accent4 21 2 4" xfId="7838"/>
    <cellStyle name="20% - Accent4 21 2 4 2" xfId="19126"/>
    <cellStyle name="20% - Accent4 21 2 5" xfId="5844"/>
    <cellStyle name="20% - Accent4 21 2 5 2" xfId="17132"/>
    <cellStyle name="20% - Accent4 21 2 6" xfId="15138"/>
    <cellStyle name="20% - Accent4 21 3" xfId="10829"/>
    <cellStyle name="20% - Accent4 21 3 2" xfId="22117"/>
    <cellStyle name="20% - Accent4 21 4" xfId="8835"/>
    <cellStyle name="20% - Accent4 21 4 2" xfId="20123"/>
    <cellStyle name="20% - Accent4 21 5" xfId="6841"/>
    <cellStyle name="20% - Accent4 21 5 2" xfId="18129"/>
    <cellStyle name="20% - Accent4 21 6" xfId="4847"/>
    <cellStyle name="20% - Accent4 21 6 2" xfId="16135"/>
    <cellStyle name="20% - Accent4 21 7" xfId="14141"/>
    <cellStyle name="20% - Accent4 21 8" xfId="12827"/>
    <cellStyle name="20% - Accent4 22" xfId="892"/>
    <cellStyle name="20% - Accent4 22 2" xfId="3848"/>
    <cellStyle name="20% - Accent4 22 2 2" xfId="11827"/>
    <cellStyle name="20% - Accent4 22 2 2 2" xfId="23115"/>
    <cellStyle name="20% - Accent4 22 2 3" xfId="9833"/>
    <cellStyle name="20% - Accent4 22 2 3 2" xfId="21121"/>
    <cellStyle name="20% - Accent4 22 2 4" xfId="7839"/>
    <cellStyle name="20% - Accent4 22 2 4 2" xfId="19127"/>
    <cellStyle name="20% - Accent4 22 2 5" xfId="5845"/>
    <cellStyle name="20% - Accent4 22 2 5 2" xfId="17133"/>
    <cellStyle name="20% - Accent4 22 2 6" xfId="15139"/>
    <cellStyle name="20% - Accent4 22 3" xfId="10830"/>
    <cellStyle name="20% - Accent4 22 3 2" xfId="22118"/>
    <cellStyle name="20% - Accent4 22 4" xfId="8836"/>
    <cellStyle name="20% - Accent4 22 4 2" xfId="20124"/>
    <cellStyle name="20% - Accent4 22 5" xfId="6842"/>
    <cellStyle name="20% - Accent4 22 5 2" xfId="18130"/>
    <cellStyle name="20% - Accent4 22 6" xfId="4848"/>
    <cellStyle name="20% - Accent4 22 6 2" xfId="16136"/>
    <cellStyle name="20% - Accent4 22 7" xfId="14142"/>
    <cellStyle name="20% - Accent4 22 8" xfId="12828"/>
    <cellStyle name="20% - Accent4 23" xfId="893"/>
    <cellStyle name="20% - Accent4 23 2" xfId="3849"/>
    <cellStyle name="20% - Accent4 23 2 2" xfId="11828"/>
    <cellStyle name="20% - Accent4 23 2 2 2" xfId="23116"/>
    <cellStyle name="20% - Accent4 23 2 3" xfId="9834"/>
    <cellStyle name="20% - Accent4 23 2 3 2" xfId="21122"/>
    <cellStyle name="20% - Accent4 23 2 4" xfId="7840"/>
    <cellStyle name="20% - Accent4 23 2 4 2" xfId="19128"/>
    <cellStyle name="20% - Accent4 23 2 5" xfId="5846"/>
    <cellStyle name="20% - Accent4 23 2 5 2" xfId="17134"/>
    <cellStyle name="20% - Accent4 23 2 6" xfId="15140"/>
    <cellStyle name="20% - Accent4 23 3" xfId="10831"/>
    <cellStyle name="20% - Accent4 23 3 2" xfId="22119"/>
    <cellStyle name="20% - Accent4 23 4" xfId="8837"/>
    <cellStyle name="20% - Accent4 23 4 2" xfId="20125"/>
    <cellStyle name="20% - Accent4 23 5" xfId="6843"/>
    <cellStyle name="20% - Accent4 23 5 2" xfId="18131"/>
    <cellStyle name="20% - Accent4 23 6" xfId="4849"/>
    <cellStyle name="20% - Accent4 23 6 2" xfId="16137"/>
    <cellStyle name="20% - Accent4 23 7" xfId="14143"/>
    <cellStyle name="20% - Accent4 23 8" xfId="12829"/>
    <cellStyle name="20% - Accent4 24" xfId="894"/>
    <cellStyle name="20% - Accent4 24 2" xfId="3850"/>
    <cellStyle name="20% - Accent4 24 2 2" xfId="11829"/>
    <cellStyle name="20% - Accent4 24 2 2 2" xfId="23117"/>
    <cellStyle name="20% - Accent4 24 2 3" xfId="9835"/>
    <cellStyle name="20% - Accent4 24 2 3 2" xfId="21123"/>
    <cellStyle name="20% - Accent4 24 2 4" xfId="7841"/>
    <cellStyle name="20% - Accent4 24 2 4 2" xfId="19129"/>
    <cellStyle name="20% - Accent4 24 2 5" xfId="5847"/>
    <cellStyle name="20% - Accent4 24 2 5 2" xfId="17135"/>
    <cellStyle name="20% - Accent4 24 2 6" xfId="15141"/>
    <cellStyle name="20% - Accent4 24 3" xfId="10832"/>
    <cellStyle name="20% - Accent4 24 3 2" xfId="22120"/>
    <cellStyle name="20% - Accent4 24 4" xfId="8838"/>
    <cellStyle name="20% - Accent4 24 4 2" xfId="20126"/>
    <cellStyle name="20% - Accent4 24 5" xfId="6844"/>
    <cellStyle name="20% - Accent4 24 5 2" xfId="18132"/>
    <cellStyle name="20% - Accent4 24 6" xfId="4850"/>
    <cellStyle name="20% - Accent4 24 6 2" xfId="16138"/>
    <cellStyle name="20% - Accent4 24 7" xfId="14144"/>
    <cellStyle name="20% - Accent4 24 8" xfId="12830"/>
    <cellStyle name="20% - Accent4 25" xfId="895"/>
    <cellStyle name="20% - Accent4 25 2" xfId="3851"/>
    <cellStyle name="20% - Accent4 25 2 2" xfId="11830"/>
    <cellStyle name="20% - Accent4 25 2 2 2" xfId="23118"/>
    <cellStyle name="20% - Accent4 25 2 3" xfId="9836"/>
    <cellStyle name="20% - Accent4 25 2 3 2" xfId="21124"/>
    <cellStyle name="20% - Accent4 25 2 4" xfId="7842"/>
    <cellStyle name="20% - Accent4 25 2 4 2" xfId="19130"/>
    <cellStyle name="20% - Accent4 25 2 5" xfId="5848"/>
    <cellStyle name="20% - Accent4 25 2 5 2" xfId="17136"/>
    <cellStyle name="20% - Accent4 25 2 6" xfId="15142"/>
    <cellStyle name="20% - Accent4 25 3" xfId="10833"/>
    <cellStyle name="20% - Accent4 25 3 2" xfId="22121"/>
    <cellStyle name="20% - Accent4 25 4" xfId="8839"/>
    <cellStyle name="20% - Accent4 25 4 2" xfId="20127"/>
    <cellStyle name="20% - Accent4 25 5" xfId="6845"/>
    <cellStyle name="20% - Accent4 25 5 2" xfId="18133"/>
    <cellStyle name="20% - Accent4 25 6" xfId="4851"/>
    <cellStyle name="20% - Accent4 25 6 2" xfId="16139"/>
    <cellStyle name="20% - Accent4 25 7" xfId="14145"/>
    <cellStyle name="20% - Accent4 25 8" xfId="12831"/>
    <cellStyle name="20% - Accent4 26" xfId="896"/>
    <cellStyle name="20% - Accent4 26 2" xfId="3852"/>
    <cellStyle name="20% - Accent4 26 2 2" xfId="11831"/>
    <cellStyle name="20% - Accent4 26 2 2 2" xfId="23119"/>
    <cellStyle name="20% - Accent4 26 2 3" xfId="9837"/>
    <cellStyle name="20% - Accent4 26 2 3 2" xfId="21125"/>
    <cellStyle name="20% - Accent4 26 2 4" xfId="7843"/>
    <cellStyle name="20% - Accent4 26 2 4 2" xfId="19131"/>
    <cellStyle name="20% - Accent4 26 2 5" xfId="5849"/>
    <cellStyle name="20% - Accent4 26 2 5 2" xfId="17137"/>
    <cellStyle name="20% - Accent4 26 2 6" xfId="15143"/>
    <cellStyle name="20% - Accent4 26 3" xfId="10834"/>
    <cellStyle name="20% - Accent4 26 3 2" xfId="22122"/>
    <cellStyle name="20% - Accent4 26 4" xfId="8840"/>
    <cellStyle name="20% - Accent4 26 4 2" xfId="20128"/>
    <cellStyle name="20% - Accent4 26 5" xfId="6846"/>
    <cellStyle name="20% - Accent4 26 5 2" xfId="18134"/>
    <cellStyle name="20% - Accent4 26 6" xfId="4852"/>
    <cellStyle name="20% - Accent4 26 6 2" xfId="16140"/>
    <cellStyle name="20% - Accent4 26 7" xfId="14146"/>
    <cellStyle name="20% - Accent4 26 8" xfId="12832"/>
    <cellStyle name="20% - Accent4 27" xfId="897"/>
    <cellStyle name="20% - Accent4 27 2" xfId="3853"/>
    <cellStyle name="20% - Accent4 27 2 2" xfId="11832"/>
    <cellStyle name="20% - Accent4 27 2 2 2" xfId="23120"/>
    <cellStyle name="20% - Accent4 27 2 3" xfId="9838"/>
    <cellStyle name="20% - Accent4 27 2 3 2" xfId="21126"/>
    <cellStyle name="20% - Accent4 27 2 4" xfId="7844"/>
    <cellStyle name="20% - Accent4 27 2 4 2" xfId="19132"/>
    <cellStyle name="20% - Accent4 27 2 5" xfId="5850"/>
    <cellStyle name="20% - Accent4 27 2 5 2" xfId="17138"/>
    <cellStyle name="20% - Accent4 27 2 6" xfId="15144"/>
    <cellStyle name="20% - Accent4 27 3" xfId="10835"/>
    <cellStyle name="20% - Accent4 27 3 2" xfId="22123"/>
    <cellStyle name="20% - Accent4 27 4" xfId="8841"/>
    <cellStyle name="20% - Accent4 27 4 2" xfId="20129"/>
    <cellStyle name="20% - Accent4 27 5" xfId="6847"/>
    <cellStyle name="20% - Accent4 27 5 2" xfId="18135"/>
    <cellStyle name="20% - Accent4 27 6" xfId="4853"/>
    <cellStyle name="20% - Accent4 27 6 2" xfId="16141"/>
    <cellStyle name="20% - Accent4 27 7" xfId="14147"/>
    <cellStyle name="20% - Accent4 27 8" xfId="12833"/>
    <cellStyle name="20% - Accent4 28" xfId="898"/>
    <cellStyle name="20% - Accent4 28 2" xfId="3854"/>
    <cellStyle name="20% - Accent4 28 2 2" xfId="11833"/>
    <cellStyle name="20% - Accent4 28 2 2 2" xfId="23121"/>
    <cellStyle name="20% - Accent4 28 2 3" xfId="9839"/>
    <cellStyle name="20% - Accent4 28 2 3 2" xfId="21127"/>
    <cellStyle name="20% - Accent4 28 2 4" xfId="7845"/>
    <cellStyle name="20% - Accent4 28 2 4 2" xfId="19133"/>
    <cellStyle name="20% - Accent4 28 2 5" xfId="5851"/>
    <cellStyle name="20% - Accent4 28 2 5 2" xfId="17139"/>
    <cellStyle name="20% - Accent4 28 2 6" xfId="15145"/>
    <cellStyle name="20% - Accent4 28 3" xfId="10836"/>
    <cellStyle name="20% - Accent4 28 3 2" xfId="22124"/>
    <cellStyle name="20% - Accent4 28 4" xfId="8842"/>
    <cellStyle name="20% - Accent4 28 4 2" xfId="20130"/>
    <cellStyle name="20% - Accent4 28 5" xfId="6848"/>
    <cellStyle name="20% - Accent4 28 5 2" xfId="18136"/>
    <cellStyle name="20% - Accent4 28 6" xfId="4854"/>
    <cellStyle name="20% - Accent4 28 6 2" xfId="16142"/>
    <cellStyle name="20% - Accent4 28 7" xfId="14148"/>
    <cellStyle name="20% - Accent4 28 8" xfId="12834"/>
    <cellStyle name="20% - Accent4 29" xfId="899"/>
    <cellStyle name="20% - Accent4 29 2" xfId="3855"/>
    <cellStyle name="20% - Accent4 29 2 2" xfId="11834"/>
    <cellStyle name="20% - Accent4 29 2 2 2" xfId="23122"/>
    <cellStyle name="20% - Accent4 29 2 3" xfId="9840"/>
    <cellStyle name="20% - Accent4 29 2 3 2" xfId="21128"/>
    <cellStyle name="20% - Accent4 29 2 4" xfId="7846"/>
    <cellStyle name="20% - Accent4 29 2 4 2" xfId="19134"/>
    <cellStyle name="20% - Accent4 29 2 5" xfId="5852"/>
    <cellStyle name="20% - Accent4 29 2 5 2" xfId="17140"/>
    <cellStyle name="20% - Accent4 29 2 6" xfId="15146"/>
    <cellStyle name="20% - Accent4 29 3" xfId="10837"/>
    <cellStyle name="20% - Accent4 29 3 2" xfId="22125"/>
    <cellStyle name="20% - Accent4 29 4" xfId="8843"/>
    <cellStyle name="20% - Accent4 29 4 2" xfId="20131"/>
    <cellStyle name="20% - Accent4 29 5" xfId="6849"/>
    <cellStyle name="20% - Accent4 29 5 2" xfId="18137"/>
    <cellStyle name="20% - Accent4 29 6" xfId="4855"/>
    <cellStyle name="20% - Accent4 29 6 2" xfId="16143"/>
    <cellStyle name="20% - Accent4 29 7" xfId="14149"/>
    <cellStyle name="20% - Accent4 29 8" xfId="12835"/>
    <cellStyle name="20% - Accent4 3" xfId="900"/>
    <cellStyle name="20% - Accent4 3 10" xfId="24578"/>
    <cellStyle name="20% - Accent4 3 11" xfId="24968"/>
    <cellStyle name="20% - Accent4 3 2" xfId="3856"/>
    <cellStyle name="20% - Accent4 3 2 2" xfId="11835"/>
    <cellStyle name="20% - Accent4 3 2 2 2" xfId="23123"/>
    <cellStyle name="20% - Accent4 3 2 3" xfId="9841"/>
    <cellStyle name="20% - Accent4 3 2 3 2" xfId="21129"/>
    <cellStyle name="20% - Accent4 3 2 4" xfId="7847"/>
    <cellStyle name="20% - Accent4 3 2 4 2" xfId="19135"/>
    <cellStyle name="20% - Accent4 3 2 5" xfId="5853"/>
    <cellStyle name="20% - Accent4 3 2 5 2" xfId="17141"/>
    <cellStyle name="20% - Accent4 3 2 6" xfId="15147"/>
    <cellStyle name="20% - Accent4 3 2 7" xfId="24339"/>
    <cellStyle name="20% - Accent4 3 2 8" xfId="24803"/>
    <cellStyle name="20% - Accent4 3 2 9" xfId="25170"/>
    <cellStyle name="20% - Accent4 3 3" xfId="10838"/>
    <cellStyle name="20% - Accent4 3 3 2" xfId="22126"/>
    <cellStyle name="20% - Accent4 3 4" xfId="8844"/>
    <cellStyle name="20% - Accent4 3 4 2" xfId="20132"/>
    <cellStyle name="20% - Accent4 3 5" xfId="6850"/>
    <cellStyle name="20% - Accent4 3 5 2" xfId="18138"/>
    <cellStyle name="20% - Accent4 3 6" xfId="4856"/>
    <cellStyle name="20% - Accent4 3 6 2" xfId="16144"/>
    <cellStyle name="20% - Accent4 3 7" xfId="14150"/>
    <cellStyle name="20% - Accent4 3 8" xfId="12836"/>
    <cellStyle name="20% - Accent4 3 9" xfId="23951"/>
    <cellStyle name="20% - Accent4 30" xfId="901"/>
    <cellStyle name="20% - Accent4 30 2" xfId="3857"/>
    <cellStyle name="20% - Accent4 30 2 2" xfId="11836"/>
    <cellStyle name="20% - Accent4 30 2 2 2" xfId="23124"/>
    <cellStyle name="20% - Accent4 30 2 3" xfId="9842"/>
    <cellStyle name="20% - Accent4 30 2 3 2" xfId="21130"/>
    <cellStyle name="20% - Accent4 30 2 4" xfId="7848"/>
    <cellStyle name="20% - Accent4 30 2 4 2" xfId="19136"/>
    <cellStyle name="20% - Accent4 30 2 5" xfId="5854"/>
    <cellStyle name="20% - Accent4 30 2 5 2" xfId="17142"/>
    <cellStyle name="20% - Accent4 30 2 6" xfId="15148"/>
    <cellStyle name="20% - Accent4 30 3" xfId="10839"/>
    <cellStyle name="20% - Accent4 30 3 2" xfId="22127"/>
    <cellStyle name="20% - Accent4 30 4" xfId="8845"/>
    <cellStyle name="20% - Accent4 30 4 2" xfId="20133"/>
    <cellStyle name="20% - Accent4 30 5" xfId="6851"/>
    <cellStyle name="20% - Accent4 30 5 2" xfId="18139"/>
    <cellStyle name="20% - Accent4 30 6" xfId="4857"/>
    <cellStyle name="20% - Accent4 30 6 2" xfId="16145"/>
    <cellStyle name="20% - Accent4 30 7" xfId="14151"/>
    <cellStyle name="20% - Accent4 30 8" xfId="12837"/>
    <cellStyle name="20% - Accent4 31" xfId="902"/>
    <cellStyle name="20% - Accent4 31 2" xfId="3858"/>
    <cellStyle name="20% - Accent4 31 2 2" xfId="11837"/>
    <cellStyle name="20% - Accent4 31 2 2 2" xfId="23125"/>
    <cellStyle name="20% - Accent4 31 2 3" xfId="9843"/>
    <cellStyle name="20% - Accent4 31 2 3 2" xfId="21131"/>
    <cellStyle name="20% - Accent4 31 2 4" xfId="7849"/>
    <cellStyle name="20% - Accent4 31 2 4 2" xfId="19137"/>
    <cellStyle name="20% - Accent4 31 2 5" xfId="5855"/>
    <cellStyle name="20% - Accent4 31 2 5 2" xfId="17143"/>
    <cellStyle name="20% - Accent4 31 2 6" xfId="15149"/>
    <cellStyle name="20% - Accent4 31 3" xfId="10840"/>
    <cellStyle name="20% - Accent4 31 3 2" xfId="22128"/>
    <cellStyle name="20% - Accent4 31 4" xfId="8846"/>
    <cellStyle name="20% - Accent4 31 4 2" xfId="20134"/>
    <cellStyle name="20% - Accent4 31 5" xfId="6852"/>
    <cellStyle name="20% - Accent4 31 5 2" xfId="18140"/>
    <cellStyle name="20% - Accent4 31 6" xfId="4858"/>
    <cellStyle name="20% - Accent4 31 6 2" xfId="16146"/>
    <cellStyle name="20% - Accent4 31 7" xfId="14152"/>
    <cellStyle name="20% - Accent4 31 8" xfId="12838"/>
    <cellStyle name="20% - Accent4 32" xfId="903"/>
    <cellStyle name="20% - Accent4 32 2" xfId="3859"/>
    <cellStyle name="20% - Accent4 32 2 2" xfId="11838"/>
    <cellStyle name="20% - Accent4 32 2 2 2" xfId="23126"/>
    <cellStyle name="20% - Accent4 32 2 3" xfId="9844"/>
    <cellStyle name="20% - Accent4 32 2 3 2" xfId="21132"/>
    <cellStyle name="20% - Accent4 32 2 4" xfId="7850"/>
    <cellStyle name="20% - Accent4 32 2 4 2" xfId="19138"/>
    <cellStyle name="20% - Accent4 32 2 5" xfId="5856"/>
    <cellStyle name="20% - Accent4 32 2 5 2" xfId="17144"/>
    <cellStyle name="20% - Accent4 32 2 6" xfId="15150"/>
    <cellStyle name="20% - Accent4 32 3" xfId="10841"/>
    <cellStyle name="20% - Accent4 32 3 2" xfId="22129"/>
    <cellStyle name="20% - Accent4 32 4" xfId="8847"/>
    <cellStyle name="20% - Accent4 32 4 2" xfId="20135"/>
    <cellStyle name="20% - Accent4 32 5" xfId="6853"/>
    <cellStyle name="20% - Accent4 32 5 2" xfId="18141"/>
    <cellStyle name="20% - Accent4 32 6" xfId="4859"/>
    <cellStyle name="20% - Accent4 32 6 2" xfId="16147"/>
    <cellStyle name="20% - Accent4 32 7" xfId="14153"/>
    <cellStyle name="20% - Accent4 32 8" xfId="12839"/>
    <cellStyle name="20% - Accent4 33" xfId="904"/>
    <cellStyle name="20% - Accent4 33 2" xfId="3860"/>
    <cellStyle name="20% - Accent4 33 2 2" xfId="11839"/>
    <cellStyle name="20% - Accent4 33 2 2 2" xfId="23127"/>
    <cellStyle name="20% - Accent4 33 2 3" xfId="9845"/>
    <cellStyle name="20% - Accent4 33 2 3 2" xfId="21133"/>
    <cellStyle name="20% - Accent4 33 2 4" xfId="7851"/>
    <cellStyle name="20% - Accent4 33 2 4 2" xfId="19139"/>
    <cellStyle name="20% - Accent4 33 2 5" xfId="5857"/>
    <cellStyle name="20% - Accent4 33 2 5 2" xfId="17145"/>
    <cellStyle name="20% - Accent4 33 2 6" xfId="15151"/>
    <cellStyle name="20% - Accent4 33 3" xfId="10842"/>
    <cellStyle name="20% - Accent4 33 3 2" xfId="22130"/>
    <cellStyle name="20% - Accent4 33 4" xfId="8848"/>
    <cellStyle name="20% - Accent4 33 4 2" xfId="20136"/>
    <cellStyle name="20% - Accent4 33 5" xfId="6854"/>
    <cellStyle name="20% - Accent4 33 5 2" xfId="18142"/>
    <cellStyle name="20% - Accent4 33 6" xfId="4860"/>
    <cellStyle name="20% - Accent4 33 6 2" xfId="16148"/>
    <cellStyle name="20% - Accent4 33 7" xfId="14154"/>
    <cellStyle name="20% - Accent4 33 8" xfId="12840"/>
    <cellStyle name="20% - Accent4 34" xfId="905"/>
    <cellStyle name="20% - Accent4 34 2" xfId="3861"/>
    <cellStyle name="20% - Accent4 34 2 2" xfId="11840"/>
    <cellStyle name="20% - Accent4 34 2 2 2" xfId="23128"/>
    <cellStyle name="20% - Accent4 34 2 3" xfId="9846"/>
    <cellStyle name="20% - Accent4 34 2 3 2" xfId="21134"/>
    <cellStyle name="20% - Accent4 34 2 4" xfId="7852"/>
    <cellStyle name="20% - Accent4 34 2 4 2" xfId="19140"/>
    <cellStyle name="20% - Accent4 34 2 5" xfId="5858"/>
    <cellStyle name="20% - Accent4 34 2 5 2" xfId="17146"/>
    <cellStyle name="20% - Accent4 34 2 6" xfId="15152"/>
    <cellStyle name="20% - Accent4 34 3" xfId="10843"/>
    <cellStyle name="20% - Accent4 34 3 2" xfId="22131"/>
    <cellStyle name="20% - Accent4 34 4" xfId="8849"/>
    <cellStyle name="20% - Accent4 34 4 2" xfId="20137"/>
    <cellStyle name="20% - Accent4 34 5" xfId="6855"/>
    <cellStyle name="20% - Accent4 34 5 2" xfId="18143"/>
    <cellStyle name="20% - Accent4 34 6" xfId="4861"/>
    <cellStyle name="20% - Accent4 34 6 2" xfId="16149"/>
    <cellStyle name="20% - Accent4 34 7" xfId="14155"/>
    <cellStyle name="20% - Accent4 34 8" xfId="12841"/>
    <cellStyle name="20% - Accent4 35" xfId="906"/>
    <cellStyle name="20% - Accent4 35 2" xfId="3862"/>
    <cellStyle name="20% - Accent4 35 2 2" xfId="11841"/>
    <cellStyle name="20% - Accent4 35 2 2 2" xfId="23129"/>
    <cellStyle name="20% - Accent4 35 2 3" xfId="9847"/>
    <cellStyle name="20% - Accent4 35 2 3 2" xfId="21135"/>
    <cellStyle name="20% - Accent4 35 2 4" xfId="7853"/>
    <cellStyle name="20% - Accent4 35 2 4 2" xfId="19141"/>
    <cellStyle name="20% - Accent4 35 2 5" xfId="5859"/>
    <cellStyle name="20% - Accent4 35 2 5 2" xfId="17147"/>
    <cellStyle name="20% - Accent4 35 2 6" xfId="15153"/>
    <cellStyle name="20% - Accent4 35 3" xfId="10844"/>
    <cellStyle name="20% - Accent4 35 3 2" xfId="22132"/>
    <cellStyle name="20% - Accent4 35 4" xfId="8850"/>
    <cellStyle name="20% - Accent4 35 4 2" xfId="20138"/>
    <cellStyle name="20% - Accent4 35 5" xfId="6856"/>
    <cellStyle name="20% - Accent4 35 5 2" xfId="18144"/>
    <cellStyle name="20% - Accent4 35 6" xfId="4862"/>
    <cellStyle name="20% - Accent4 35 6 2" xfId="16150"/>
    <cellStyle name="20% - Accent4 35 7" xfId="14156"/>
    <cellStyle name="20% - Accent4 35 8" xfId="12842"/>
    <cellStyle name="20% - Accent4 36" xfId="907"/>
    <cellStyle name="20% - Accent4 36 2" xfId="3863"/>
    <cellStyle name="20% - Accent4 36 2 2" xfId="11842"/>
    <cellStyle name="20% - Accent4 36 2 2 2" xfId="23130"/>
    <cellStyle name="20% - Accent4 36 2 3" xfId="9848"/>
    <cellStyle name="20% - Accent4 36 2 3 2" xfId="21136"/>
    <cellStyle name="20% - Accent4 36 2 4" xfId="7854"/>
    <cellStyle name="20% - Accent4 36 2 4 2" xfId="19142"/>
    <cellStyle name="20% - Accent4 36 2 5" xfId="5860"/>
    <cellStyle name="20% - Accent4 36 2 5 2" xfId="17148"/>
    <cellStyle name="20% - Accent4 36 2 6" xfId="15154"/>
    <cellStyle name="20% - Accent4 36 3" xfId="10845"/>
    <cellStyle name="20% - Accent4 36 3 2" xfId="22133"/>
    <cellStyle name="20% - Accent4 36 4" xfId="8851"/>
    <cellStyle name="20% - Accent4 36 4 2" xfId="20139"/>
    <cellStyle name="20% - Accent4 36 5" xfId="6857"/>
    <cellStyle name="20% - Accent4 36 5 2" xfId="18145"/>
    <cellStyle name="20% - Accent4 36 6" xfId="4863"/>
    <cellStyle name="20% - Accent4 36 6 2" xfId="16151"/>
    <cellStyle name="20% - Accent4 36 7" xfId="14157"/>
    <cellStyle name="20% - Accent4 36 8" xfId="12843"/>
    <cellStyle name="20% - Accent4 37" xfId="908"/>
    <cellStyle name="20% - Accent4 37 2" xfId="3864"/>
    <cellStyle name="20% - Accent4 37 2 2" xfId="11843"/>
    <cellStyle name="20% - Accent4 37 2 2 2" xfId="23131"/>
    <cellStyle name="20% - Accent4 37 2 3" xfId="9849"/>
    <cellStyle name="20% - Accent4 37 2 3 2" xfId="21137"/>
    <cellStyle name="20% - Accent4 37 2 4" xfId="7855"/>
    <cellStyle name="20% - Accent4 37 2 4 2" xfId="19143"/>
    <cellStyle name="20% - Accent4 37 2 5" xfId="5861"/>
    <cellStyle name="20% - Accent4 37 2 5 2" xfId="17149"/>
    <cellStyle name="20% - Accent4 37 2 6" xfId="15155"/>
    <cellStyle name="20% - Accent4 37 3" xfId="10846"/>
    <cellStyle name="20% - Accent4 37 3 2" xfId="22134"/>
    <cellStyle name="20% - Accent4 37 4" xfId="8852"/>
    <cellStyle name="20% - Accent4 37 4 2" xfId="20140"/>
    <cellStyle name="20% - Accent4 37 5" xfId="6858"/>
    <cellStyle name="20% - Accent4 37 5 2" xfId="18146"/>
    <cellStyle name="20% - Accent4 37 6" xfId="4864"/>
    <cellStyle name="20% - Accent4 37 6 2" xfId="16152"/>
    <cellStyle name="20% - Accent4 37 7" xfId="14158"/>
    <cellStyle name="20% - Accent4 37 8" xfId="12844"/>
    <cellStyle name="20% - Accent4 38" xfId="909"/>
    <cellStyle name="20% - Accent4 38 2" xfId="3865"/>
    <cellStyle name="20% - Accent4 38 2 2" xfId="11844"/>
    <cellStyle name="20% - Accent4 38 2 2 2" xfId="23132"/>
    <cellStyle name="20% - Accent4 38 2 3" xfId="9850"/>
    <cellStyle name="20% - Accent4 38 2 3 2" xfId="21138"/>
    <cellStyle name="20% - Accent4 38 2 4" xfId="7856"/>
    <cellStyle name="20% - Accent4 38 2 4 2" xfId="19144"/>
    <cellStyle name="20% - Accent4 38 2 5" xfId="5862"/>
    <cellStyle name="20% - Accent4 38 2 5 2" xfId="17150"/>
    <cellStyle name="20% - Accent4 38 2 6" xfId="15156"/>
    <cellStyle name="20% - Accent4 38 3" xfId="10847"/>
    <cellStyle name="20% - Accent4 38 3 2" xfId="22135"/>
    <cellStyle name="20% - Accent4 38 4" xfId="8853"/>
    <cellStyle name="20% - Accent4 38 4 2" xfId="20141"/>
    <cellStyle name="20% - Accent4 38 5" xfId="6859"/>
    <cellStyle name="20% - Accent4 38 5 2" xfId="18147"/>
    <cellStyle name="20% - Accent4 38 6" xfId="4865"/>
    <cellStyle name="20% - Accent4 38 6 2" xfId="16153"/>
    <cellStyle name="20% - Accent4 38 7" xfId="14159"/>
    <cellStyle name="20% - Accent4 38 8" xfId="12845"/>
    <cellStyle name="20% - Accent4 39" xfId="910"/>
    <cellStyle name="20% - Accent4 39 2" xfId="3866"/>
    <cellStyle name="20% - Accent4 39 2 2" xfId="11845"/>
    <cellStyle name="20% - Accent4 39 2 2 2" xfId="23133"/>
    <cellStyle name="20% - Accent4 39 2 3" xfId="9851"/>
    <cellStyle name="20% - Accent4 39 2 3 2" xfId="21139"/>
    <cellStyle name="20% - Accent4 39 2 4" xfId="7857"/>
    <cellStyle name="20% - Accent4 39 2 4 2" xfId="19145"/>
    <cellStyle name="20% - Accent4 39 2 5" xfId="5863"/>
    <cellStyle name="20% - Accent4 39 2 5 2" xfId="17151"/>
    <cellStyle name="20% - Accent4 39 2 6" xfId="15157"/>
    <cellStyle name="20% - Accent4 39 3" xfId="10848"/>
    <cellStyle name="20% - Accent4 39 3 2" xfId="22136"/>
    <cellStyle name="20% - Accent4 39 4" xfId="8854"/>
    <cellStyle name="20% - Accent4 39 4 2" xfId="20142"/>
    <cellStyle name="20% - Accent4 39 5" xfId="6860"/>
    <cellStyle name="20% - Accent4 39 5 2" xfId="18148"/>
    <cellStyle name="20% - Accent4 39 6" xfId="4866"/>
    <cellStyle name="20% - Accent4 39 6 2" xfId="16154"/>
    <cellStyle name="20% - Accent4 39 7" xfId="14160"/>
    <cellStyle name="20% - Accent4 39 8" xfId="12846"/>
    <cellStyle name="20% - Accent4 4" xfId="911"/>
    <cellStyle name="20% - Accent4 4 10" xfId="24579"/>
    <cellStyle name="20% - Accent4 4 11" xfId="24969"/>
    <cellStyle name="20% - Accent4 4 2" xfId="3867"/>
    <cellStyle name="20% - Accent4 4 2 2" xfId="11846"/>
    <cellStyle name="20% - Accent4 4 2 2 2" xfId="23134"/>
    <cellStyle name="20% - Accent4 4 2 3" xfId="9852"/>
    <cellStyle name="20% - Accent4 4 2 3 2" xfId="21140"/>
    <cellStyle name="20% - Accent4 4 2 4" xfId="7858"/>
    <cellStyle name="20% - Accent4 4 2 4 2" xfId="19146"/>
    <cellStyle name="20% - Accent4 4 2 5" xfId="5864"/>
    <cellStyle name="20% - Accent4 4 2 5 2" xfId="17152"/>
    <cellStyle name="20% - Accent4 4 2 6" xfId="15158"/>
    <cellStyle name="20% - Accent4 4 2 7" xfId="24340"/>
    <cellStyle name="20% - Accent4 4 2 8" xfId="24804"/>
    <cellStyle name="20% - Accent4 4 2 9" xfId="25171"/>
    <cellStyle name="20% - Accent4 4 3" xfId="10849"/>
    <cellStyle name="20% - Accent4 4 3 2" xfId="22137"/>
    <cellStyle name="20% - Accent4 4 4" xfId="8855"/>
    <cellStyle name="20% - Accent4 4 4 2" xfId="20143"/>
    <cellStyle name="20% - Accent4 4 5" xfId="6861"/>
    <cellStyle name="20% - Accent4 4 5 2" xfId="18149"/>
    <cellStyle name="20% - Accent4 4 6" xfId="4867"/>
    <cellStyle name="20% - Accent4 4 6 2" xfId="16155"/>
    <cellStyle name="20% - Accent4 4 7" xfId="14161"/>
    <cellStyle name="20% - Accent4 4 8" xfId="12847"/>
    <cellStyle name="20% - Accent4 4 9" xfId="23952"/>
    <cellStyle name="20% - Accent4 40" xfId="912"/>
    <cellStyle name="20% - Accent4 40 2" xfId="3868"/>
    <cellStyle name="20% - Accent4 40 2 2" xfId="11847"/>
    <cellStyle name="20% - Accent4 40 2 2 2" xfId="23135"/>
    <cellStyle name="20% - Accent4 40 2 3" xfId="9853"/>
    <cellStyle name="20% - Accent4 40 2 3 2" xfId="21141"/>
    <cellStyle name="20% - Accent4 40 2 4" xfId="7859"/>
    <cellStyle name="20% - Accent4 40 2 4 2" xfId="19147"/>
    <cellStyle name="20% - Accent4 40 2 5" xfId="5865"/>
    <cellStyle name="20% - Accent4 40 2 5 2" xfId="17153"/>
    <cellStyle name="20% - Accent4 40 2 6" xfId="15159"/>
    <cellStyle name="20% - Accent4 40 3" xfId="10850"/>
    <cellStyle name="20% - Accent4 40 3 2" xfId="22138"/>
    <cellStyle name="20% - Accent4 40 4" xfId="8856"/>
    <cellStyle name="20% - Accent4 40 4 2" xfId="20144"/>
    <cellStyle name="20% - Accent4 40 5" xfId="6862"/>
    <cellStyle name="20% - Accent4 40 5 2" xfId="18150"/>
    <cellStyle name="20% - Accent4 40 6" xfId="4868"/>
    <cellStyle name="20% - Accent4 40 6 2" xfId="16156"/>
    <cellStyle name="20% - Accent4 40 7" xfId="14162"/>
    <cellStyle name="20% - Accent4 40 8" xfId="12848"/>
    <cellStyle name="20% - Accent4 41" xfId="913"/>
    <cellStyle name="20% - Accent4 41 2" xfId="3869"/>
    <cellStyle name="20% - Accent4 41 2 2" xfId="11848"/>
    <cellStyle name="20% - Accent4 41 2 2 2" xfId="23136"/>
    <cellStyle name="20% - Accent4 41 2 3" xfId="9854"/>
    <cellStyle name="20% - Accent4 41 2 3 2" xfId="21142"/>
    <cellStyle name="20% - Accent4 41 2 4" xfId="7860"/>
    <cellStyle name="20% - Accent4 41 2 4 2" xfId="19148"/>
    <cellStyle name="20% - Accent4 41 2 5" xfId="5866"/>
    <cellStyle name="20% - Accent4 41 2 5 2" xfId="17154"/>
    <cellStyle name="20% - Accent4 41 2 6" xfId="15160"/>
    <cellStyle name="20% - Accent4 41 3" xfId="10851"/>
    <cellStyle name="20% - Accent4 41 3 2" xfId="22139"/>
    <cellStyle name="20% - Accent4 41 4" xfId="8857"/>
    <cellStyle name="20% - Accent4 41 4 2" xfId="20145"/>
    <cellStyle name="20% - Accent4 41 5" xfId="6863"/>
    <cellStyle name="20% - Accent4 41 5 2" xfId="18151"/>
    <cellStyle name="20% - Accent4 41 6" xfId="4869"/>
    <cellStyle name="20% - Accent4 41 6 2" xfId="16157"/>
    <cellStyle name="20% - Accent4 41 7" xfId="14163"/>
    <cellStyle name="20% - Accent4 41 8" xfId="12849"/>
    <cellStyle name="20% - Accent4 42" xfId="914"/>
    <cellStyle name="20% - Accent4 42 2" xfId="3870"/>
    <cellStyle name="20% - Accent4 42 2 2" xfId="11849"/>
    <cellStyle name="20% - Accent4 42 2 2 2" xfId="23137"/>
    <cellStyle name="20% - Accent4 42 2 3" xfId="9855"/>
    <cellStyle name="20% - Accent4 42 2 3 2" xfId="21143"/>
    <cellStyle name="20% - Accent4 42 2 4" xfId="7861"/>
    <cellStyle name="20% - Accent4 42 2 4 2" xfId="19149"/>
    <cellStyle name="20% - Accent4 42 2 5" xfId="5867"/>
    <cellStyle name="20% - Accent4 42 2 5 2" xfId="17155"/>
    <cellStyle name="20% - Accent4 42 2 6" xfId="15161"/>
    <cellStyle name="20% - Accent4 42 3" xfId="10852"/>
    <cellStyle name="20% - Accent4 42 3 2" xfId="22140"/>
    <cellStyle name="20% - Accent4 42 4" xfId="8858"/>
    <cellStyle name="20% - Accent4 42 4 2" xfId="20146"/>
    <cellStyle name="20% - Accent4 42 5" xfId="6864"/>
    <cellStyle name="20% - Accent4 42 5 2" xfId="18152"/>
    <cellStyle name="20% - Accent4 42 6" xfId="4870"/>
    <cellStyle name="20% - Accent4 42 6 2" xfId="16158"/>
    <cellStyle name="20% - Accent4 42 7" xfId="14164"/>
    <cellStyle name="20% - Accent4 42 8" xfId="12850"/>
    <cellStyle name="20% - Accent4 43" xfId="915"/>
    <cellStyle name="20% - Accent4 43 2" xfId="3871"/>
    <cellStyle name="20% - Accent4 43 2 2" xfId="11850"/>
    <cellStyle name="20% - Accent4 43 2 2 2" xfId="23138"/>
    <cellStyle name="20% - Accent4 43 2 3" xfId="9856"/>
    <cellStyle name="20% - Accent4 43 2 3 2" xfId="21144"/>
    <cellStyle name="20% - Accent4 43 2 4" xfId="7862"/>
    <cellStyle name="20% - Accent4 43 2 4 2" xfId="19150"/>
    <cellStyle name="20% - Accent4 43 2 5" xfId="5868"/>
    <cellStyle name="20% - Accent4 43 2 5 2" xfId="17156"/>
    <cellStyle name="20% - Accent4 43 2 6" xfId="15162"/>
    <cellStyle name="20% - Accent4 43 3" xfId="10853"/>
    <cellStyle name="20% - Accent4 43 3 2" xfId="22141"/>
    <cellStyle name="20% - Accent4 43 4" xfId="8859"/>
    <cellStyle name="20% - Accent4 43 4 2" xfId="20147"/>
    <cellStyle name="20% - Accent4 43 5" xfId="6865"/>
    <cellStyle name="20% - Accent4 43 5 2" xfId="18153"/>
    <cellStyle name="20% - Accent4 43 6" xfId="4871"/>
    <cellStyle name="20% - Accent4 43 6 2" xfId="16159"/>
    <cellStyle name="20% - Accent4 43 7" xfId="14165"/>
    <cellStyle name="20% - Accent4 43 8" xfId="12851"/>
    <cellStyle name="20% - Accent4 44" xfId="916"/>
    <cellStyle name="20% - Accent4 44 2" xfId="3872"/>
    <cellStyle name="20% - Accent4 44 2 2" xfId="11851"/>
    <cellStyle name="20% - Accent4 44 2 2 2" xfId="23139"/>
    <cellStyle name="20% - Accent4 44 2 3" xfId="9857"/>
    <cellStyle name="20% - Accent4 44 2 3 2" xfId="21145"/>
    <cellStyle name="20% - Accent4 44 2 4" xfId="7863"/>
    <cellStyle name="20% - Accent4 44 2 4 2" xfId="19151"/>
    <cellStyle name="20% - Accent4 44 2 5" xfId="5869"/>
    <cellStyle name="20% - Accent4 44 2 5 2" xfId="17157"/>
    <cellStyle name="20% - Accent4 44 2 6" xfId="15163"/>
    <cellStyle name="20% - Accent4 44 3" xfId="10854"/>
    <cellStyle name="20% - Accent4 44 3 2" xfId="22142"/>
    <cellStyle name="20% - Accent4 44 4" xfId="8860"/>
    <cellStyle name="20% - Accent4 44 4 2" xfId="20148"/>
    <cellStyle name="20% - Accent4 44 5" xfId="6866"/>
    <cellStyle name="20% - Accent4 44 5 2" xfId="18154"/>
    <cellStyle name="20% - Accent4 44 6" xfId="4872"/>
    <cellStyle name="20% - Accent4 44 6 2" xfId="16160"/>
    <cellStyle name="20% - Accent4 44 7" xfId="14166"/>
    <cellStyle name="20% - Accent4 44 8" xfId="12852"/>
    <cellStyle name="20% - Accent4 45" xfId="917"/>
    <cellStyle name="20% - Accent4 45 2" xfId="3873"/>
    <cellStyle name="20% - Accent4 45 2 2" xfId="11852"/>
    <cellStyle name="20% - Accent4 45 2 2 2" xfId="23140"/>
    <cellStyle name="20% - Accent4 45 2 3" xfId="9858"/>
    <cellStyle name="20% - Accent4 45 2 3 2" xfId="21146"/>
    <cellStyle name="20% - Accent4 45 2 4" xfId="7864"/>
    <cellStyle name="20% - Accent4 45 2 4 2" xfId="19152"/>
    <cellStyle name="20% - Accent4 45 2 5" xfId="5870"/>
    <cellStyle name="20% - Accent4 45 2 5 2" xfId="17158"/>
    <cellStyle name="20% - Accent4 45 2 6" xfId="15164"/>
    <cellStyle name="20% - Accent4 45 3" xfId="10855"/>
    <cellStyle name="20% - Accent4 45 3 2" xfId="22143"/>
    <cellStyle name="20% - Accent4 45 4" xfId="8861"/>
    <cellStyle name="20% - Accent4 45 4 2" xfId="20149"/>
    <cellStyle name="20% - Accent4 45 5" xfId="6867"/>
    <cellStyle name="20% - Accent4 45 5 2" xfId="18155"/>
    <cellStyle name="20% - Accent4 45 6" xfId="4873"/>
    <cellStyle name="20% - Accent4 45 6 2" xfId="16161"/>
    <cellStyle name="20% - Accent4 45 7" xfId="14167"/>
    <cellStyle name="20% - Accent4 45 8" xfId="12853"/>
    <cellStyle name="20% - Accent4 46" xfId="918"/>
    <cellStyle name="20% - Accent4 46 2" xfId="3874"/>
    <cellStyle name="20% - Accent4 46 2 2" xfId="11853"/>
    <cellStyle name="20% - Accent4 46 2 2 2" xfId="23141"/>
    <cellStyle name="20% - Accent4 46 2 3" xfId="9859"/>
    <cellStyle name="20% - Accent4 46 2 3 2" xfId="21147"/>
    <cellStyle name="20% - Accent4 46 2 4" xfId="7865"/>
    <cellStyle name="20% - Accent4 46 2 4 2" xfId="19153"/>
    <cellStyle name="20% - Accent4 46 2 5" xfId="5871"/>
    <cellStyle name="20% - Accent4 46 2 5 2" xfId="17159"/>
    <cellStyle name="20% - Accent4 46 2 6" xfId="15165"/>
    <cellStyle name="20% - Accent4 46 3" xfId="10856"/>
    <cellStyle name="20% - Accent4 46 3 2" xfId="22144"/>
    <cellStyle name="20% - Accent4 46 4" xfId="8862"/>
    <cellStyle name="20% - Accent4 46 4 2" xfId="20150"/>
    <cellStyle name="20% - Accent4 46 5" xfId="6868"/>
    <cellStyle name="20% - Accent4 46 5 2" xfId="18156"/>
    <cellStyle name="20% - Accent4 46 6" xfId="4874"/>
    <cellStyle name="20% - Accent4 46 6 2" xfId="16162"/>
    <cellStyle name="20% - Accent4 46 7" xfId="14168"/>
    <cellStyle name="20% - Accent4 46 8" xfId="12854"/>
    <cellStyle name="20% - Accent4 47" xfId="919"/>
    <cellStyle name="20% - Accent4 47 2" xfId="3875"/>
    <cellStyle name="20% - Accent4 47 2 2" xfId="11854"/>
    <cellStyle name="20% - Accent4 47 2 2 2" xfId="23142"/>
    <cellStyle name="20% - Accent4 47 2 3" xfId="9860"/>
    <cellStyle name="20% - Accent4 47 2 3 2" xfId="21148"/>
    <cellStyle name="20% - Accent4 47 2 4" xfId="7866"/>
    <cellStyle name="20% - Accent4 47 2 4 2" xfId="19154"/>
    <cellStyle name="20% - Accent4 47 2 5" xfId="5872"/>
    <cellStyle name="20% - Accent4 47 2 5 2" xfId="17160"/>
    <cellStyle name="20% - Accent4 47 2 6" xfId="15166"/>
    <cellStyle name="20% - Accent4 47 3" xfId="10857"/>
    <cellStyle name="20% - Accent4 47 3 2" xfId="22145"/>
    <cellStyle name="20% - Accent4 47 4" xfId="8863"/>
    <cellStyle name="20% - Accent4 47 4 2" xfId="20151"/>
    <cellStyle name="20% - Accent4 47 5" xfId="6869"/>
    <cellStyle name="20% - Accent4 47 5 2" xfId="18157"/>
    <cellStyle name="20% - Accent4 47 6" xfId="4875"/>
    <cellStyle name="20% - Accent4 47 6 2" xfId="16163"/>
    <cellStyle name="20% - Accent4 47 7" xfId="14169"/>
    <cellStyle name="20% - Accent4 47 8" xfId="12855"/>
    <cellStyle name="20% - Accent4 48" xfId="920"/>
    <cellStyle name="20% - Accent4 48 2" xfId="3876"/>
    <cellStyle name="20% - Accent4 48 2 2" xfId="11855"/>
    <cellStyle name="20% - Accent4 48 2 2 2" xfId="23143"/>
    <cellStyle name="20% - Accent4 48 2 3" xfId="9861"/>
    <cellStyle name="20% - Accent4 48 2 3 2" xfId="21149"/>
    <cellStyle name="20% - Accent4 48 2 4" xfId="7867"/>
    <cellStyle name="20% - Accent4 48 2 4 2" xfId="19155"/>
    <cellStyle name="20% - Accent4 48 2 5" xfId="5873"/>
    <cellStyle name="20% - Accent4 48 2 5 2" xfId="17161"/>
    <cellStyle name="20% - Accent4 48 2 6" xfId="15167"/>
    <cellStyle name="20% - Accent4 48 3" xfId="10858"/>
    <cellStyle name="20% - Accent4 48 3 2" xfId="22146"/>
    <cellStyle name="20% - Accent4 48 4" xfId="8864"/>
    <cellStyle name="20% - Accent4 48 4 2" xfId="20152"/>
    <cellStyle name="20% - Accent4 48 5" xfId="6870"/>
    <cellStyle name="20% - Accent4 48 5 2" xfId="18158"/>
    <cellStyle name="20% - Accent4 48 6" xfId="4876"/>
    <cellStyle name="20% - Accent4 48 6 2" xfId="16164"/>
    <cellStyle name="20% - Accent4 48 7" xfId="14170"/>
    <cellStyle name="20% - Accent4 48 8" xfId="12856"/>
    <cellStyle name="20% - Accent4 49" xfId="921"/>
    <cellStyle name="20% - Accent4 49 2" xfId="3877"/>
    <cellStyle name="20% - Accent4 49 2 2" xfId="11856"/>
    <cellStyle name="20% - Accent4 49 2 2 2" xfId="23144"/>
    <cellStyle name="20% - Accent4 49 2 3" xfId="9862"/>
    <cellStyle name="20% - Accent4 49 2 3 2" xfId="21150"/>
    <cellStyle name="20% - Accent4 49 2 4" xfId="7868"/>
    <cellStyle name="20% - Accent4 49 2 4 2" xfId="19156"/>
    <cellStyle name="20% - Accent4 49 2 5" xfId="5874"/>
    <cellStyle name="20% - Accent4 49 2 5 2" xfId="17162"/>
    <cellStyle name="20% - Accent4 49 2 6" xfId="15168"/>
    <cellStyle name="20% - Accent4 49 3" xfId="10859"/>
    <cellStyle name="20% - Accent4 49 3 2" xfId="22147"/>
    <cellStyle name="20% - Accent4 49 4" xfId="8865"/>
    <cellStyle name="20% - Accent4 49 4 2" xfId="20153"/>
    <cellStyle name="20% - Accent4 49 5" xfId="6871"/>
    <cellStyle name="20% - Accent4 49 5 2" xfId="18159"/>
    <cellStyle name="20% - Accent4 49 6" xfId="4877"/>
    <cellStyle name="20% - Accent4 49 6 2" xfId="16165"/>
    <cellStyle name="20% - Accent4 49 7" xfId="14171"/>
    <cellStyle name="20% - Accent4 49 8" xfId="12857"/>
    <cellStyle name="20% - Accent4 5" xfId="922"/>
    <cellStyle name="20% - Accent4 5 10" xfId="24580"/>
    <cellStyle name="20% - Accent4 5 11" xfId="24970"/>
    <cellStyle name="20% - Accent4 5 2" xfId="3878"/>
    <cellStyle name="20% - Accent4 5 2 2" xfId="11857"/>
    <cellStyle name="20% - Accent4 5 2 2 2" xfId="23145"/>
    <cellStyle name="20% - Accent4 5 2 3" xfId="9863"/>
    <cellStyle name="20% - Accent4 5 2 3 2" xfId="21151"/>
    <cellStyle name="20% - Accent4 5 2 4" xfId="7869"/>
    <cellStyle name="20% - Accent4 5 2 4 2" xfId="19157"/>
    <cellStyle name="20% - Accent4 5 2 5" xfId="5875"/>
    <cellStyle name="20% - Accent4 5 2 5 2" xfId="17163"/>
    <cellStyle name="20% - Accent4 5 2 6" xfId="15169"/>
    <cellStyle name="20% - Accent4 5 2 7" xfId="24341"/>
    <cellStyle name="20% - Accent4 5 2 8" xfId="24805"/>
    <cellStyle name="20% - Accent4 5 2 9" xfId="25172"/>
    <cellStyle name="20% - Accent4 5 3" xfId="10860"/>
    <cellStyle name="20% - Accent4 5 3 2" xfId="22148"/>
    <cellStyle name="20% - Accent4 5 4" xfId="8866"/>
    <cellStyle name="20% - Accent4 5 4 2" xfId="20154"/>
    <cellStyle name="20% - Accent4 5 5" xfId="6872"/>
    <cellStyle name="20% - Accent4 5 5 2" xfId="18160"/>
    <cellStyle name="20% - Accent4 5 6" xfId="4878"/>
    <cellStyle name="20% - Accent4 5 6 2" xfId="16166"/>
    <cellStyle name="20% - Accent4 5 7" xfId="14172"/>
    <cellStyle name="20% - Accent4 5 8" xfId="12858"/>
    <cellStyle name="20% - Accent4 5 9" xfId="23953"/>
    <cellStyle name="20% - Accent4 50" xfId="923"/>
    <cellStyle name="20% - Accent4 50 2" xfId="3879"/>
    <cellStyle name="20% - Accent4 50 2 2" xfId="11858"/>
    <cellStyle name="20% - Accent4 50 2 2 2" xfId="23146"/>
    <cellStyle name="20% - Accent4 50 2 3" xfId="9864"/>
    <cellStyle name="20% - Accent4 50 2 3 2" xfId="21152"/>
    <cellStyle name="20% - Accent4 50 2 4" xfId="7870"/>
    <cellStyle name="20% - Accent4 50 2 4 2" xfId="19158"/>
    <cellStyle name="20% - Accent4 50 2 5" xfId="5876"/>
    <cellStyle name="20% - Accent4 50 2 5 2" xfId="17164"/>
    <cellStyle name="20% - Accent4 50 2 6" xfId="15170"/>
    <cellStyle name="20% - Accent4 50 3" xfId="10861"/>
    <cellStyle name="20% - Accent4 50 3 2" xfId="22149"/>
    <cellStyle name="20% - Accent4 50 4" xfId="8867"/>
    <cellStyle name="20% - Accent4 50 4 2" xfId="20155"/>
    <cellStyle name="20% - Accent4 50 5" xfId="6873"/>
    <cellStyle name="20% - Accent4 50 5 2" xfId="18161"/>
    <cellStyle name="20% - Accent4 50 6" xfId="4879"/>
    <cellStyle name="20% - Accent4 50 6 2" xfId="16167"/>
    <cellStyle name="20% - Accent4 50 7" xfId="14173"/>
    <cellStyle name="20% - Accent4 50 8" xfId="12859"/>
    <cellStyle name="20% - Accent4 51" xfId="924"/>
    <cellStyle name="20% - Accent4 51 2" xfId="3880"/>
    <cellStyle name="20% - Accent4 51 2 2" xfId="11859"/>
    <cellStyle name="20% - Accent4 51 2 2 2" xfId="23147"/>
    <cellStyle name="20% - Accent4 51 2 3" xfId="9865"/>
    <cellStyle name="20% - Accent4 51 2 3 2" xfId="21153"/>
    <cellStyle name="20% - Accent4 51 2 4" xfId="7871"/>
    <cellStyle name="20% - Accent4 51 2 4 2" xfId="19159"/>
    <cellStyle name="20% - Accent4 51 2 5" xfId="5877"/>
    <cellStyle name="20% - Accent4 51 2 5 2" xfId="17165"/>
    <cellStyle name="20% - Accent4 51 2 6" xfId="15171"/>
    <cellStyle name="20% - Accent4 51 3" xfId="10862"/>
    <cellStyle name="20% - Accent4 51 3 2" xfId="22150"/>
    <cellStyle name="20% - Accent4 51 4" xfId="8868"/>
    <cellStyle name="20% - Accent4 51 4 2" xfId="20156"/>
    <cellStyle name="20% - Accent4 51 5" xfId="6874"/>
    <cellStyle name="20% - Accent4 51 5 2" xfId="18162"/>
    <cellStyle name="20% - Accent4 51 6" xfId="4880"/>
    <cellStyle name="20% - Accent4 51 6 2" xfId="16168"/>
    <cellStyle name="20% - Accent4 51 7" xfId="14174"/>
    <cellStyle name="20% - Accent4 51 8" xfId="12860"/>
    <cellStyle name="20% - Accent4 52" xfId="925"/>
    <cellStyle name="20% - Accent4 52 2" xfId="3881"/>
    <cellStyle name="20% - Accent4 52 2 2" xfId="11860"/>
    <cellStyle name="20% - Accent4 52 2 2 2" xfId="23148"/>
    <cellStyle name="20% - Accent4 52 2 3" xfId="9866"/>
    <cellStyle name="20% - Accent4 52 2 3 2" xfId="21154"/>
    <cellStyle name="20% - Accent4 52 2 4" xfId="7872"/>
    <cellStyle name="20% - Accent4 52 2 4 2" xfId="19160"/>
    <cellStyle name="20% - Accent4 52 2 5" xfId="5878"/>
    <cellStyle name="20% - Accent4 52 2 5 2" xfId="17166"/>
    <cellStyle name="20% - Accent4 52 2 6" xfId="15172"/>
    <cellStyle name="20% - Accent4 52 3" xfId="10863"/>
    <cellStyle name="20% - Accent4 52 3 2" xfId="22151"/>
    <cellStyle name="20% - Accent4 52 4" xfId="8869"/>
    <cellStyle name="20% - Accent4 52 4 2" xfId="20157"/>
    <cellStyle name="20% - Accent4 52 5" xfId="6875"/>
    <cellStyle name="20% - Accent4 52 5 2" xfId="18163"/>
    <cellStyle name="20% - Accent4 52 6" xfId="4881"/>
    <cellStyle name="20% - Accent4 52 6 2" xfId="16169"/>
    <cellStyle name="20% - Accent4 52 7" xfId="14175"/>
    <cellStyle name="20% - Accent4 52 8" xfId="12861"/>
    <cellStyle name="20% - Accent4 53" xfId="926"/>
    <cellStyle name="20% - Accent4 53 2" xfId="3882"/>
    <cellStyle name="20% - Accent4 53 2 2" xfId="11861"/>
    <cellStyle name="20% - Accent4 53 2 2 2" xfId="23149"/>
    <cellStyle name="20% - Accent4 53 2 3" xfId="9867"/>
    <cellStyle name="20% - Accent4 53 2 3 2" xfId="21155"/>
    <cellStyle name="20% - Accent4 53 2 4" xfId="7873"/>
    <cellStyle name="20% - Accent4 53 2 4 2" xfId="19161"/>
    <cellStyle name="20% - Accent4 53 2 5" xfId="5879"/>
    <cellStyle name="20% - Accent4 53 2 5 2" xfId="17167"/>
    <cellStyle name="20% - Accent4 53 2 6" xfId="15173"/>
    <cellStyle name="20% - Accent4 53 3" xfId="10864"/>
    <cellStyle name="20% - Accent4 53 3 2" xfId="22152"/>
    <cellStyle name="20% - Accent4 53 4" xfId="8870"/>
    <cellStyle name="20% - Accent4 53 4 2" xfId="20158"/>
    <cellStyle name="20% - Accent4 53 5" xfId="6876"/>
    <cellStyle name="20% - Accent4 53 5 2" xfId="18164"/>
    <cellStyle name="20% - Accent4 53 6" xfId="4882"/>
    <cellStyle name="20% - Accent4 53 6 2" xfId="16170"/>
    <cellStyle name="20% - Accent4 53 7" xfId="14176"/>
    <cellStyle name="20% - Accent4 53 8" xfId="12862"/>
    <cellStyle name="20% - Accent4 54" xfId="927"/>
    <cellStyle name="20% - Accent4 54 2" xfId="3883"/>
    <cellStyle name="20% - Accent4 54 2 2" xfId="11862"/>
    <cellStyle name="20% - Accent4 54 2 2 2" xfId="23150"/>
    <cellStyle name="20% - Accent4 54 2 3" xfId="9868"/>
    <cellStyle name="20% - Accent4 54 2 3 2" xfId="21156"/>
    <cellStyle name="20% - Accent4 54 2 4" xfId="7874"/>
    <cellStyle name="20% - Accent4 54 2 4 2" xfId="19162"/>
    <cellStyle name="20% - Accent4 54 2 5" xfId="5880"/>
    <cellStyle name="20% - Accent4 54 2 5 2" xfId="17168"/>
    <cellStyle name="20% - Accent4 54 2 6" xfId="15174"/>
    <cellStyle name="20% - Accent4 54 3" xfId="10865"/>
    <cellStyle name="20% - Accent4 54 3 2" xfId="22153"/>
    <cellStyle name="20% - Accent4 54 4" xfId="8871"/>
    <cellStyle name="20% - Accent4 54 4 2" xfId="20159"/>
    <cellStyle name="20% - Accent4 54 5" xfId="6877"/>
    <cellStyle name="20% - Accent4 54 5 2" xfId="18165"/>
    <cellStyle name="20% - Accent4 54 6" xfId="4883"/>
    <cellStyle name="20% - Accent4 54 6 2" xfId="16171"/>
    <cellStyle name="20% - Accent4 54 7" xfId="14177"/>
    <cellStyle name="20% - Accent4 54 8" xfId="12863"/>
    <cellStyle name="20% - Accent4 55" xfId="928"/>
    <cellStyle name="20% - Accent4 55 2" xfId="3884"/>
    <cellStyle name="20% - Accent4 55 2 2" xfId="11863"/>
    <cellStyle name="20% - Accent4 55 2 2 2" xfId="23151"/>
    <cellStyle name="20% - Accent4 55 2 3" xfId="9869"/>
    <cellStyle name="20% - Accent4 55 2 3 2" xfId="21157"/>
    <cellStyle name="20% - Accent4 55 2 4" xfId="7875"/>
    <cellStyle name="20% - Accent4 55 2 4 2" xfId="19163"/>
    <cellStyle name="20% - Accent4 55 2 5" xfId="5881"/>
    <cellStyle name="20% - Accent4 55 2 5 2" xfId="17169"/>
    <cellStyle name="20% - Accent4 55 2 6" xfId="15175"/>
    <cellStyle name="20% - Accent4 55 3" xfId="10866"/>
    <cellStyle name="20% - Accent4 55 3 2" xfId="22154"/>
    <cellStyle name="20% - Accent4 55 4" xfId="8872"/>
    <cellStyle name="20% - Accent4 55 4 2" xfId="20160"/>
    <cellStyle name="20% - Accent4 55 5" xfId="6878"/>
    <cellStyle name="20% - Accent4 55 5 2" xfId="18166"/>
    <cellStyle name="20% - Accent4 55 6" xfId="4884"/>
    <cellStyle name="20% - Accent4 55 6 2" xfId="16172"/>
    <cellStyle name="20% - Accent4 55 7" xfId="14178"/>
    <cellStyle name="20% - Accent4 55 8" xfId="12864"/>
    <cellStyle name="20% - Accent4 56" xfId="929"/>
    <cellStyle name="20% - Accent4 56 2" xfId="3885"/>
    <cellStyle name="20% - Accent4 56 2 2" xfId="11864"/>
    <cellStyle name="20% - Accent4 56 2 2 2" xfId="23152"/>
    <cellStyle name="20% - Accent4 56 2 3" xfId="9870"/>
    <cellStyle name="20% - Accent4 56 2 3 2" xfId="21158"/>
    <cellStyle name="20% - Accent4 56 2 4" xfId="7876"/>
    <cellStyle name="20% - Accent4 56 2 4 2" xfId="19164"/>
    <cellStyle name="20% - Accent4 56 2 5" xfId="5882"/>
    <cellStyle name="20% - Accent4 56 2 5 2" xfId="17170"/>
    <cellStyle name="20% - Accent4 56 2 6" xfId="15176"/>
    <cellStyle name="20% - Accent4 56 3" xfId="10867"/>
    <cellStyle name="20% - Accent4 56 3 2" xfId="22155"/>
    <cellStyle name="20% - Accent4 56 4" xfId="8873"/>
    <cellStyle name="20% - Accent4 56 4 2" xfId="20161"/>
    <cellStyle name="20% - Accent4 56 5" xfId="6879"/>
    <cellStyle name="20% - Accent4 56 5 2" xfId="18167"/>
    <cellStyle name="20% - Accent4 56 6" xfId="4885"/>
    <cellStyle name="20% - Accent4 56 6 2" xfId="16173"/>
    <cellStyle name="20% - Accent4 56 7" xfId="14179"/>
    <cellStyle name="20% - Accent4 56 8" xfId="12865"/>
    <cellStyle name="20% - Accent4 57" xfId="930"/>
    <cellStyle name="20% - Accent4 57 2" xfId="3886"/>
    <cellStyle name="20% - Accent4 57 2 2" xfId="11865"/>
    <cellStyle name="20% - Accent4 57 2 2 2" xfId="23153"/>
    <cellStyle name="20% - Accent4 57 2 3" xfId="9871"/>
    <cellStyle name="20% - Accent4 57 2 3 2" xfId="21159"/>
    <cellStyle name="20% - Accent4 57 2 4" xfId="7877"/>
    <cellStyle name="20% - Accent4 57 2 4 2" xfId="19165"/>
    <cellStyle name="20% - Accent4 57 2 5" xfId="5883"/>
    <cellStyle name="20% - Accent4 57 2 5 2" xfId="17171"/>
    <cellStyle name="20% - Accent4 57 2 6" xfId="15177"/>
    <cellStyle name="20% - Accent4 57 3" xfId="10868"/>
    <cellStyle name="20% - Accent4 57 3 2" xfId="22156"/>
    <cellStyle name="20% - Accent4 57 4" xfId="8874"/>
    <cellStyle name="20% - Accent4 57 4 2" xfId="20162"/>
    <cellStyle name="20% - Accent4 57 5" xfId="6880"/>
    <cellStyle name="20% - Accent4 57 5 2" xfId="18168"/>
    <cellStyle name="20% - Accent4 57 6" xfId="4886"/>
    <cellStyle name="20% - Accent4 57 6 2" xfId="16174"/>
    <cellStyle name="20% - Accent4 57 7" xfId="14180"/>
    <cellStyle name="20% - Accent4 57 8" xfId="12866"/>
    <cellStyle name="20% - Accent4 58" xfId="931"/>
    <cellStyle name="20% - Accent4 58 2" xfId="3887"/>
    <cellStyle name="20% - Accent4 58 2 2" xfId="11866"/>
    <cellStyle name="20% - Accent4 58 2 2 2" xfId="23154"/>
    <cellStyle name="20% - Accent4 58 2 3" xfId="9872"/>
    <cellStyle name="20% - Accent4 58 2 3 2" xfId="21160"/>
    <cellStyle name="20% - Accent4 58 2 4" xfId="7878"/>
    <cellStyle name="20% - Accent4 58 2 4 2" xfId="19166"/>
    <cellStyle name="20% - Accent4 58 2 5" xfId="5884"/>
    <cellStyle name="20% - Accent4 58 2 5 2" xfId="17172"/>
    <cellStyle name="20% - Accent4 58 2 6" xfId="15178"/>
    <cellStyle name="20% - Accent4 58 3" xfId="10869"/>
    <cellStyle name="20% - Accent4 58 3 2" xfId="22157"/>
    <cellStyle name="20% - Accent4 58 4" xfId="8875"/>
    <cellStyle name="20% - Accent4 58 4 2" xfId="20163"/>
    <cellStyle name="20% - Accent4 58 5" xfId="6881"/>
    <cellStyle name="20% - Accent4 58 5 2" xfId="18169"/>
    <cellStyle name="20% - Accent4 58 6" xfId="4887"/>
    <cellStyle name="20% - Accent4 58 6 2" xfId="16175"/>
    <cellStyle name="20% - Accent4 58 7" xfId="14181"/>
    <cellStyle name="20% - Accent4 58 8" xfId="12867"/>
    <cellStyle name="20% - Accent4 59" xfId="932"/>
    <cellStyle name="20% - Accent4 59 2" xfId="3888"/>
    <cellStyle name="20% - Accent4 59 2 2" xfId="11867"/>
    <cellStyle name="20% - Accent4 59 2 2 2" xfId="23155"/>
    <cellStyle name="20% - Accent4 59 2 3" xfId="9873"/>
    <cellStyle name="20% - Accent4 59 2 3 2" xfId="21161"/>
    <cellStyle name="20% - Accent4 59 2 4" xfId="7879"/>
    <cellStyle name="20% - Accent4 59 2 4 2" xfId="19167"/>
    <cellStyle name="20% - Accent4 59 2 5" xfId="5885"/>
    <cellStyle name="20% - Accent4 59 2 5 2" xfId="17173"/>
    <cellStyle name="20% - Accent4 59 2 6" xfId="15179"/>
    <cellStyle name="20% - Accent4 59 3" xfId="10870"/>
    <cellStyle name="20% - Accent4 59 3 2" xfId="22158"/>
    <cellStyle name="20% - Accent4 59 4" xfId="8876"/>
    <cellStyle name="20% - Accent4 59 4 2" xfId="20164"/>
    <cellStyle name="20% - Accent4 59 5" xfId="6882"/>
    <cellStyle name="20% - Accent4 59 5 2" xfId="18170"/>
    <cellStyle name="20% - Accent4 59 6" xfId="4888"/>
    <cellStyle name="20% - Accent4 59 6 2" xfId="16176"/>
    <cellStyle name="20% - Accent4 59 7" xfId="14182"/>
    <cellStyle name="20% - Accent4 59 8" xfId="12868"/>
    <cellStyle name="20% - Accent4 6" xfId="933"/>
    <cellStyle name="20% - Accent4 6 10" xfId="24581"/>
    <cellStyle name="20% - Accent4 6 11" xfId="24971"/>
    <cellStyle name="20% - Accent4 6 2" xfId="3889"/>
    <cellStyle name="20% - Accent4 6 2 2" xfId="11868"/>
    <cellStyle name="20% - Accent4 6 2 2 2" xfId="23156"/>
    <cellStyle name="20% - Accent4 6 2 3" xfId="9874"/>
    <cellStyle name="20% - Accent4 6 2 3 2" xfId="21162"/>
    <cellStyle name="20% - Accent4 6 2 4" xfId="7880"/>
    <cellStyle name="20% - Accent4 6 2 4 2" xfId="19168"/>
    <cellStyle name="20% - Accent4 6 2 5" xfId="5886"/>
    <cellStyle name="20% - Accent4 6 2 5 2" xfId="17174"/>
    <cellStyle name="20% - Accent4 6 2 6" xfId="15180"/>
    <cellStyle name="20% - Accent4 6 2 7" xfId="24342"/>
    <cellStyle name="20% - Accent4 6 2 8" xfId="24806"/>
    <cellStyle name="20% - Accent4 6 2 9" xfId="25173"/>
    <cellStyle name="20% - Accent4 6 3" xfId="10871"/>
    <cellStyle name="20% - Accent4 6 3 2" xfId="22159"/>
    <cellStyle name="20% - Accent4 6 4" xfId="8877"/>
    <cellStyle name="20% - Accent4 6 4 2" xfId="20165"/>
    <cellStyle name="20% - Accent4 6 5" xfId="6883"/>
    <cellStyle name="20% - Accent4 6 5 2" xfId="18171"/>
    <cellStyle name="20% - Accent4 6 6" xfId="4889"/>
    <cellStyle name="20% - Accent4 6 6 2" xfId="16177"/>
    <cellStyle name="20% - Accent4 6 7" xfId="14183"/>
    <cellStyle name="20% - Accent4 6 8" xfId="12869"/>
    <cellStyle name="20% - Accent4 6 9" xfId="23954"/>
    <cellStyle name="20% - Accent4 60" xfId="934"/>
    <cellStyle name="20% - Accent4 60 2" xfId="3890"/>
    <cellStyle name="20% - Accent4 60 2 2" xfId="11869"/>
    <cellStyle name="20% - Accent4 60 2 2 2" xfId="23157"/>
    <cellStyle name="20% - Accent4 60 2 3" xfId="9875"/>
    <cellStyle name="20% - Accent4 60 2 3 2" xfId="21163"/>
    <cellStyle name="20% - Accent4 60 2 4" xfId="7881"/>
    <cellStyle name="20% - Accent4 60 2 4 2" xfId="19169"/>
    <cellStyle name="20% - Accent4 60 2 5" xfId="5887"/>
    <cellStyle name="20% - Accent4 60 2 5 2" xfId="17175"/>
    <cellStyle name="20% - Accent4 60 2 6" xfId="15181"/>
    <cellStyle name="20% - Accent4 60 3" xfId="10872"/>
    <cellStyle name="20% - Accent4 60 3 2" xfId="22160"/>
    <cellStyle name="20% - Accent4 60 4" xfId="8878"/>
    <cellStyle name="20% - Accent4 60 4 2" xfId="20166"/>
    <cellStyle name="20% - Accent4 60 5" xfId="6884"/>
    <cellStyle name="20% - Accent4 60 5 2" xfId="18172"/>
    <cellStyle name="20% - Accent4 60 6" xfId="4890"/>
    <cellStyle name="20% - Accent4 60 6 2" xfId="16178"/>
    <cellStyle name="20% - Accent4 60 7" xfId="14184"/>
    <cellStyle name="20% - Accent4 60 8" xfId="12870"/>
    <cellStyle name="20% - Accent4 61" xfId="935"/>
    <cellStyle name="20% - Accent4 61 2" xfId="3891"/>
    <cellStyle name="20% - Accent4 61 2 2" xfId="11870"/>
    <cellStyle name="20% - Accent4 61 2 2 2" xfId="23158"/>
    <cellStyle name="20% - Accent4 61 2 3" xfId="9876"/>
    <cellStyle name="20% - Accent4 61 2 3 2" xfId="21164"/>
    <cellStyle name="20% - Accent4 61 2 4" xfId="7882"/>
    <cellStyle name="20% - Accent4 61 2 4 2" xfId="19170"/>
    <cellStyle name="20% - Accent4 61 2 5" xfId="5888"/>
    <cellStyle name="20% - Accent4 61 2 5 2" xfId="17176"/>
    <cellStyle name="20% - Accent4 61 2 6" xfId="15182"/>
    <cellStyle name="20% - Accent4 61 3" xfId="10873"/>
    <cellStyle name="20% - Accent4 61 3 2" xfId="22161"/>
    <cellStyle name="20% - Accent4 61 4" xfId="8879"/>
    <cellStyle name="20% - Accent4 61 4 2" xfId="20167"/>
    <cellStyle name="20% - Accent4 61 5" xfId="6885"/>
    <cellStyle name="20% - Accent4 61 5 2" xfId="18173"/>
    <cellStyle name="20% - Accent4 61 6" xfId="4891"/>
    <cellStyle name="20% - Accent4 61 6 2" xfId="16179"/>
    <cellStyle name="20% - Accent4 61 7" xfId="14185"/>
    <cellStyle name="20% - Accent4 61 8" xfId="12871"/>
    <cellStyle name="20% - Accent4 62" xfId="936"/>
    <cellStyle name="20% - Accent4 62 2" xfId="3892"/>
    <cellStyle name="20% - Accent4 62 2 2" xfId="11871"/>
    <cellStyle name="20% - Accent4 62 2 2 2" xfId="23159"/>
    <cellStyle name="20% - Accent4 62 2 3" xfId="9877"/>
    <cellStyle name="20% - Accent4 62 2 3 2" xfId="21165"/>
    <cellStyle name="20% - Accent4 62 2 4" xfId="7883"/>
    <cellStyle name="20% - Accent4 62 2 4 2" xfId="19171"/>
    <cellStyle name="20% - Accent4 62 2 5" xfId="5889"/>
    <cellStyle name="20% - Accent4 62 2 5 2" xfId="17177"/>
    <cellStyle name="20% - Accent4 62 2 6" xfId="15183"/>
    <cellStyle name="20% - Accent4 62 3" xfId="10874"/>
    <cellStyle name="20% - Accent4 62 3 2" xfId="22162"/>
    <cellStyle name="20% - Accent4 62 4" xfId="8880"/>
    <cellStyle name="20% - Accent4 62 4 2" xfId="20168"/>
    <cellStyle name="20% - Accent4 62 5" xfId="6886"/>
    <cellStyle name="20% - Accent4 62 5 2" xfId="18174"/>
    <cellStyle name="20% - Accent4 62 6" xfId="4892"/>
    <cellStyle name="20% - Accent4 62 6 2" xfId="16180"/>
    <cellStyle name="20% - Accent4 62 7" xfId="14186"/>
    <cellStyle name="20% - Accent4 62 8" xfId="12872"/>
    <cellStyle name="20% - Accent4 63" xfId="937"/>
    <cellStyle name="20% - Accent4 63 2" xfId="3893"/>
    <cellStyle name="20% - Accent4 63 2 2" xfId="11872"/>
    <cellStyle name="20% - Accent4 63 2 2 2" xfId="23160"/>
    <cellStyle name="20% - Accent4 63 2 3" xfId="9878"/>
    <cellStyle name="20% - Accent4 63 2 3 2" xfId="21166"/>
    <cellStyle name="20% - Accent4 63 2 4" xfId="7884"/>
    <cellStyle name="20% - Accent4 63 2 4 2" xfId="19172"/>
    <cellStyle name="20% - Accent4 63 2 5" xfId="5890"/>
    <cellStyle name="20% - Accent4 63 2 5 2" xfId="17178"/>
    <cellStyle name="20% - Accent4 63 2 6" xfId="15184"/>
    <cellStyle name="20% - Accent4 63 3" xfId="10875"/>
    <cellStyle name="20% - Accent4 63 3 2" xfId="22163"/>
    <cellStyle name="20% - Accent4 63 4" xfId="8881"/>
    <cellStyle name="20% - Accent4 63 4 2" xfId="20169"/>
    <cellStyle name="20% - Accent4 63 5" xfId="6887"/>
    <cellStyle name="20% - Accent4 63 5 2" xfId="18175"/>
    <cellStyle name="20% - Accent4 63 6" xfId="4893"/>
    <cellStyle name="20% - Accent4 63 6 2" xfId="16181"/>
    <cellStyle name="20% - Accent4 63 7" xfId="14187"/>
    <cellStyle name="20% - Accent4 63 8" xfId="12873"/>
    <cellStyle name="20% - Accent4 64" xfId="938"/>
    <cellStyle name="20% - Accent4 64 2" xfId="3894"/>
    <cellStyle name="20% - Accent4 64 2 2" xfId="11873"/>
    <cellStyle name="20% - Accent4 64 2 2 2" xfId="23161"/>
    <cellStyle name="20% - Accent4 64 2 3" xfId="9879"/>
    <cellStyle name="20% - Accent4 64 2 3 2" xfId="21167"/>
    <cellStyle name="20% - Accent4 64 2 4" xfId="7885"/>
    <cellStyle name="20% - Accent4 64 2 4 2" xfId="19173"/>
    <cellStyle name="20% - Accent4 64 2 5" xfId="5891"/>
    <cellStyle name="20% - Accent4 64 2 5 2" xfId="17179"/>
    <cellStyle name="20% - Accent4 64 2 6" xfId="15185"/>
    <cellStyle name="20% - Accent4 64 3" xfId="10876"/>
    <cellStyle name="20% - Accent4 64 3 2" xfId="22164"/>
    <cellStyle name="20% - Accent4 64 4" xfId="8882"/>
    <cellStyle name="20% - Accent4 64 4 2" xfId="20170"/>
    <cellStyle name="20% - Accent4 64 5" xfId="6888"/>
    <cellStyle name="20% - Accent4 64 5 2" xfId="18176"/>
    <cellStyle name="20% - Accent4 64 6" xfId="4894"/>
    <cellStyle name="20% - Accent4 64 6 2" xfId="16182"/>
    <cellStyle name="20% - Accent4 64 7" xfId="14188"/>
    <cellStyle name="20% - Accent4 64 8" xfId="12874"/>
    <cellStyle name="20% - Accent4 65" xfId="939"/>
    <cellStyle name="20% - Accent4 65 2" xfId="3895"/>
    <cellStyle name="20% - Accent4 65 2 2" xfId="11874"/>
    <cellStyle name="20% - Accent4 65 2 2 2" xfId="23162"/>
    <cellStyle name="20% - Accent4 65 2 3" xfId="9880"/>
    <cellStyle name="20% - Accent4 65 2 3 2" xfId="21168"/>
    <cellStyle name="20% - Accent4 65 2 4" xfId="7886"/>
    <cellStyle name="20% - Accent4 65 2 4 2" xfId="19174"/>
    <cellStyle name="20% - Accent4 65 2 5" xfId="5892"/>
    <cellStyle name="20% - Accent4 65 2 5 2" xfId="17180"/>
    <cellStyle name="20% - Accent4 65 2 6" xfId="15186"/>
    <cellStyle name="20% - Accent4 65 3" xfId="10877"/>
    <cellStyle name="20% - Accent4 65 3 2" xfId="22165"/>
    <cellStyle name="20% - Accent4 65 4" xfId="8883"/>
    <cellStyle name="20% - Accent4 65 4 2" xfId="20171"/>
    <cellStyle name="20% - Accent4 65 5" xfId="6889"/>
    <cellStyle name="20% - Accent4 65 5 2" xfId="18177"/>
    <cellStyle name="20% - Accent4 65 6" xfId="4895"/>
    <cellStyle name="20% - Accent4 65 6 2" xfId="16183"/>
    <cellStyle name="20% - Accent4 65 7" xfId="14189"/>
    <cellStyle name="20% - Accent4 65 8" xfId="12875"/>
    <cellStyle name="20% - Accent4 66" xfId="940"/>
    <cellStyle name="20% - Accent4 66 2" xfId="3896"/>
    <cellStyle name="20% - Accent4 66 2 2" xfId="11875"/>
    <cellStyle name="20% - Accent4 66 2 2 2" xfId="23163"/>
    <cellStyle name="20% - Accent4 66 2 3" xfId="9881"/>
    <cellStyle name="20% - Accent4 66 2 3 2" xfId="21169"/>
    <cellStyle name="20% - Accent4 66 2 4" xfId="7887"/>
    <cellStyle name="20% - Accent4 66 2 4 2" xfId="19175"/>
    <cellStyle name="20% - Accent4 66 2 5" xfId="5893"/>
    <cellStyle name="20% - Accent4 66 2 5 2" xfId="17181"/>
    <cellStyle name="20% - Accent4 66 2 6" xfId="15187"/>
    <cellStyle name="20% - Accent4 66 3" xfId="10878"/>
    <cellStyle name="20% - Accent4 66 3 2" xfId="22166"/>
    <cellStyle name="20% - Accent4 66 4" xfId="8884"/>
    <cellStyle name="20% - Accent4 66 4 2" xfId="20172"/>
    <cellStyle name="20% - Accent4 66 5" xfId="6890"/>
    <cellStyle name="20% - Accent4 66 5 2" xfId="18178"/>
    <cellStyle name="20% - Accent4 66 6" xfId="4896"/>
    <cellStyle name="20% - Accent4 66 6 2" xfId="16184"/>
    <cellStyle name="20% - Accent4 66 7" xfId="14190"/>
    <cellStyle name="20% - Accent4 66 8" xfId="12876"/>
    <cellStyle name="20% - Accent4 67" xfId="941"/>
    <cellStyle name="20% - Accent4 67 2" xfId="3897"/>
    <cellStyle name="20% - Accent4 67 2 2" xfId="11876"/>
    <cellStyle name="20% - Accent4 67 2 2 2" xfId="23164"/>
    <cellStyle name="20% - Accent4 67 2 3" xfId="9882"/>
    <cellStyle name="20% - Accent4 67 2 3 2" xfId="21170"/>
    <cellStyle name="20% - Accent4 67 2 4" xfId="7888"/>
    <cellStyle name="20% - Accent4 67 2 4 2" xfId="19176"/>
    <cellStyle name="20% - Accent4 67 2 5" xfId="5894"/>
    <cellStyle name="20% - Accent4 67 2 5 2" xfId="17182"/>
    <cellStyle name="20% - Accent4 67 2 6" xfId="15188"/>
    <cellStyle name="20% - Accent4 67 3" xfId="10879"/>
    <cellStyle name="20% - Accent4 67 3 2" xfId="22167"/>
    <cellStyle name="20% - Accent4 67 4" xfId="8885"/>
    <cellStyle name="20% - Accent4 67 4 2" xfId="20173"/>
    <cellStyle name="20% - Accent4 67 5" xfId="6891"/>
    <cellStyle name="20% - Accent4 67 5 2" xfId="18179"/>
    <cellStyle name="20% - Accent4 67 6" xfId="4897"/>
    <cellStyle name="20% - Accent4 67 6 2" xfId="16185"/>
    <cellStyle name="20% - Accent4 67 7" xfId="14191"/>
    <cellStyle name="20% - Accent4 67 8" xfId="12877"/>
    <cellStyle name="20% - Accent4 68" xfId="942"/>
    <cellStyle name="20% - Accent4 68 2" xfId="3898"/>
    <cellStyle name="20% - Accent4 68 2 2" xfId="11877"/>
    <cellStyle name="20% - Accent4 68 2 2 2" xfId="23165"/>
    <cellStyle name="20% - Accent4 68 2 3" xfId="9883"/>
    <cellStyle name="20% - Accent4 68 2 3 2" xfId="21171"/>
    <cellStyle name="20% - Accent4 68 2 4" xfId="7889"/>
    <cellStyle name="20% - Accent4 68 2 4 2" xfId="19177"/>
    <cellStyle name="20% - Accent4 68 2 5" xfId="5895"/>
    <cellStyle name="20% - Accent4 68 2 5 2" xfId="17183"/>
    <cellStyle name="20% - Accent4 68 2 6" xfId="15189"/>
    <cellStyle name="20% - Accent4 68 3" xfId="10880"/>
    <cellStyle name="20% - Accent4 68 3 2" xfId="22168"/>
    <cellStyle name="20% - Accent4 68 4" xfId="8886"/>
    <cellStyle name="20% - Accent4 68 4 2" xfId="20174"/>
    <cellStyle name="20% - Accent4 68 5" xfId="6892"/>
    <cellStyle name="20% - Accent4 68 5 2" xfId="18180"/>
    <cellStyle name="20% - Accent4 68 6" xfId="4898"/>
    <cellStyle name="20% - Accent4 68 6 2" xfId="16186"/>
    <cellStyle name="20% - Accent4 68 7" xfId="14192"/>
    <cellStyle name="20% - Accent4 68 8" xfId="12878"/>
    <cellStyle name="20% - Accent4 69" xfId="943"/>
    <cellStyle name="20% - Accent4 69 2" xfId="3899"/>
    <cellStyle name="20% - Accent4 69 2 2" xfId="11878"/>
    <cellStyle name="20% - Accent4 69 2 2 2" xfId="23166"/>
    <cellStyle name="20% - Accent4 69 2 3" xfId="9884"/>
    <cellStyle name="20% - Accent4 69 2 3 2" xfId="21172"/>
    <cellStyle name="20% - Accent4 69 2 4" xfId="7890"/>
    <cellStyle name="20% - Accent4 69 2 4 2" xfId="19178"/>
    <cellStyle name="20% - Accent4 69 2 5" xfId="5896"/>
    <cellStyle name="20% - Accent4 69 2 5 2" xfId="17184"/>
    <cellStyle name="20% - Accent4 69 2 6" xfId="15190"/>
    <cellStyle name="20% - Accent4 69 3" xfId="10881"/>
    <cellStyle name="20% - Accent4 69 3 2" xfId="22169"/>
    <cellStyle name="20% - Accent4 69 4" xfId="8887"/>
    <cellStyle name="20% - Accent4 69 4 2" xfId="20175"/>
    <cellStyle name="20% - Accent4 69 5" xfId="6893"/>
    <cellStyle name="20% - Accent4 69 5 2" xfId="18181"/>
    <cellStyle name="20% - Accent4 69 6" xfId="4899"/>
    <cellStyle name="20% - Accent4 69 6 2" xfId="16187"/>
    <cellStyle name="20% - Accent4 69 7" xfId="14193"/>
    <cellStyle name="20% - Accent4 69 8" xfId="12879"/>
    <cellStyle name="20% - Accent4 7" xfId="944"/>
    <cellStyle name="20% - Accent4 7 10" xfId="24582"/>
    <cellStyle name="20% - Accent4 7 11" xfId="24972"/>
    <cellStyle name="20% - Accent4 7 2" xfId="3900"/>
    <cellStyle name="20% - Accent4 7 2 2" xfId="11879"/>
    <cellStyle name="20% - Accent4 7 2 2 2" xfId="23167"/>
    <cellStyle name="20% - Accent4 7 2 3" xfId="9885"/>
    <cellStyle name="20% - Accent4 7 2 3 2" xfId="21173"/>
    <cellStyle name="20% - Accent4 7 2 4" xfId="7891"/>
    <cellStyle name="20% - Accent4 7 2 4 2" xfId="19179"/>
    <cellStyle name="20% - Accent4 7 2 5" xfId="5897"/>
    <cellStyle name="20% - Accent4 7 2 5 2" xfId="17185"/>
    <cellStyle name="20% - Accent4 7 2 6" xfId="15191"/>
    <cellStyle name="20% - Accent4 7 2 7" xfId="24343"/>
    <cellStyle name="20% - Accent4 7 2 8" xfId="24807"/>
    <cellStyle name="20% - Accent4 7 2 9" xfId="25174"/>
    <cellStyle name="20% - Accent4 7 3" xfId="10882"/>
    <cellStyle name="20% - Accent4 7 3 2" xfId="22170"/>
    <cellStyle name="20% - Accent4 7 4" xfId="8888"/>
    <cellStyle name="20% - Accent4 7 4 2" xfId="20176"/>
    <cellStyle name="20% - Accent4 7 5" xfId="6894"/>
    <cellStyle name="20% - Accent4 7 5 2" xfId="18182"/>
    <cellStyle name="20% - Accent4 7 6" xfId="4900"/>
    <cellStyle name="20% - Accent4 7 6 2" xfId="16188"/>
    <cellStyle name="20% - Accent4 7 7" xfId="14194"/>
    <cellStyle name="20% - Accent4 7 8" xfId="12880"/>
    <cellStyle name="20% - Accent4 7 9" xfId="23955"/>
    <cellStyle name="20% - Accent4 70" xfId="945"/>
    <cellStyle name="20% - Accent4 70 2" xfId="3901"/>
    <cellStyle name="20% - Accent4 70 2 2" xfId="11880"/>
    <cellStyle name="20% - Accent4 70 2 2 2" xfId="23168"/>
    <cellStyle name="20% - Accent4 70 2 3" xfId="9886"/>
    <cellStyle name="20% - Accent4 70 2 3 2" xfId="21174"/>
    <cellStyle name="20% - Accent4 70 2 4" xfId="7892"/>
    <cellStyle name="20% - Accent4 70 2 4 2" xfId="19180"/>
    <cellStyle name="20% - Accent4 70 2 5" xfId="5898"/>
    <cellStyle name="20% - Accent4 70 2 5 2" xfId="17186"/>
    <cellStyle name="20% - Accent4 70 2 6" xfId="15192"/>
    <cellStyle name="20% - Accent4 70 3" xfId="10883"/>
    <cellStyle name="20% - Accent4 70 3 2" xfId="22171"/>
    <cellStyle name="20% - Accent4 70 4" xfId="8889"/>
    <cellStyle name="20% - Accent4 70 4 2" xfId="20177"/>
    <cellStyle name="20% - Accent4 70 5" xfId="6895"/>
    <cellStyle name="20% - Accent4 70 5 2" xfId="18183"/>
    <cellStyle name="20% - Accent4 70 6" xfId="4901"/>
    <cellStyle name="20% - Accent4 70 6 2" xfId="16189"/>
    <cellStyle name="20% - Accent4 70 7" xfId="14195"/>
    <cellStyle name="20% - Accent4 70 8" xfId="12881"/>
    <cellStyle name="20% - Accent4 71" xfId="946"/>
    <cellStyle name="20% - Accent4 71 2" xfId="3902"/>
    <cellStyle name="20% - Accent4 71 2 2" xfId="11881"/>
    <cellStyle name="20% - Accent4 71 2 2 2" xfId="23169"/>
    <cellStyle name="20% - Accent4 71 2 3" xfId="9887"/>
    <cellStyle name="20% - Accent4 71 2 3 2" xfId="21175"/>
    <cellStyle name="20% - Accent4 71 2 4" xfId="7893"/>
    <cellStyle name="20% - Accent4 71 2 4 2" xfId="19181"/>
    <cellStyle name="20% - Accent4 71 2 5" xfId="5899"/>
    <cellStyle name="20% - Accent4 71 2 5 2" xfId="17187"/>
    <cellStyle name="20% - Accent4 71 2 6" xfId="15193"/>
    <cellStyle name="20% - Accent4 71 3" xfId="10884"/>
    <cellStyle name="20% - Accent4 71 3 2" xfId="22172"/>
    <cellStyle name="20% - Accent4 71 4" xfId="8890"/>
    <cellStyle name="20% - Accent4 71 4 2" xfId="20178"/>
    <cellStyle name="20% - Accent4 71 5" xfId="6896"/>
    <cellStyle name="20% - Accent4 71 5 2" xfId="18184"/>
    <cellStyle name="20% - Accent4 71 6" xfId="4902"/>
    <cellStyle name="20% - Accent4 71 6 2" xfId="16190"/>
    <cellStyle name="20% - Accent4 71 7" xfId="14196"/>
    <cellStyle name="20% - Accent4 71 8" xfId="12882"/>
    <cellStyle name="20% - Accent4 72" xfId="947"/>
    <cellStyle name="20% - Accent4 72 2" xfId="3903"/>
    <cellStyle name="20% - Accent4 72 2 2" xfId="11882"/>
    <cellStyle name="20% - Accent4 72 2 2 2" xfId="23170"/>
    <cellStyle name="20% - Accent4 72 2 3" xfId="9888"/>
    <cellStyle name="20% - Accent4 72 2 3 2" xfId="21176"/>
    <cellStyle name="20% - Accent4 72 2 4" xfId="7894"/>
    <cellStyle name="20% - Accent4 72 2 4 2" xfId="19182"/>
    <cellStyle name="20% - Accent4 72 2 5" xfId="5900"/>
    <cellStyle name="20% - Accent4 72 2 5 2" xfId="17188"/>
    <cellStyle name="20% - Accent4 72 2 6" xfId="15194"/>
    <cellStyle name="20% - Accent4 72 3" xfId="10885"/>
    <cellStyle name="20% - Accent4 72 3 2" xfId="22173"/>
    <cellStyle name="20% - Accent4 72 4" xfId="8891"/>
    <cellStyle name="20% - Accent4 72 4 2" xfId="20179"/>
    <cellStyle name="20% - Accent4 72 5" xfId="6897"/>
    <cellStyle name="20% - Accent4 72 5 2" xfId="18185"/>
    <cellStyle name="20% - Accent4 72 6" xfId="4903"/>
    <cellStyle name="20% - Accent4 72 6 2" xfId="16191"/>
    <cellStyle name="20% - Accent4 72 7" xfId="14197"/>
    <cellStyle name="20% - Accent4 72 8" xfId="12883"/>
    <cellStyle name="20% - Accent4 8" xfId="948"/>
    <cellStyle name="20% - Accent4 8 2" xfId="3904"/>
    <cellStyle name="20% - Accent4 8 2 2" xfId="11883"/>
    <cellStyle name="20% - Accent4 8 2 2 2" xfId="23171"/>
    <cellStyle name="20% - Accent4 8 2 3" xfId="9889"/>
    <cellStyle name="20% - Accent4 8 2 3 2" xfId="21177"/>
    <cellStyle name="20% - Accent4 8 2 4" xfId="7895"/>
    <cellStyle name="20% - Accent4 8 2 4 2" xfId="19183"/>
    <cellStyle name="20% - Accent4 8 2 5" xfId="5901"/>
    <cellStyle name="20% - Accent4 8 2 5 2" xfId="17189"/>
    <cellStyle name="20% - Accent4 8 2 6" xfId="15195"/>
    <cellStyle name="20% - Accent4 8 3" xfId="10886"/>
    <cellStyle name="20% - Accent4 8 3 2" xfId="22174"/>
    <cellStyle name="20% - Accent4 8 4" xfId="8892"/>
    <cellStyle name="20% - Accent4 8 4 2" xfId="20180"/>
    <cellStyle name="20% - Accent4 8 5" xfId="6898"/>
    <cellStyle name="20% - Accent4 8 5 2" xfId="18186"/>
    <cellStyle name="20% - Accent4 8 6" xfId="4904"/>
    <cellStyle name="20% - Accent4 8 6 2" xfId="16192"/>
    <cellStyle name="20% - Accent4 8 7" xfId="14198"/>
    <cellStyle name="20% - Accent4 8 8" xfId="12884"/>
    <cellStyle name="20% - Accent4 9" xfId="949"/>
    <cellStyle name="20% - Accent4 9 2" xfId="3905"/>
    <cellStyle name="20% - Accent4 9 2 2" xfId="11884"/>
    <cellStyle name="20% - Accent4 9 2 2 2" xfId="23172"/>
    <cellStyle name="20% - Accent4 9 2 3" xfId="9890"/>
    <cellStyle name="20% - Accent4 9 2 3 2" xfId="21178"/>
    <cellStyle name="20% - Accent4 9 2 4" xfId="7896"/>
    <cellStyle name="20% - Accent4 9 2 4 2" xfId="19184"/>
    <cellStyle name="20% - Accent4 9 2 5" xfId="5902"/>
    <cellStyle name="20% - Accent4 9 2 5 2" xfId="17190"/>
    <cellStyle name="20% - Accent4 9 2 6" xfId="15196"/>
    <cellStyle name="20% - Accent4 9 3" xfId="10887"/>
    <cellStyle name="20% - Accent4 9 3 2" xfId="22175"/>
    <cellStyle name="20% - Accent4 9 4" xfId="8893"/>
    <cellStyle name="20% - Accent4 9 4 2" xfId="20181"/>
    <cellStyle name="20% - Accent4 9 5" xfId="6899"/>
    <cellStyle name="20% - Accent4 9 5 2" xfId="18187"/>
    <cellStyle name="20% - Accent4 9 6" xfId="4905"/>
    <cellStyle name="20% - Accent4 9 6 2" xfId="16193"/>
    <cellStyle name="20% - Accent4 9 7" xfId="14199"/>
    <cellStyle name="20% - Accent4 9 8" xfId="12885"/>
    <cellStyle name="20% - Accent5 10" xfId="950"/>
    <cellStyle name="20% - Accent5 10 2" xfId="3906"/>
    <cellStyle name="20% - Accent5 10 2 2" xfId="11885"/>
    <cellStyle name="20% - Accent5 10 2 2 2" xfId="23173"/>
    <cellStyle name="20% - Accent5 10 2 3" xfId="9891"/>
    <cellStyle name="20% - Accent5 10 2 3 2" xfId="21179"/>
    <cellStyle name="20% - Accent5 10 2 4" xfId="7897"/>
    <cellStyle name="20% - Accent5 10 2 4 2" xfId="19185"/>
    <cellStyle name="20% - Accent5 10 2 5" xfId="5903"/>
    <cellStyle name="20% - Accent5 10 2 5 2" xfId="17191"/>
    <cellStyle name="20% - Accent5 10 2 6" xfId="15197"/>
    <cellStyle name="20% - Accent5 10 3" xfId="10888"/>
    <cellStyle name="20% - Accent5 10 3 2" xfId="22176"/>
    <cellStyle name="20% - Accent5 10 4" xfId="8894"/>
    <cellStyle name="20% - Accent5 10 4 2" xfId="20182"/>
    <cellStyle name="20% - Accent5 10 5" xfId="6900"/>
    <cellStyle name="20% - Accent5 10 5 2" xfId="18188"/>
    <cellStyle name="20% - Accent5 10 6" xfId="4906"/>
    <cellStyle name="20% - Accent5 10 6 2" xfId="16194"/>
    <cellStyle name="20% - Accent5 10 7" xfId="14200"/>
    <cellStyle name="20% - Accent5 10 8" xfId="12886"/>
    <cellStyle name="20% - Accent5 11" xfId="951"/>
    <cellStyle name="20% - Accent5 11 2" xfId="3907"/>
    <cellStyle name="20% - Accent5 11 2 2" xfId="11886"/>
    <cellStyle name="20% - Accent5 11 2 2 2" xfId="23174"/>
    <cellStyle name="20% - Accent5 11 2 3" xfId="9892"/>
    <cellStyle name="20% - Accent5 11 2 3 2" xfId="21180"/>
    <cellStyle name="20% - Accent5 11 2 4" xfId="7898"/>
    <cellStyle name="20% - Accent5 11 2 4 2" xfId="19186"/>
    <cellStyle name="20% - Accent5 11 2 5" xfId="5904"/>
    <cellStyle name="20% - Accent5 11 2 5 2" xfId="17192"/>
    <cellStyle name="20% - Accent5 11 2 6" xfId="15198"/>
    <cellStyle name="20% - Accent5 11 3" xfId="10889"/>
    <cellStyle name="20% - Accent5 11 3 2" xfId="22177"/>
    <cellStyle name="20% - Accent5 11 4" xfId="8895"/>
    <cellStyle name="20% - Accent5 11 4 2" xfId="20183"/>
    <cellStyle name="20% - Accent5 11 5" xfId="6901"/>
    <cellStyle name="20% - Accent5 11 5 2" xfId="18189"/>
    <cellStyle name="20% - Accent5 11 6" xfId="4907"/>
    <cellStyle name="20% - Accent5 11 6 2" xfId="16195"/>
    <cellStyle name="20% - Accent5 11 7" xfId="14201"/>
    <cellStyle name="20% - Accent5 11 8" xfId="12887"/>
    <cellStyle name="20% - Accent5 12" xfId="952"/>
    <cellStyle name="20% - Accent5 12 2" xfId="3908"/>
    <cellStyle name="20% - Accent5 12 2 2" xfId="11887"/>
    <cellStyle name="20% - Accent5 12 2 2 2" xfId="23175"/>
    <cellStyle name="20% - Accent5 12 2 3" xfId="9893"/>
    <cellStyle name="20% - Accent5 12 2 3 2" xfId="21181"/>
    <cellStyle name="20% - Accent5 12 2 4" xfId="7899"/>
    <cellStyle name="20% - Accent5 12 2 4 2" xfId="19187"/>
    <cellStyle name="20% - Accent5 12 2 5" xfId="5905"/>
    <cellStyle name="20% - Accent5 12 2 5 2" xfId="17193"/>
    <cellStyle name="20% - Accent5 12 2 6" xfId="15199"/>
    <cellStyle name="20% - Accent5 12 3" xfId="10890"/>
    <cellStyle name="20% - Accent5 12 3 2" xfId="22178"/>
    <cellStyle name="20% - Accent5 12 4" xfId="8896"/>
    <cellStyle name="20% - Accent5 12 4 2" xfId="20184"/>
    <cellStyle name="20% - Accent5 12 5" xfId="6902"/>
    <cellStyle name="20% - Accent5 12 5 2" xfId="18190"/>
    <cellStyle name="20% - Accent5 12 6" xfId="4908"/>
    <cellStyle name="20% - Accent5 12 6 2" xfId="16196"/>
    <cellStyle name="20% - Accent5 12 7" xfId="14202"/>
    <cellStyle name="20% - Accent5 12 8" xfId="12888"/>
    <cellStyle name="20% - Accent5 13" xfId="953"/>
    <cellStyle name="20% - Accent5 13 2" xfId="3909"/>
    <cellStyle name="20% - Accent5 13 2 2" xfId="11888"/>
    <cellStyle name="20% - Accent5 13 2 2 2" xfId="23176"/>
    <cellStyle name="20% - Accent5 13 2 3" xfId="9894"/>
    <cellStyle name="20% - Accent5 13 2 3 2" xfId="21182"/>
    <cellStyle name="20% - Accent5 13 2 4" xfId="7900"/>
    <cellStyle name="20% - Accent5 13 2 4 2" xfId="19188"/>
    <cellStyle name="20% - Accent5 13 2 5" xfId="5906"/>
    <cellStyle name="20% - Accent5 13 2 5 2" xfId="17194"/>
    <cellStyle name="20% - Accent5 13 2 6" xfId="15200"/>
    <cellStyle name="20% - Accent5 13 3" xfId="10891"/>
    <cellStyle name="20% - Accent5 13 3 2" xfId="22179"/>
    <cellStyle name="20% - Accent5 13 4" xfId="8897"/>
    <cellStyle name="20% - Accent5 13 4 2" xfId="20185"/>
    <cellStyle name="20% - Accent5 13 5" xfId="6903"/>
    <cellStyle name="20% - Accent5 13 5 2" xfId="18191"/>
    <cellStyle name="20% - Accent5 13 6" xfId="4909"/>
    <cellStyle name="20% - Accent5 13 6 2" xfId="16197"/>
    <cellStyle name="20% - Accent5 13 7" xfId="14203"/>
    <cellStyle name="20% - Accent5 13 8" xfId="12889"/>
    <cellStyle name="20% - Accent5 14" xfId="954"/>
    <cellStyle name="20% - Accent5 14 2" xfId="3910"/>
    <cellStyle name="20% - Accent5 14 2 2" xfId="11889"/>
    <cellStyle name="20% - Accent5 14 2 2 2" xfId="23177"/>
    <cellStyle name="20% - Accent5 14 2 3" xfId="9895"/>
    <cellStyle name="20% - Accent5 14 2 3 2" xfId="21183"/>
    <cellStyle name="20% - Accent5 14 2 4" xfId="7901"/>
    <cellStyle name="20% - Accent5 14 2 4 2" xfId="19189"/>
    <cellStyle name="20% - Accent5 14 2 5" xfId="5907"/>
    <cellStyle name="20% - Accent5 14 2 5 2" xfId="17195"/>
    <cellStyle name="20% - Accent5 14 2 6" xfId="15201"/>
    <cellStyle name="20% - Accent5 14 3" xfId="10892"/>
    <cellStyle name="20% - Accent5 14 3 2" xfId="22180"/>
    <cellStyle name="20% - Accent5 14 4" xfId="8898"/>
    <cellStyle name="20% - Accent5 14 4 2" xfId="20186"/>
    <cellStyle name="20% - Accent5 14 5" xfId="6904"/>
    <cellStyle name="20% - Accent5 14 5 2" xfId="18192"/>
    <cellStyle name="20% - Accent5 14 6" xfId="4910"/>
    <cellStyle name="20% - Accent5 14 6 2" xfId="16198"/>
    <cellStyle name="20% - Accent5 14 7" xfId="14204"/>
    <cellStyle name="20% - Accent5 14 8" xfId="12890"/>
    <cellStyle name="20% - Accent5 15" xfId="955"/>
    <cellStyle name="20% - Accent5 15 2" xfId="3911"/>
    <cellStyle name="20% - Accent5 15 2 2" xfId="11890"/>
    <cellStyle name="20% - Accent5 15 2 2 2" xfId="23178"/>
    <cellStyle name="20% - Accent5 15 2 3" xfId="9896"/>
    <cellStyle name="20% - Accent5 15 2 3 2" xfId="21184"/>
    <cellStyle name="20% - Accent5 15 2 4" xfId="7902"/>
    <cellStyle name="20% - Accent5 15 2 4 2" xfId="19190"/>
    <cellStyle name="20% - Accent5 15 2 5" xfId="5908"/>
    <cellStyle name="20% - Accent5 15 2 5 2" xfId="17196"/>
    <cellStyle name="20% - Accent5 15 2 6" xfId="15202"/>
    <cellStyle name="20% - Accent5 15 3" xfId="10893"/>
    <cellStyle name="20% - Accent5 15 3 2" xfId="22181"/>
    <cellStyle name="20% - Accent5 15 4" xfId="8899"/>
    <cellStyle name="20% - Accent5 15 4 2" xfId="20187"/>
    <cellStyle name="20% - Accent5 15 5" xfId="6905"/>
    <cellStyle name="20% - Accent5 15 5 2" xfId="18193"/>
    <cellStyle name="20% - Accent5 15 6" xfId="4911"/>
    <cellStyle name="20% - Accent5 15 6 2" xfId="16199"/>
    <cellStyle name="20% - Accent5 15 7" xfId="14205"/>
    <cellStyle name="20% - Accent5 15 8" xfId="12891"/>
    <cellStyle name="20% - Accent5 16" xfId="956"/>
    <cellStyle name="20% - Accent5 16 2" xfId="3912"/>
    <cellStyle name="20% - Accent5 16 2 2" xfId="11891"/>
    <cellStyle name="20% - Accent5 16 2 2 2" xfId="23179"/>
    <cellStyle name="20% - Accent5 16 2 3" xfId="9897"/>
    <cellStyle name="20% - Accent5 16 2 3 2" xfId="21185"/>
    <cellStyle name="20% - Accent5 16 2 4" xfId="7903"/>
    <cellStyle name="20% - Accent5 16 2 4 2" xfId="19191"/>
    <cellStyle name="20% - Accent5 16 2 5" xfId="5909"/>
    <cellStyle name="20% - Accent5 16 2 5 2" xfId="17197"/>
    <cellStyle name="20% - Accent5 16 2 6" xfId="15203"/>
    <cellStyle name="20% - Accent5 16 3" xfId="10894"/>
    <cellStyle name="20% - Accent5 16 3 2" xfId="22182"/>
    <cellStyle name="20% - Accent5 16 4" xfId="8900"/>
    <cellStyle name="20% - Accent5 16 4 2" xfId="20188"/>
    <cellStyle name="20% - Accent5 16 5" xfId="6906"/>
    <cellStyle name="20% - Accent5 16 5 2" xfId="18194"/>
    <cellStyle name="20% - Accent5 16 6" xfId="4912"/>
    <cellStyle name="20% - Accent5 16 6 2" xfId="16200"/>
    <cellStyle name="20% - Accent5 16 7" xfId="14206"/>
    <cellStyle name="20% - Accent5 16 8" xfId="12892"/>
    <cellStyle name="20% - Accent5 17" xfId="957"/>
    <cellStyle name="20% - Accent5 17 2" xfId="3913"/>
    <cellStyle name="20% - Accent5 17 2 2" xfId="11892"/>
    <cellStyle name="20% - Accent5 17 2 2 2" xfId="23180"/>
    <cellStyle name="20% - Accent5 17 2 3" xfId="9898"/>
    <cellStyle name="20% - Accent5 17 2 3 2" xfId="21186"/>
    <cellStyle name="20% - Accent5 17 2 4" xfId="7904"/>
    <cellStyle name="20% - Accent5 17 2 4 2" xfId="19192"/>
    <cellStyle name="20% - Accent5 17 2 5" xfId="5910"/>
    <cellStyle name="20% - Accent5 17 2 5 2" xfId="17198"/>
    <cellStyle name="20% - Accent5 17 2 6" xfId="15204"/>
    <cellStyle name="20% - Accent5 17 3" xfId="10895"/>
    <cellStyle name="20% - Accent5 17 3 2" xfId="22183"/>
    <cellStyle name="20% - Accent5 17 4" xfId="8901"/>
    <cellStyle name="20% - Accent5 17 4 2" xfId="20189"/>
    <cellStyle name="20% - Accent5 17 5" xfId="6907"/>
    <cellStyle name="20% - Accent5 17 5 2" xfId="18195"/>
    <cellStyle name="20% - Accent5 17 6" xfId="4913"/>
    <cellStyle name="20% - Accent5 17 6 2" xfId="16201"/>
    <cellStyle name="20% - Accent5 17 7" xfId="14207"/>
    <cellStyle name="20% - Accent5 17 8" xfId="12893"/>
    <cellStyle name="20% - Accent5 18" xfId="958"/>
    <cellStyle name="20% - Accent5 18 2" xfId="3914"/>
    <cellStyle name="20% - Accent5 18 2 2" xfId="11893"/>
    <cellStyle name="20% - Accent5 18 2 2 2" xfId="23181"/>
    <cellStyle name="20% - Accent5 18 2 3" xfId="9899"/>
    <cellStyle name="20% - Accent5 18 2 3 2" xfId="21187"/>
    <cellStyle name="20% - Accent5 18 2 4" xfId="7905"/>
    <cellStyle name="20% - Accent5 18 2 4 2" xfId="19193"/>
    <cellStyle name="20% - Accent5 18 2 5" xfId="5911"/>
    <cellStyle name="20% - Accent5 18 2 5 2" xfId="17199"/>
    <cellStyle name="20% - Accent5 18 2 6" xfId="15205"/>
    <cellStyle name="20% - Accent5 18 3" xfId="10896"/>
    <cellStyle name="20% - Accent5 18 3 2" xfId="22184"/>
    <cellStyle name="20% - Accent5 18 4" xfId="8902"/>
    <cellStyle name="20% - Accent5 18 4 2" xfId="20190"/>
    <cellStyle name="20% - Accent5 18 5" xfId="6908"/>
    <cellStyle name="20% - Accent5 18 5 2" xfId="18196"/>
    <cellStyle name="20% - Accent5 18 6" xfId="4914"/>
    <cellStyle name="20% - Accent5 18 6 2" xfId="16202"/>
    <cellStyle name="20% - Accent5 18 7" xfId="14208"/>
    <cellStyle name="20% - Accent5 18 8" xfId="12894"/>
    <cellStyle name="20% - Accent5 19" xfId="959"/>
    <cellStyle name="20% - Accent5 19 2" xfId="3915"/>
    <cellStyle name="20% - Accent5 19 2 2" xfId="11894"/>
    <cellStyle name="20% - Accent5 19 2 2 2" xfId="23182"/>
    <cellStyle name="20% - Accent5 19 2 3" xfId="9900"/>
    <cellStyle name="20% - Accent5 19 2 3 2" xfId="21188"/>
    <cellStyle name="20% - Accent5 19 2 4" xfId="7906"/>
    <cellStyle name="20% - Accent5 19 2 4 2" xfId="19194"/>
    <cellStyle name="20% - Accent5 19 2 5" xfId="5912"/>
    <cellStyle name="20% - Accent5 19 2 5 2" xfId="17200"/>
    <cellStyle name="20% - Accent5 19 2 6" xfId="15206"/>
    <cellStyle name="20% - Accent5 19 3" xfId="10897"/>
    <cellStyle name="20% - Accent5 19 3 2" xfId="22185"/>
    <cellStyle name="20% - Accent5 19 4" xfId="8903"/>
    <cellStyle name="20% - Accent5 19 4 2" xfId="20191"/>
    <cellStyle name="20% - Accent5 19 5" xfId="6909"/>
    <cellStyle name="20% - Accent5 19 5 2" xfId="18197"/>
    <cellStyle name="20% - Accent5 19 6" xfId="4915"/>
    <cellStyle name="20% - Accent5 19 6 2" xfId="16203"/>
    <cellStyle name="20% - Accent5 19 7" xfId="14209"/>
    <cellStyle name="20% - Accent5 19 8" xfId="12895"/>
    <cellStyle name="20% - Accent5 2" xfId="960"/>
    <cellStyle name="20% - Accent5 2 10" xfId="24583"/>
    <cellStyle name="20% - Accent5 2 11" xfId="24973"/>
    <cellStyle name="20% - Accent5 2 2" xfId="3916"/>
    <cellStyle name="20% - Accent5 2 2 2" xfId="11895"/>
    <cellStyle name="20% - Accent5 2 2 2 2" xfId="23183"/>
    <cellStyle name="20% - Accent5 2 2 3" xfId="9901"/>
    <cellStyle name="20% - Accent5 2 2 3 2" xfId="21189"/>
    <cellStyle name="20% - Accent5 2 2 4" xfId="7907"/>
    <cellStyle name="20% - Accent5 2 2 4 2" xfId="19195"/>
    <cellStyle name="20% - Accent5 2 2 5" xfId="5913"/>
    <cellStyle name="20% - Accent5 2 2 5 2" xfId="17201"/>
    <cellStyle name="20% - Accent5 2 2 6" xfId="15207"/>
    <cellStyle name="20% - Accent5 2 2 7" xfId="24344"/>
    <cellStyle name="20% - Accent5 2 2 8" xfId="24808"/>
    <cellStyle name="20% - Accent5 2 2 9" xfId="25175"/>
    <cellStyle name="20% - Accent5 2 3" xfId="10898"/>
    <cellStyle name="20% - Accent5 2 3 2" xfId="22186"/>
    <cellStyle name="20% - Accent5 2 4" xfId="8904"/>
    <cellStyle name="20% - Accent5 2 4 2" xfId="20192"/>
    <cellStyle name="20% - Accent5 2 5" xfId="6910"/>
    <cellStyle name="20% - Accent5 2 5 2" xfId="18198"/>
    <cellStyle name="20% - Accent5 2 6" xfId="4916"/>
    <cellStyle name="20% - Accent5 2 6 2" xfId="16204"/>
    <cellStyle name="20% - Accent5 2 7" xfId="14210"/>
    <cellStyle name="20% - Accent5 2 8" xfId="12896"/>
    <cellStyle name="20% - Accent5 2 9" xfId="23956"/>
    <cellStyle name="20% - Accent5 20" xfId="961"/>
    <cellStyle name="20% - Accent5 20 2" xfId="3917"/>
    <cellStyle name="20% - Accent5 20 2 2" xfId="11896"/>
    <cellStyle name="20% - Accent5 20 2 2 2" xfId="23184"/>
    <cellStyle name="20% - Accent5 20 2 3" xfId="9902"/>
    <cellStyle name="20% - Accent5 20 2 3 2" xfId="21190"/>
    <cellStyle name="20% - Accent5 20 2 4" xfId="7908"/>
    <cellStyle name="20% - Accent5 20 2 4 2" xfId="19196"/>
    <cellStyle name="20% - Accent5 20 2 5" xfId="5914"/>
    <cellStyle name="20% - Accent5 20 2 5 2" xfId="17202"/>
    <cellStyle name="20% - Accent5 20 2 6" xfId="15208"/>
    <cellStyle name="20% - Accent5 20 3" xfId="10899"/>
    <cellStyle name="20% - Accent5 20 3 2" xfId="22187"/>
    <cellStyle name="20% - Accent5 20 4" xfId="8905"/>
    <cellStyle name="20% - Accent5 20 4 2" xfId="20193"/>
    <cellStyle name="20% - Accent5 20 5" xfId="6911"/>
    <cellStyle name="20% - Accent5 20 5 2" xfId="18199"/>
    <cellStyle name="20% - Accent5 20 6" xfId="4917"/>
    <cellStyle name="20% - Accent5 20 6 2" xfId="16205"/>
    <cellStyle name="20% - Accent5 20 7" xfId="14211"/>
    <cellStyle name="20% - Accent5 20 8" xfId="12897"/>
    <cellStyle name="20% - Accent5 21" xfId="962"/>
    <cellStyle name="20% - Accent5 21 2" xfId="3918"/>
    <cellStyle name="20% - Accent5 21 2 2" xfId="11897"/>
    <cellStyle name="20% - Accent5 21 2 2 2" xfId="23185"/>
    <cellStyle name="20% - Accent5 21 2 3" xfId="9903"/>
    <cellStyle name="20% - Accent5 21 2 3 2" xfId="21191"/>
    <cellStyle name="20% - Accent5 21 2 4" xfId="7909"/>
    <cellStyle name="20% - Accent5 21 2 4 2" xfId="19197"/>
    <cellStyle name="20% - Accent5 21 2 5" xfId="5915"/>
    <cellStyle name="20% - Accent5 21 2 5 2" xfId="17203"/>
    <cellStyle name="20% - Accent5 21 2 6" xfId="15209"/>
    <cellStyle name="20% - Accent5 21 3" xfId="10900"/>
    <cellStyle name="20% - Accent5 21 3 2" xfId="22188"/>
    <cellStyle name="20% - Accent5 21 4" xfId="8906"/>
    <cellStyle name="20% - Accent5 21 4 2" xfId="20194"/>
    <cellStyle name="20% - Accent5 21 5" xfId="6912"/>
    <cellStyle name="20% - Accent5 21 5 2" xfId="18200"/>
    <cellStyle name="20% - Accent5 21 6" xfId="4918"/>
    <cellStyle name="20% - Accent5 21 6 2" xfId="16206"/>
    <cellStyle name="20% - Accent5 21 7" xfId="14212"/>
    <cellStyle name="20% - Accent5 21 8" xfId="12898"/>
    <cellStyle name="20% - Accent5 22" xfId="963"/>
    <cellStyle name="20% - Accent5 22 2" xfId="3919"/>
    <cellStyle name="20% - Accent5 22 2 2" xfId="11898"/>
    <cellStyle name="20% - Accent5 22 2 2 2" xfId="23186"/>
    <cellStyle name="20% - Accent5 22 2 3" xfId="9904"/>
    <cellStyle name="20% - Accent5 22 2 3 2" xfId="21192"/>
    <cellStyle name="20% - Accent5 22 2 4" xfId="7910"/>
    <cellStyle name="20% - Accent5 22 2 4 2" xfId="19198"/>
    <cellStyle name="20% - Accent5 22 2 5" xfId="5916"/>
    <cellStyle name="20% - Accent5 22 2 5 2" xfId="17204"/>
    <cellStyle name="20% - Accent5 22 2 6" xfId="15210"/>
    <cellStyle name="20% - Accent5 22 3" xfId="10901"/>
    <cellStyle name="20% - Accent5 22 3 2" xfId="22189"/>
    <cellStyle name="20% - Accent5 22 4" xfId="8907"/>
    <cellStyle name="20% - Accent5 22 4 2" xfId="20195"/>
    <cellStyle name="20% - Accent5 22 5" xfId="6913"/>
    <cellStyle name="20% - Accent5 22 5 2" xfId="18201"/>
    <cellStyle name="20% - Accent5 22 6" xfId="4919"/>
    <cellStyle name="20% - Accent5 22 6 2" xfId="16207"/>
    <cellStyle name="20% - Accent5 22 7" xfId="14213"/>
    <cellStyle name="20% - Accent5 22 8" xfId="12899"/>
    <cellStyle name="20% - Accent5 23" xfId="964"/>
    <cellStyle name="20% - Accent5 23 2" xfId="3920"/>
    <cellStyle name="20% - Accent5 23 2 2" xfId="11899"/>
    <cellStyle name="20% - Accent5 23 2 2 2" xfId="23187"/>
    <cellStyle name="20% - Accent5 23 2 3" xfId="9905"/>
    <cellStyle name="20% - Accent5 23 2 3 2" xfId="21193"/>
    <cellStyle name="20% - Accent5 23 2 4" xfId="7911"/>
    <cellStyle name="20% - Accent5 23 2 4 2" xfId="19199"/>
    <cellStyle name="20% - Accent5 23 2 5" xfId="5917"/>
    <cellStyle name="20% - Accent5 23 2 5 2" xfId="17205"/>
    <cellStyle name="20% - Accent5 23 2 6" xfId="15211"/>
    <cellStyle name="20% - Accent5 23 3" xfId="10902"/>
    <cellStyle name="20% - Accent5 23 3 2" xfId="22190"/>
    <cellStyle name="20% - Accent5 23 4" xfId="8908"/>
    <cellStyle name="20% - Accent5 23 4 2" xfId="20196"/>
    <cellStyle name="20% - Accent5 23 5" xfId="6914"/>
    <cellStyle name="20% - Accent5 23 5 2" xfId="18202"/>
    <cellStyle name="20% - Accent5 23 6" xfId="4920"/>
    <cellStyle name="20% - Accent5 23 6 2" xfId="16208"/>
    <cellStyle name="20% - Accent5 23 7" xfId="14214"/>
    <cellStyle name="20% - Accent5 23 8" xfId="12900"/>
    <cellStyle name="20% - Accent5 24" xfId="965"/>
    <cellStyle name="20% - Accent5 24 2" xfId="3921"/>
    <cellStyle name="20% - Accent5 24 2 2" xfId="11900"/>
    <cellStyle name="20% - Accent5 24 2 2 2" xfId="23188"/>
    <cellStyle name="20% - Accent5 24 2 3" xfId="9906"/>
    <cellStyle name="20% - Accent5 24 2 3 2" xfId="21194"/>
    <cellStyle name="20% - Accent5 24 2 4" xfId="7912"/>
    <cellStyle name="20% - Accent5 24 2 4 2" xfId="19200"/>
    <cellStyle name="20% - Accent5 24 2 5" xfId="5918"/>
    <cellStyle name="20% - Accent5 24 2 5 2" xfId="17206"/>
    <cellStyle name="20% - Accent5 24 2 6" xfId="15212"/>
    <cellStyle name="20% - Accent5 24 3" xfId="10903"/>
    <cellStyle name="20% - Accent5 24 3 2" xfId="22191"/>
    <cellStyle name="20% - Accent5 24 4" xfId="8909"/>
    <cellStyle name="20% - Accent5 24 4 2" xfId="20197"/>
    <cellStyle name="20% - Accent5 24 5" xfId="6915"/>
    <cellStyle name="20% - Accent5 24 5 2" xfId="18203"/>
    <cellStyle name="20% - Accent5 24 6" xfId="4921"/>
    <cellStyle name="20% - Accent5 24 6 2" xfId="16209"/>
    <cellStyle name="20% - Accent5 24 7" xfId="14215"/>
    <cellStyle name="20% - Accent5 24 8" xfId="12901"/>
    <cellStyle name="20% - Accent5 25" xfId="966"/>
    <cellStyle name="20% - Accent5 25 2" xfId="3922"/>
    <cellStyle name="20% - Accent5 25 2 2" xfId="11901"/>
    <cellStyle name="20% - Accent5 25 2 2 2" xfId="23189"/>
    <cellStyle name="20% - Accent5 25 2 3" xfId="9907"/>
    <cellStyle name="20% - Accent5 25 2 3 2" xfId="21195"/>
    <cellStyle name="20% - Accent5 25 2 4" xfId="7913"/>
    <cellStyle name="20% - Accent5 25 2 4 2" xfId="19201"/>
    <cellStyle name="20% - Accent5 25 2 5" xfId="5919"/>
    <cellStyle name="20% - Accent5 25 2 5 2" xfId="17207"/>
    <cellStyle name="20% - Accent5 25 2 6" xfId="15213"/>
    <cellStyle name="20% - Accent5 25 3" xfId="10904"/>
    <cellStyle name="20% - Accent5 25 3 2" xfId="22192"/>
    <cellStyle name="20% - Accent5 25 4" xfId="8910"/>
    <cellStyle name="20% - Accent5 25 4 2" xfId="20198"/>
    <cellStyle name="20% - Accent5 25 5" xfId="6916"/>
    <cellStyle name="20% - Accent5 25 5 2" xfId="18204"/>
    <cellStyle name="20% - Accent5 25 6" xfId="4922"/>
    <cellStyle name="20% - Accent5 25 6 2" xfId="16210"/>
    <cellStyle name="20% - Accent5 25 7" xfId="14216"/>
    <cellStyle name="20% - Accent5 25 8" xfId="12902"/>
    <cellStyle name="20% - Accent5 26" xfId="967"/>
    <cellStyle name="20% - Accent5 26 2" xfId="3923"/>
    <cellStyle name="20% - Accent5 26 2 2" xfId="11902"/>
    <cellStyle name="20% - Accent5 26 2 2 2" xfId="23190"/>
    <cellStyle name="20% - Accent5 26 2 3" xfId="9908"/>
    <cellStyle name="20% - Accent5 26 2 3 2" xfId="21196"/>
    <cellStyle name="20% - Accent5 26 2 4" xfId="7914"/>
    <cellStyle name="20% - Accent5 26 2 4 2" xfId="19202"/>
    <cellStyle name="20% - Accent5 26 2 5" xfId="5920"/>
    <cellStyle name="20% - Accent5 26 2 5 2" xfId="17208"/>
    <cellStyle name="20% - Accent5 26 2 6" xfId="15214"/>
    <cellStyle name="20% - Accent5 26 3" xfId="10905"/>
    <cellStyle name="20% - Accent5 26 3 2" xfId="22193"/>
    <cellStyle name="20% - Accent5 26 4" xfId="8911"/>
    <cellStyle name="20% - Accent5 26 4 2" xfId="20199"/>
    <cellStyle name="20% - Accent5 26 5" xfId="6917"/>
    <cellStyle name="20% - Accent5 26 5 2" xfId="18205"/>
    <cellStyle name="20% - Accent5 26 6" xfId="4923"/>
    <cellStyle name="20% - Accent5 26 6 2" xfId="16211"/>
    <cellStyle name="20% - Accent5 26 7" xfId="14217"/>
    <cellStyle name="20% - Accent5 26 8" xfId="12903"/>
    <cellStyle name="20% - Accent5 27" xfId="968"/>
    <cellStyle name="20% - Accent5 27 2" xfId="3924"/>
    <cellStyle name="20% - Accent5 27 2 2" xfId="11903"/>
    <cellStyle name="20% - Accent5 27 2 2 2" xfId="23191"/>
    <cellStyle name="20% - Accent5 27 2 3" xfId="9909"/>
    <cellStyle name="20% - Accent5 27 2 3 2" xfId="21197"/>
    <cellStyle name="20% - Accent5 27 2 4" xfId="7915"/>
    <cellStyle name="20% - Accent5 27 2 4 2" xfId="19203"/>
    <cellStyle name="20% - Accent5 27 2 5" xfId="5921"/>
    <cellStyle name="20% - Accent5 27 2 5 2" xfId="17209"/>
    <cellStyle name="20% - Accent5 27 2 6" xfId="15215"/>
    <cellStyle name="20% - Accent5 27 3" xfId="10906"/>
    <cellStyle name="20% - Accent5 27 3 2" xfId="22194"/>
    <cellStyle name="20% - Accent5 27 4" xfId="8912"/>
    <cellStyle name="20% - Accent5 27 4 2" xfId="20200"/>
    <cellStyle name="20% - Accent5 27 5" xfId="6918"/>
    <cellStyle name="20% - Accent5 27 5 2" xfId="18206"/>
    <cellStyle name="20% - Accent5 27 6" xfId="4924"/>
    <cellStyle name="20% - Accent5 27 6 2" xfId="16212"/>
    <cellStyle name="20% - Accent5 27 7" xfId="14218"/>
    <cellStyle name="20% - Accent5 27 8" xfId="12904"/>
    <cellStyle name="20% - Accent5 28" xfId="969"/>
    <cellStyle name="20% - Accent5 28 2" xfId="3925"/>
    <cellStyle name="20% - Accent5 28 2 2" xfId="11904"/>
    <cellStyle name="20% - Accent5 28 2 2 2" xfId="23192"/>
    <cellStyle name="20% - Accent5 28 2 3" xfId="9910"/>
    <cellStyle name="20% - Accent5 28 2 3 2" xfId="21198"/>
    <cellStyle name="20% - Accent5 28 2 4" xfId="7916"/>
    <cellStyle name="20% - Accent5 28 2 4 2" xfId="19204"/>
    <cellStyle name="20% - Accent5 28 2 5" xfId="5922"/>
    <cellStyle name="20% - Accent5 28 2 5 2" xfId="17210"/>
    <cellStyle name="20% - Accent5 28 2 6" xfId="15216"/>
    <cellStyle name="20% - Accent5 28 3" xfId="10907"/>
    <cellStyle name="20% - Accent5 28 3 2" xfId="22195"/>
    <cellStyle name="20% - Accent5 28 4" xfId="8913"/>
    <cellStyle name="20% - Accent5 28 4 2" xfId="20201"/>
    <cellStyle name="20% - Accent5 28 5" xfId="6919"/>
    <cellStyle name="20% - Accent5 28 5 2" xfId="18207"/>
    <cellStyle name="20% - Accent5 28 6" xfId="4925"/>
    <cellStyle name="20% - Accent5 28 6 2" xfId="16213"/>
    <cellStyle name="20% - Accent5 28 7" xfId="14219"/>
    <cellStyle name="20% - Accent5 28 8" xfId="12905"/>
    <cellStyle name="20% - Accent5 29" xfId="970"/>
    <cellStyle name="20% - Accent5 29 2" xfId="3926"/>
    <cellStyle name="20% - Accent5 29 2 2" xfId="11905"/>
    <cellStyle name="20% - Accent5 29 2 2 2" xfId="23193"/>
    <cellStyle name="20% - Accent5 29 2 3" xfId="9911"/>
    <cellStyle name="20% - Accent5 29 2 3 2" xfId="21199"/>
    <cellStyle name="20% - Accent5 29 2 4" xfId="7917"/>
    <cellStyle name="20% - Accent5 29 2 4 2" xfId="19205"/>
    <cellStyle name="20% - Accent5 29 2 5" xfId="5923"/>
    <cellStyle name="20% - Accent5 29 2 5 2" xfId="17211"/>
    <cellStyle name="20% - Accent5 29 2 6" xfId="15217"/>
    <cellStyle name="20% - Accent5 29 3" xfId="10908"/>
    <cellStyle name="20% - Accent5 29 3 2" xfId="22196"/>
    <cellStyle name="20% - Accent5 29 4" xfId="8914"/>
    <cellStyle name="20% - Accent5 29 4 2" xfId="20202"/>
    <cellStyle name="20% - Accent5 29 5" xfId="6920"/>
    <cellStyle name="20% - Accent5 29 5 2" xfId="18208"/>
    <cellStyle name="20% - Accent5 29 6" xfId="4926"/>
    <cellStyle name="20% - Accent5 29 6 2" xfId="16214"/>
    <cellStyle name="20% - Accent5 29 7" xfId="14220"/>
    <cellStyle name="20% - Accent5 29 8" xfId="12906"/>
    <cellStyle name="20% - Accent5 3" xfId="971"/>
    <cellStyle name="20% - Accent5 3 10" xfId="24584"/>
    <cellStyle name="20% - Accent5 3 11" xfId="24974"/>
    <cellStyle name="20% - Accent5 3 2" xfId="3927"/>
    <cellStyle name="20% - Accent5 3 2 2" xfId="11906"/>
    <cellStyle name="20% - Accent5 3 2 2 2" xfId="23194"/>
    <cellStyle name="20% - Accent5 3 2 3" xfId="9912"/>
    <cellStyle name="20% - Accent5 3 2 3 2" xfId="21200"/>
    <cellStyle name="20% - Accent5 3 2 4" xfId="7918"/>
    <cellStyle name="20% - Accent5 3 2 4 2" xfId="19206"/>
    <cellStyle name="20% - Accent5 3 2 5" xfId="5924"/>
    <cellStyle name="20% - Accent5 3 2 5 2" xfId="17212"/>
    <cellStyle name="20% - Accent5 3 2 6" xfId="15218"/>
    <cellStyle name="20% - Accent5 3 2 7" xfId="24345"/>
    <cellStyle name="20% - Accent5 3 2 8" xfId="24809"/>
    <cellStyle name="20% - Accent5 3 2 9" xfId="25176"/>
    <cellStyle name="20% - Accent5 3 3" xfId="10909"/>
    <cellStyle name="20% - Accent5 3 3 2" xfId="22197"/>
    <cellStyle name="20% - Accent5 3 4" xfId="8915"/>
    <cellStyle name="20% - Accent5 3 4 2" xfId="20203"/>
    <cellStyle name="20% - Accent5 3 5" xfId="6921"/>
    <cellStyle name="20% - Accent5 3 5 2" xfId="18209"/>
    <cellStyle name="20% - Accent5 3 6" xfId="4927"/>
    <cellStyle name="20% - Accent5 3 6 2" xfId="16215"/>
    <cellStyle name="20% - Accent5 3 7" xfId="14221"/>
    <cellStyle name="20% - Accent5 3 8" xfId="12907"/>
    <cellStyle name="20% - Accent5 3 9" xfId="23957"/>
    <cellStyle name="20% - Accent5 30" xfId="972"/>
    <cellStyle name="20% - Accent5 30 2" xfId="3928"/>
    <cellStyle name="20% - Accent5 30 2 2" xfId="11907"/>
    <cellStyle name="20% - Accent5 30 2 2 2" xfId="23195"/>
    <cellStyle name="20% - Accent5 30 2 3" xfId="9913"/>
    <cellStyle name="20% - Accent5 30 2 3 2" xfId="21201"/>
    <cellStyle name="20% - Accent5 30 2 4" xfId="7919"/>
    <cellStyle name="20% - Accent5 30 2 4 2" xfId="19207"/>
    <cellStyle name="20% - Accent5 30 2 5" xfId="5925"/>
    <cellStyle name="20% - Accent5 30 2 5 2" xfId="17213"/>
    <cellStyle name="20% - Accent5 30 2 6" xfId="15219"/>
    <cellStyle name="20% - Accent5 30 3" xfId="10910"/>
    <cellStyle name="20% - Accent5 30 3 2" xfId="22198"/>
    <cellStyle name="20% - Accent5 30 4" xfId="8916"/>
    <cellStyle name="20% - Accent5 30 4 2" xfId="20204"/>
    <cellStyle name="20% - Accent5 30 5" xfId="6922"/>
    <cellStyle name="20% - Accent5 30 5 2" xfId="18210"/>
    <cellStyle name="20% - Accent5 30 6" xfId="4928"/>
    <cellStyle name="20% - Accent5 30 6 2" xfId="16216"/>
    <cellStyle name="20% - Accent5 30 7" xfId="14222"/>
    <cellStyle name="20% - Accent5 30 8" xfId="12908"/>
    <cellStyle name="20% - Accent5 31" xfId="973"/>
    <cellStyle name="20% - Accent5 31 2" xfId="3929"/>
    <cellStyle name="20% - Accent5 31 2 2" xfId="11908"/>
    <cellStyle name="20% - Accent5 31 2 2 2" xfId="23196"/>
    <cellStyle name="20% - Accent5 31 2 3" xfId="9914"/>
    <cellStyle name="20% - Accent5 31 2 3 2" xfId="21202"/>
    <cellStyle name="20% - Accent5 31 2 4" xfId="7920"/>
    <cellStyle name="20% - Accent5 31 2 4 2" xfId="19208"/>
    <cellStyle name="20% - Accent5 31 2 5" xfId="5926"/>
    <cellStyle name="20% - Accent5 31 2 5 2" xfId="17214"/>
    <cellStyle name="20% - Accent5 31 2 6" xfId="15220"/>
    <cellStyle name="20% - Accent5 31 3" xfId="10911"/>
    <cellStyle name="20% - Accent5 31 3 2" xfId="22199"/>
    <cellStyle name="20% - Accent5 31 4" xfId="8917"/>
    <cellStyle name="20% - Accent5 31 4 2" xfId="20205"/>
    <cellStyle name="20% - Accent5 31 5" xfId="6923"/>
    <cellStyle name="20% - Accent5 31 5 2" xfId="18211"/>
    <cellStyle name="20% - Accent5 31 6" xfId="4929"/>
    <cellStyle name="20% - Accent5 31 6 2" xfId="16217"/>
    <cellStyle name="20% - Accent5 31 7" xfId="14223"/>
    <cellStyle name="20% - Accent5 31 8" xfId="12909"/>
    <cellStyle name="20% - Accent5 32" xfId="974"/>
    <cellStyle name="20% - Accent5 32 2" xfId="3930"/>
    <cellStyle name="20% - Accent5 32 2 2" xfId="11909"/>
    <cellStyle name="20% - Accent5 32 2 2 2" xfId="23197"/>
    <cellStyle name="20% - Accent5 32 2 3" xfId="9915"/>
    <cellStyle name="20% - Accent5 32 2 3 2" xfId="21203"/>
    <cellStyle name="20% - Accent5 32 2 4" xfId="7921"/>
    <cellStyle name="20% - Accent5 32 2 4 2" xfId="19209"/>
    <cellStyle name="20% - Accent5 32 2 5" xfId="5927"/>
    <cellStyle name="20% - Accent5 32 2 5 2" xfId="17215"/>
    <cellStyle name="20% - Accent5 32 2 6" xfId="15221"/>
    <cellStyle name="20% - Accent5 32 3" xfId="10912"/>
    <cellStyle name="20% - Accent5 32 3 2" xfId="22200"/>
    <cellStyle name="20% - Accent5 32 4" xfId="8918"/>
    <cellStyle name="20% - Accent5 32 4 2" xfId="20206"/>
    <cellStyle name="20% - Accent5 32 5" xfId="6924"/>
    <cellStyle name="20% - Accent5 32 5 2" xfId="18212"/>
    <cellStyle name="20% - Accent5 32 6" xfId="4930"/>
    <cellStyle name="20% - Accent5 32 6 2" xfId="16218"/>
    <cellStyle name="20% - Accent5 32 7" xfId="14224"/>
    <cellStyle name="20% - Accent5 32 8" xfId="12910"/>
    <cellStyle name="20% - Accent5 33" xfId="975"/>
    <cellStyle name="20% - Accent5 33 2" xfId="3931"/>
    <cellStyle name="20% - Accent5 33 2 2" xfId="11910"/>
    <cellStyle name="20% - Accent5 33 2 2 2" xfId="23198"/>
    <cellStyle name="20% - Accent5 33 2 3" xfId="9916"/>
    <cellStyle name="20% - Accent5 33 2 3 2" xfId="21204"/>
    <cellStyle name="20% - Accent5 33 2 4" xfId="7922"/>
    <cellStyle name="20% - Accent5 33 2 4 2" xfId="19210"/>
    <cellStyle name="20% - Accent5 33 2 5" xfId="5928"/>
    <cellStyle name="20% - Accent5 33 2 5 2" xfId="17216"/>
    <cellStyle name="20% - Accent5 33 2 6" xfId="15222"/>
    <cellStyle name="20% - Accent5 33 3" xfId="10913"/>
    <cellStyle name="20% - Accent5 33 3 2" xfId="22201"/>
    <cellStyle name="20% - Accent5 33 4" xfId="8919"/>
    <cellStyle name="20% - Accent5 33 4 2" xfId="20207"/>
    <cellStyle name="20% - Accent5 33 5" xfId="6925"/>
    <cellStyle name="20% - Accent5 33 5 2" xfId="18213"/>
    <cellStyle name="20% - Accent5 33 6" xfId="4931"/>
    <cellStyle name="20% - Accent5 33 6 2" xfId="16219"/>
    <cellStyle name="20% - Accent5 33 7" xfId="14225"/>
    <cellStyle name="20% - Accent5 33 8" xfId="12911"/>
    <cellStyle name="20% - Accent5 34" xfId="976"/>
    <cellStyle name="20% - Accent5 34 2" xfId="3932"/>
    <cellStyle name="20% - Accent5 34 2 2" xfId="11911"/>
    <cellStyle name="20% - Accent5 34 2 2 2" xfId="23199"/>
    <cellStyle name="20% - Accent5 34 2 3" xfId="9917"/>
    <cellStyle name="20% - Accent5 34 2 3 2" xfId="21205"/>
    <cellStyle name="20% - Accent5 34 2 4" xfId="7923"/>
    <cellStyle name="20% - Accent5 34 2 4 2" xfId="19211"/>
    <cellStyle name="20% - Accent5 34 2 5" xfId="5929"/>
    <cellStyle name="20% - Accent5 34 2 5 2" xfId="17217"/>
    <cellStyle name="20% - Accent5 34 2 6" xfId="15223"/>
    <cellStyle name="20% - Accent5 34 3" xfId="10914"/>
    <cellStyle name="20% - Accent5 34 3 2" xfId="22202"/>
    <cellStyle name="20% - Accent5 34 4" xfId="8920"/>
    <cellStyle name="20% - Accent5 34 4 2" xfId="20208"/>
    <cellStyle name="20% - Accent5 34 5" xfId="6926"/>
    <cellStyle name="20% - Accent5 34 5 2" xfId="18214"/>
    <cellStyle name="20% - Accent5 34 6" xfId="4932"/>
    <cellStyle name="20% - Accent5 34 6 2" xfId="16220"/>
    <cellStyle name="20% - Accent5 34 7" xfId="14226"/>
    <cellStyle name="20% - Accent5 34 8" xfId="12912"/>
    <cellStyle name="20% - Accent5 35" xfId="977"/>
    <cellStyle name="20% - Accent5 35 2" xfId="3933"/>
    <cellStyle name="20% - Accent5 35 2 2" xfId="11912"/>
    <cellStyle name="20% - Accent5 35 2 2 2" xfId="23200"/>
    <cellStyle name="20% - Accent5 35 2 3" xfId="9918"/>
    <cellStyle name="20% - Accent5 35 2 3 2" xfId="21206"/>
    <cellStyle name="20% - Accent5 35 2 4" xfId="7924"/>
    <cellStyle name="20% - Accent5 35 2 4 2" xfId="19212"/>
    <cellStyle name="20% - Accent5 35 2 5" xfId="5930"/>
    <cellStyle name="20% - Accent5 35 2 5 2" xfId="17218"/>
    <cellStyle name="20% - Accent5 35 2 6" xfId="15224"/>
    <cellStyle name="20% - Accent5 35 3" xfId="10915"/>
    <cellStyle name="20% - Accent5 35 3 2" xfId="22203"/>
    <cellStyle name="20% - Accent5 35 4" xfId="8921"/>
    <cellStyle name="20% - Accent5 35 4 2" xfId="20209"/>
    <cellStyle name="20% - Accent5 35 5" xfId="6927"/>
    <cellStyle name="20% - Accent5 35 5 2" xfId="18215"/>
    <cellStyle name="20% - Accent5 35 6" xfId="4933"/>
    <cellStyle name="20% - Accent5 35 6 2" xfId="16221"/>
    <cellStyle name="20% - Accent5 35 7" xfId="14227"/>
    <cellStyle name="20% - Accent5 35 8" xfId="12913"/>
    <cellStyle name="20% - Accent5 36" xfId="978"/>
    <cellStyle name="20% - Accent5 36 2" xfId="3934"/>
    <cellStyle name="20% - Accent5 36 2 2" xfId="11913"/>
    <cellStyle name="20% - Accent5 36 2 2 2" xfId="23201"/>
    <cellStyle name="20% - Accent5 36 2 3" xfId="9919"/>
    <cellStyle name="20% - Accent5 36 2 3 2" xfId="21207"/>
    <cellStyle name="20% - Accent5 36 2 4" xfId="7925"/>
    <cellStyle name="20% - Accent5 36 2 4 2" xfId="19213"/>
    <cellStyle name="20% - Accent5 36 2 5" xfId="5931"/>
    <cellStyle name="20% - Accent5 36 2 5 2" xfId="17219"/>
    <cellStyle name="20% - Accent5 36 2 6" xfId="15225"/>
    <cellStyle name="20% - Accent5 36 3" xfId="10916"/>
    <cellStyle name="20% - Accent5 36 3 2" xfId="22204"/>
    <cellStyle name="20% - Accent5 36 4" xfId="8922"/>
    <cellStyle name="20% - Accent5 36 4 2" xfId="20210"/>
    <cellStyle name="20% - Accent5 36 5" xfId="6928"/>
    <cellStyle name="20% - Accent5 36 5 2" xfId="18216"/>
    <cellStyle name="20% - Accent5 36 6" xfId="4934"/>
    <cellStyle name="20% - Accent5 36 6 2" xfId="16222"/>
    <cellStyle name="20% - Accent5 36 7" xfId="14228"/>
    <cellStyle name="20% - Accent5 36 8" xfId="12914"/>
    <cellStyle name="20% - Accent5 37" xfId="979"/>
    <cellStyle name="20% - Accent5 37 2" xfId="3935"/>
    <cellStyle name="20% - Accent5 37 2 2" xfId="11914"/>
    <cellStyle name="20% - Accent5 37 2 2 2" xfId="23202"/>
    <cellStyle name="20% - Accent5 37 2 3" xfId="9920"/>
    <cellStyle name="20% - Accent5 37 2 3 2" xfId="21208"/>
    <cellStyle name="20% - Accent5 37 2 4" xfId="7926"/>
    <cellStyle name="20% - Accent5 37 2 4 2" xfId="19214"/>
    <cellStyle name="20% - Accent5 37 2 5" xfId="5932"/>
    <cellStyle name="20% - Accent5 37 2 5 2" xfId="17220"/>
    <cellStyle name="20% - Accent5 37 2 6" xfId="15226"/>
    <cellStyle name="20% - Accent5 37 3" xfId="10917"/>
    <cellStyle name="20% - Accent5 37 3 2" xfId="22205"/>
    <cellStyle name="20% - Accent5 37 4" xfId="8923"/>
    <cellStyle name="20% - Accent5 37 4 2" xfId="20211"/>
    <cellStyle name="20% - Accent5 37 5" xfId="6929"/>
    <cellStyle name="20% - Accent5 37 5 2" xfId="18217"/>
    <cellStyle name="20% - Accent5 37 6" xfId="4935"/>
    <cellStyle name="20% - Accent5 37 6 2" xfId="16223"/>
    <cellStyle name="20% - Accent5 37 7" xfId="14229"/>
    <cellStyle name="20% - Accent5 37 8" xfId="12915"/>
    <cellStyle name="20% - Accent5 38" xfId="980"/>
    <cellStyle name="20% - Accent5 38 2" xfId="3936"/>
    <cellStyle name="20% - Accent5 38 2 2" xfId="11915"/>
    <cellStyle name="20% - Accent5 38 2 2 2" xfId="23203"/>
    <cellStyle name="20% - Accent5 38 2 3" xfId="9921"/>
    <cellStyle name="20% - Accent5 38 2 3 2" xfId="21209"/>
    <cellStyle name="20% - Accent5 38 2 4" xfId="7927"/>
    <cellStyle name="20% - Accent5 38 2 4 2" xfId="19215"/>
    <cellStyle name="20% - Accent5 38 2 5" xfId="5933"/>
    <cellStyle name="20% - Accent5 38 2 5 2" xfId="17221"/>
    <cellStyle name="20% - Accent5 38 2 6" xfId="15227"/>
    <cellStyle name="20% - Accent5 38 3" xfId="10918"/>
    <cellStyle name="20% - Accent5 38 3 2" xfId="22206"/>
    <cellStyle name="20% - Accent5 38 4" xfId="8924"/>
    <cellStyle name="20% - Accent5 38 4 2" xfId="20212"/>
    <cellStyle name="20% - Accent5 38 5" xfId="6930"/>
    <cellStyle name="20% - Accent5 38 5 2" xfId="18218"/>
    <cellStyle name="20% - Accent5 38 6" xfId="4936"/>
    <cellStyle name="20% - Accent5 38 6 2" xfId="16224"/>
    <cellStyle name="20% - Accent5 38 7" xfId="14230"/>
    <cellStyle name="20% - Accent5 38 8" xfId="12916"/>
    <cellStyle name="20% - Accent5 39" xfId="981"/>
    <cellStyle name="20% - Accent5 39 2" xfId="3937"/>
    <cellStyle name="20% - Accent5 39 2 2" xfId="11916"/>
    <cellStyle name="20% - Accent5 39 2 2 2" xfId="23204"/>
    <cellStyle name="20% - Accent5 39 2 3" xfId="9922"/>
    <cellStyle name="20% - Accent5 39 2 3 2" xfId="21210"/>
    <cellStyle name="20% - Accent5 39 2 4" xfId="7928"/>
    <cellStyle name="20% - Accent5 39 2 4 2" xfId="19216"/>
    <cellStyle name="20% - Accent5 39 2 5" xfId="5934"/>
    <cellStyle name="20% - Accent5 39 2 5 2" xfId="17222"/>
    <cellStyle name="20% - Accent5 39 2 6" xfId="15228"/>
    <cellStyle name="20% - Accent5 39 3" xfId="10919"/>
    <cellStyle name="20% - Accent5 39 3 2" xfId="22207"/>
    <cellStyle name="20% - Accent5 39 4" xfId="8925"/>
    <cellStyle name="20% - Accent5 39 4 2" xfId="20213"/>
    <cellStyle name="20% - Accent5 39 5" xfId="6931"/>
    <cellStyle name="20% - Accent5 39 5 2" xfId="18219"/>
    <cellStyle name="20% - Accent5 39 6" xfId="4937"/>
    <cellStyle name="20% - Accent5 39 6 2" xfId="16225"/>
    <cellStyle name="20% - Accent5 39 7" xfId="14231"/>
    <cellStyle name="20% - Accent5 39 8" xfId="12917"/>
    <cellStyle name="20% - Accent5 4" xfId="982"/>
    <cellStyle name="20% - Accent5 4 10" xfId="24585"/>
    <cellStyle name="20% - Accent5 4 11" xfId="24975"/>
    <cellStyle name="20% - Accent5 4 2" xfId="3938"/>
    <cellStyle name="20% - Accent5 4 2 2" xfId="11917"/>
    <cellStyle name="20% - Accent5 4 2 2 2" xfId="23205"/>
    <cellStyle name="20% - Accent5 4 2 3" xfId="9923"/>
    <cellStyle name="20% - Accent5 4 2 3 2" xfId="21211"/>
    <cellStyle name="20% - Accent5 4 2 4" xfId="7929"/>
    <cellStyle name="20% - Accent5 4 2 4 2" xfId="19217"/>
    <cellStyle name="20% - Accent5 4 2 5" xfId="5935"/>
    <cellStyle name="20% - Accent5 4 2 5 2" xfId="17223"/>
    <cellStyle name="20% - Accent5 4 2 6" xfId="15229"/>
    <cellStyle name="20% - Accent5 4 2 7" xfId="24346"/>
    <cellStyle name="20% - Accent5 4 2 8" xfId="24810"/>
    <cellStyle name="20% - Accent5 4 2 9" xfId="25177"/>
    <cellStyle name="20% - Accent5 4 3" xfId="10920"/>
    <cellStyle name="20% - Accent5 4 3 2" xfId="22208"/>
    <cellStyle name="20% - Accent5 4 4" xfId="8926"/>
    <cellStyle name="20% - Accent5 4 4 2" xfId="20214"/>
    <cellStyle name="20% - Accent5 4 5" xfId="6932"/>
    <cellStyle name="20% - Accent5 4 5 2" xfId="18220"/>
    <cellStyle name="20% - Accent5 4 6" xfId="4938"/>
    <cellStyle name="20% - Accent5 4 6 2" xfId="16226"/>
    <cellStyle name="20% - Accent5 4 7" xfId="14232"/>
    <cellStyle name="20% - Accent5 4 8" xfId="12918"/>
    <cellStyle name="20% - Accent5 4 9" xfId="23958"/>
    <cellStyle name="20% - Accent5 40" xfId="983"/>
    <cellStyle name="20% - Accent5 40 2" xfId="3939"/>
    <cellStyle name="20% - Accent5 40 2 2" xfId="11918"/>
    <cellStyle name="20% - Accent5 40 2 2 2" xfId="23206"/>
    <cellStyle name="20% - Accent5 40 2 3" xfId="9924"/>
    <cellStyle name="20% - Accent5 40 2 3 2" xfId="21212"/>
    <cellStyle name="20% - Accent5 40 2 4" xfId="7930"/>
    <cellStyle name="20% - Accent5 40 2 4 2" xfId="19218"/>
    <cellStyle name="20% - Accent5 40 2 5" xfId="5936"/>
    <cellStyle name="20% - Accent5 40 2 5 2" xfId="17224"/>
    <cellStyle name="20% - Accent5 40 2 6" xfId="15230"/>
    <cellStyle name="20% - Accent5 40 3" xfId="10921"/>
    <cellStyle name="20% - Accent5 40 3 2" xfId="22209"/>
    <cellStyle name="20% - Accent5 40 4" xfId="8927"/>
    <cellStyle name="20% - Accent5 40 4 2" xfId="20215"/>
    <cellStyle name="20% - Accent5 40 5" xfId="6933"/>
    <cellStyle name="20% - Accent5 40 5 2" xfId="18221"/>
    <cellStyle name="20% - Accent5 40 6" xfId="4939"/>
    <cellStyle name="20% - Accent5 40 6 2" xfId="16227"/>
    <cellStyle name="20% - Accent5 40 7" xfId="14233"/>
    <cellStyle name="20% - Accent5 40 8" xfId="12919"/>
    <cellStyle name="20% - Accent5 41" xfId="984"/>
    <cellStyle name="20% - Accent5 41 2" xfId="3940"/>
    <cellStyle name="20% - Accent5 41 2 2" xfId="11919"/>
    <cellStyle name="20% - Accent5 41 2 2 2" xfId="23207"/>
    <cellStyle name="20% - Accent5 41 2 3" xfId="9925"/>
    <cellStyle name="20% - Accent5 41 2 3 2" xfId="21213"/>
    <cellStyle name="20% - Accent5 41 2 4" xfId="7931"/>
    <cellStyle name="20% - Accent5 41 2 4 2" xfId="19219"/>
    <cellStyle name="20% - Accent5 41 2 5" xfId="5937"/>
    <cellStyle name="20% - Accent5 41 2 5 2" xfId="17225"/>
    <cellStyle name="20% - Accent5 41 2 6" xfId="15231"/>
    <cellStyle name="20% - Accent5 41 3" xfId="10922"/>
    <cellStyle name="20% - Accent5 41 3 2" xfId="22210"/>
    <cellStyle name="20% - Accent5 41 4" xfId="8928"/>
    <cellStyle name="20% - Accent5 41 4 2" xfId="20216"/>
    <cellStyle name="20% - Accent5 41 5" xfId="6934"/>
    <cellStyle name="20% - Accent5 41 5 2" xfId="18222"/>
    <cellStyle name="20% - Accent5 41 6" xfId="4940"/>
    <cellStyle name="20% - Accent5 41 6 2" xfId="16228"/>
    <cellStyle name="20% - Accent5 41 7" xfId="14234"/>
    <cellStyle name="20% - Accent5 41 8" xfId="12920"/>
    <cellStyle name="20% - Accent5 42" xfId="985"/>
    <cellStyle name="20% - Accent5 42 2" xfId="3941"/>
    <cellStyle name="20% - Accent5 42 2 2" xfId="11920"/>
    <cellStyle name="20% - Accent5 42 2 2 2" xfId="23208"/>
    <cellStyle name="20% - Accent5 42 2 3" xfId="9926"/>
    <cellStyle name="20% - Accent5 42 2 3 2" xfId="21214"/>
    <cellStyle name="20% - Accent5 42 2 4" xfId="7932"/>
    <cellStyle name="20% - Accent5 42 2 4 2" xfId="19220"/>
    <cellStyle name="20% - Accent5 42 2 5" xfId="5938"/>
    <cellStyle name="20% - Accent5 42 2 5 2" xfId="17226"/>
    <cellStyle name="20% - Accent5 42 2 6" xfId="15232"/>
    <cellStyle name="20% - Accent5 42 3" xfId="10923"/>
    <cellStyle name="20% - Accent5 42 3 2" xfId="22211"/>
    <cellStyle name="20% - Accent5 42 4" xfId="8929"/>
    <cellStyle name="20% - Accent5 42 4 2" xfId="20217"/>
    <cellStyle name="20% - Accent5 42 5" xfId="6935"/>
    <cellStyle name="20% - Accent5 42 5 2" xfId="18223"/>
    <cellStyle name="20% - Accent5 42 6" xfId="4941"/>
    <cellStyle name="20% - Accent5 42 6 2" xfId="16229"/>
    <cellStyle name="20% - Accent5 42 7" xfId="14235"/>
    <cellStyle name="20% - Accent5 42 8" xfId="12921"/>
    <cellStyle name="20% - Accent5 43" xfId="986"/>
    <cellStyle name="20% - Accent5 43 2" xfId="3942"/>
    <cellStyle name="20% - Accent5 43 2 2" xfId="11921"/>
    <cellStyle name="20% - Accent5 43 2 2 2" xfId="23209"/>
    <cellStyle name="20% - Accent5 43 2 3" xfId="9927"/>
    <cellStyle name="20% - Accent5 43 2 3 2" xfId="21215"/>
    <cellStyle name="20% - Accent5 43 2 4" xfId="7933"/>
    <cellStyle name="20% - Accent5 43 2 4 2" xfId="19221"/>
    <cellStyle name="20% - Accent5 43 2 5" xfId="5939"/>
    <cellStyle name="20% - Accent5 43 2 5 2" xfId="17227"/>
    <cellStyle name="20% - Accent5 43 2 6" xfId="15233"/>
    <cellStyle name="20% - Accent5 43 3" xfId="10924"/>
    <cellStyle name="20% - Accent5 43 3 2" xfId="22212"/>
    <cellStyle name="20% - Accent5 43 4" xfId="8930"/>
    <cellStyle name="20% - Accent5 43 4 2" xfId="20218"/>
    <cellStyle name="20% - Accent5 43 5" xfId="6936"/>
    <cellStyle name="20% - Accent5 43 5 2" xfId="18224"/>
    <cellStyle name="20% - Accent5 43 6" xfId="4942"/>
    <cellStyle name="20% - Accent5 43 6 2" xfId="16230"/>
    <cellStyle name="20% - Accent5 43 7" xfId="14236"/>
    <cellStyle name="20% - Accent5 43 8" xfId="12922"/>
    <cellStyle name="20% - Accent5 44" xfId="987"/>
    <cellStyle name="20% - Accent5 44 2" xfId="3943"/>
    <cellStyle name="20% - Accent5 44 2 2" xfId="11922"/>
    <cellStyle name="20% - Accent5 44 2 2 2" xfId="23210"/>
    <cellStyle name="20% - Accent5 44 2 3" xfId="9928"/>
    <cellStyle name="20% - Accent5 44 2 3 2" xfId="21216"/>
    <cellStyle name="20% - Accent5 44 2 4" xfId="7934"/>
    <cellStyle name="20% - Accent5 44 2 4 2" xfId="19222"/>
    <cellStyle name="20% - Accent5 44 2 5" xfId="5940"/>
    <cellStyle name="20% - Accent5 44 2 5 2" xfId="17228"/>
    <cellStyle name="20% - Accent5 44 2 6" xfId="15234"/>
    <cellStyle name="20% - Accent5 44 3" xfId="10925"/>
    <cellStyle name="20% - Accent5 44 3 2" xfId="22213"/>
    <cellStyle name="20% - Accent5 44 4" xfId="8931"/>
    <cellStyle name="20% - Accent5 44 4 2" xfId="20219"/>
    <cellStyle name="20% - Accent5 44 5" xfId="6937"/>
    <cellStyle name="20% - Accent5 44 5 2" xfId="18225"/>
    <cellStyle name="20% - Accent5 44 6" xfId="4943"/>
    <cellStyle name="20% - Accent5 44 6 2" xfId="16231"/>
    <cellStyle name="20% - Accent5 44 7" xfId="14237"/>
    <cellStyle name="20% - Accent5 44 8" xfId="12923"/>
    <cellStyle name="20% - Accent5 45" xfId="988"/>
    <cellStyle name="20% - Accent5 45 2" xfId="3944"/>
    <cellStyle name="20% - Accent5 45 2 2" xfId="11923"/>
    <cellStyle name="20% - Accent5 45 2 2 2" xfId="23211"/>
    <cellStyle name="20% - Accent5 45 2 3" xfId="9929"/>
    <cellStyle name="20% - Accent5 45 2 3 2" xfId="21217"/>
    <cellStyle name="20% - Accent5 45 2 4" xfId="7935"/>
    <cellStyle name="20% - Accent5 45 2 4 2" xfId="19223"/>
    <cellStyle name="20% - Accent5 45 2 5" xfId="5941"/>
    <cellStyle name="20% - Accent5 45 2 5 2" xfId="17229"/>
    <cellStyle name="20% - Accent5 45 2 6" xfId="15235"/>
    <cellStyle name="20% - Accent5 45 3" xfId="10926"/>
    <cellStyle name="20% - Accent5 45 3 2" xfId="22214"/>
    <cellStyle name="20% - Accent5 45 4" xfId="8932"/>
    <cellStyle name="20% - Accent5 45 4 2" xfId="20220"/>
    <cellStyle name="20% - Accent5 45 5" xfId="6938"/>
    <cellStyle name="20% - Accent5 45 5 2" xfId="18226"/>
    <cellStyle name="20% - Accent5 45 6" xfId="4944"/>
    <cellStyle name="20% - Accent5 45 6 2" xfId="16232"/>
    <cellStyle name="20% - Accent5 45 7" xfId="14238"/>
    <cellStyle name="20% - Accent5 45 8" xfId="12924"/>
    <cellStyle name="20% - Accent5 46" xfId="989"/>
    <cellStyle name="20% - Accent5 46 2" xfId="3945"/>
    <cellStyle name="20% - Accent5 46 2 2" xfId="11924"/>
    <cellStyle name="20% - Accent5 46 2 2 2" xfId="23212"/>
    <cellStyle name="20% - Accent5 46 2 3" xfId="9930"/>
    <cellStyle name="20% - Accent5 46 2 3 2" xfId="21218"/>
    <cellStyle name="20% - Accent5 46 2 4" xfId="7936"/>
    <cellStyle name="20% - Accent5 46 2 4 2" xfId="19224"/>
    <cellStyle name="20% - Accent5 46 2 5" xfId="5942"/>
    <cellStyle name="20% - Accent5 46 2 5 2" xfId="17230"/>
    <cellStyle name="20% - Accent5 46 2 6" xfId="15236"/>
    <cellStyle name="20% - Accent5 46 3" xfId="10927"/>
    <cellStyle name="20% - Accent5 46 3 2" xfId="22215"/>
    <cellStyle name="20% - Accent5 46 4" xfId="8933"/>
    <cellStyle name="20% - Accent5 46 4 2" xfId="20221"/>
    <cellStyle name="20% - Accent5 46 5" xfId="6939"/>
    <cellStyle name="20% - Accent5 46 5 2" xfId="18227"/>
    <cellStyle name="20% - Accent5 46 6" xfId="4945"/>
    <cellStyle name="20% - Accent5 46 6 2" xfId="16233"/>
    <cellStyle name="20% - Accent5 46 7" xfId="14239"/>
    <cellStyle name="20% - Accent5 46 8" xfId="12925"/>
    <cellStyle name="20% - Accent5 47" xfId="990"/>
    <cellStyle name="20% - Accent5 47 2" xfId="3946"/>
    <cellStyle name="20% - Accent5 47 2 2" xfId="11925"/>
    <cellStyle name="20% - Accent5 47 2 2 2" xfId="23213"/>
    <cellStyle name="20% - Accent5 47 2 3" xfId="9931"/>
    <cellStyle name="20% - Accent5 47 2 3 2" xfId="21219"/>
    <cellStyle name="20% - Accent5 47 2 4" xfId="7937"/>
    <cellStyle name="20% - Accent5 47 2 4 2" xfId="19225"/>
    <cellStyle name="20% - Accent5 47 2 5" xfId="5943"/>
    <cellStyle name="20% - Accent5 47 2 5 2" xfId="17231"/>
    <cellStyle name="20% - Accent5 47 2 6" xfId="15237"/>
    <cellStyle name="20% - Accent5 47 3" xfId="10928"/>
    <cellStyle name="20% - Accent5 47 3 2" xfId="22216"/>
    <cellStyle name="20% - Accent5 47 4" xfId="8934"/>
    <cellStyle name="20% - Accent5 47 4 2" xfId="20222"/>
    <cellStyle name="20% - Accent5 47 5" xfId="6940"/>
    <cellStyle name="20% - Accent5 47 5 2" xfId="18228"/>
    <cellStyle name="20% - Accent5 47 6" xfId="4946"/>
    <cellStyle name="20% - Accent5 47 6 2" xfId="16234"/>
    <cellStyle name="20% - Accent5 47 7" xfId="14240"/>
    <cellStyle name="20% - Accent5 47 8" xfId="12926"/>
    <cellStyle name="20% - Accent5 48" xfId="991"/>
    <cellStyle name="20% - Accent5 48 2" xfId="3947"/>
    <cellStyle name="20% - Accent5 48 2 2" xfId="11926"/>
    <cellStyle name="20% - Accent5 48 2 2 2" xfId="23214"/>
    <cellStyle name="20% - Accent5 48 2 3" xfId="9932"/>
    <cellStyle name="20% - Accent5 48 2 3 2" xfId="21220"/>
    <cellStyle name="20% - Accent5 48 2 4" xfId="7938"/>
    <cellStyle name="20% - Accent5 48 2 4 2" xfId="19226"/>
    <cellStyle name="20% - Accent5 48 2 5" xfId="5944"/>
    <cellStyle name="20% - Accent5 48 2 5 2" xfId="17232"/>
    <cellStyle name="20% - Accent5 48 2 6" xfId="15238"/>
    <cellStyle name="20% - Accent5 48 3" xfId="10929"/>
    <cellStyle name="20% - Accent5 48 3 2" xfId="22217"/>
    <cellStyle name="20% - Accent5 48 4" xfId="8935"/>
    <cellStyle name="20% - Accent5 48 4 2" xfId="20223"/>
    <cellStyle name="20% - Accent5 48 5" xfId="6941"/>
    <cellStyle name="20% - Accent5 48 5 2" xfId="18229"/>
    <cellStyle name="20% - Accent5 48 6" xfId="4947"/>
    <cellStyle name="20% - Accent5 48 6 2" xfId="16235"/>
    <cellStyle name="20% - Accent5 48 7" xfId="14241"/>
    <cellStyle name="20% - Accent5 48 8" xfId="12927"/>
    <cellStyle name="20% - Accent5 49" xfId="992"/>
    <cellStyle name="20% - Accent5 49 2" xfId="3948"/>
    <cellStyle name="20% - Accent5 49 2 2" xfId="11927"/>
    <cellStyle name="20% - Accent5 49 2 2 2" xfId="23215"/>
    <cellStyle name="20% - Accent5 49 2 3" xfId="9933"/>
    <cellStyle name="20% - Accent5 49 2 3 2" xfId="21221"/>
    <cellStyle name="20% - Accent5 49 2 4" xfId="7939"/>
    <cellStyle name="20% - Accent5 49 2 4 2" xfId="19227"/>
    <cellStyle name="20% - Accent5 49 2 5" xfId="5945"/>
    <cellStyle name="20% - Accent5 49 2 5 2" xfId="17233"/>
    <cellStyle name="20% - Accent5 49 2 6" xfId="15239"/>
    <cellStyle name="20% - Accent5 49 3" xfId="10930"/>
    <cellStyle name="20% - Accent5 49 3 2" xfId="22218"/>
    <cellStyle name="20% - Accent5 49 4" xfId="8936"/>
    <cellStyle name="20% - Accent5 49 4 2" xfId="20224"/>
    <cellStyle name="20% - Accent5 49 5" xfId="6942"/>
    <cellStyle name="20% - Accent5 49 5 2" xfId="18230"/>
    <cellStyle name="20% - Accent5 49 6" xfId="4948"/>
    <cellStyle name="20% - Accent5 49 6 2" xfId="16236"/>
    <cellStyle name="20% - Accent5 49 7" xfId="14242"/>
    <cellStyle name="20% - Accent5 49 8" xfId="12928"/>
    <cellStyle name="20% - Accent5 5" xfId="993"/>
    <cellStyle name="20% - Accent5 5 10" xfId="24586"/>
    <cellStyle name="20% - Accent5 5 11" xfId="24976"/>
    <cellStyle name="20% - Accent5 5 2" xfId="3949"/>
    <cellStyle name="20% - Accent5 5 2 2" xfId="11928"/>
    <cellStyle name="20% - Accent5 5 2 2 2" xfId="23216"/>
    <cellStyle name="20% - Accent5 5 2 3" xfId="9934"/>
    <cellStyle name="20% - Accent5 5 2 3 2" xfId="21222"/>
    <cellStyle name="20% - Accent5 5 2 4" xfId="7940"/>
    <cellStyle name="20% - Accent5 5 2 4 2" xfId="19228"/>
    <cellStyle name="20% - Accent5 5 2 5" xfId="5946"/>
    <cellStyle name="20% - Accent5 5 2 5 2" xfId="17234"/>
    <cellStyle name="20% - Accent5 5 2 6" xfId="15240"/>
    <cellStyle name="20% - Accent5 5 2 7" xfId="24347"/>
    <cellStyle name="20% - Accent5 5 2 8" xfId="24811"/>
    <cellStyle name="20% - Accent5 5 2 9" xfId="25178"/>
    <cellStyle name="20% - Accent5 5 3" xfId="10931"/>
    <cellStyle name="20% - Accent5 5 3 2" xfId="22219"/>
    <cellStyle name="20% - Accent5 5 4" xfId="8937"/>
    <cellStyle name="20% - Accent5 5 4 2" xfId="20225"/>
    <cellStyle name="20% - Accent5 5 5" xfId="6943"/>
    <cellStyle name="20% - Accent5 5 5 2" xfId="18231"/>
    <cellStyle name="20% - Accent5 5 6" xfId="4949"/>
    <cellStyle name="20% - Accent5 5 6 2" xfId="16237"/>
    <cellStyle name="20% - Accent5 5 7" xfId="14243"/>
    <cellStyle name="20% - Accent5 5 8" xfId="12929"/>
    <cellStyle name="20% - Accent5 5 9" xfId="23959"/>
    <cellStyle name="20% - Accent5 50" xfId="994"/>
    <cellStyle name="20% - Accent5 50 2" xfId="3950"/>
    <cellStyle name="20% - Accent5 50 2 2" xfId="11929"/>
    <cellStyle name="20% - Accent5 50 2 2 2" xfId="23217"/>
    <cellStyle name="20% - Accent5 50 2 3" xfId="9935"/>
    <cellStyle name="20% - Accent5 50 2 3 2" xfId="21223"/>
    <cellStyle name="20% - Accent5 50 2 4" xfId="7941"/>
    <cellStyle name="20% - Accent5 50 2 4 2" xfId="19229"/>
    <cellStyle name="20% - Accent5 50 2 5" xfId="5947"/>
    <cellStyle name="20% - Accent5 50 2 5 2" xfId="17235"/>
    <cellStyle name="20% - Accent5 50 2 6" xfId="15241"/>
    <cellStyle name="20% - Accent5 50 3" xfId="10932"/>
    <cellStyle name="20% - Accent5 50 3 2" xfId="22220"/>
    <cellStyle name="20% - Accent5 50 4" xfId="8938"/>
    <cellStyle name="20% - Accent5 50 4 2" xfId="20226"/>
    <cellStyle name="20% - Accent5 50 5" xfId="6944"/>
    <cellStyle name="20% - Accent5 50 5 2" xfId="18232"/>
    <cellStyle name="20% - Accent5 50 6" xfId="4950"/>
    <cellStyle name="20% - Accent5 50 6 2" xfId="16238"/>
    <cellStyle name="20% - Accent5 50 7" xfId="14244"/>
    <cellStyle name="20% - Accent5 50 8" xfId="12930"/>
    <cellStyle name="20% - Accent5 51" xfId="995"/>
    <cellStyle name="20% - Accent5 51 2" xfId="3951"/>
    <cellStyle name="20% - Accent5 51 2 2" xfId="11930"/>
    <cellStyle name="20% - Accent5 51 2 2 2" xfId="23218"/>
    <cellStyle name="20% - Accent5 51 2 3" xfId="9936"/>
    <cellStyle name="20% - Accent5 51 2 3 2" xfId="21224"/>
    <cellStyle name="20% - Accent5 51 2 4" xfId="7942"/>
    <cellStyle name="20% - Accent5 51 2 4 2" xfId="19230"/>
    <cellStyle name="20% - Accent5 51 2 5" xfId="5948"/>
    <cellStyle name="20% - Accent5 51 2 5 2" xfId="17236"/>
    <cellStyle name="20% - Accent5 51 2 6" xfId="15242"/>
    <cellStyle name="20% - Accent5 51 3" xfId="10933"/>
    <cellStyle name="20% - Accent5 51 3 2" xfId="22221"/>
    <cellStyle name="20% - Accent5 51 4" xfId="8939"/>
    <cellStyle name="20% - Accent5 51 4 2" xfId="20227"/>
    <cellStyle name="20% - Accent5 51 5" xfId="6945"/>
    <cellStyle name="20% - Accent5 51 5 2" xfId="18233"/>
    <cellStyle name="20% - Accent5 51 6" xfId="4951"/>
    <cellStyle name="20% - Accent5 51 6 2" xfId="16239"/>
    <cellStyle name="20% - Accent5 51 7" xfId="14245"/>
    <cellStyle name="20% - Accent5 51 8" xfId="12931"/>
    <cellStyle name="20% - Accent5 52" xfId="996"/>
    <cellStyle name="20% - Accent5 52 2" xfId="3952"/>
    <cellStyle name="20% - Accent5 52 2 2" xfId="11931"/>
    <cellStyle name="20% - Accent5 52 2 2 2" xfId="23219"/>
    <cellStyle name="20% - Accent5 52 2 3" xfId="9937"/>
    <cellStyle name="20% - Accent5 52 2 3 2" xfId="21225"/>
    <cellStyle name="20% - Accent5 52 2 4" xfId="7943"/>
    <cellStyle name="20% - Accent5 52 2 4 2" xfId="19231"/>
    <cellStyle name="20% - Accent5 52 2 5" xfId="5949"/>
    <cellStyle name="20% - Accent5 52 2 5 2" xfId="17237"/>
    <cellStyle name="20% - Accent5 52 2 6" xfId="15243"/>
    <cellStyle name="20% - Accent5 52 3" xfId="10934"/>
    <cellStyle name="20% - Accent5 52 3 2" xfId="22222"/>
    <cellStyle name="20% - Accent5 52 4" xfId="8940"/>
    <cellStyle name="20% - Accent5 52 4 2" xfId="20228"/>
    <cellStyle name="20% - Accent5 52 5" xfId="6946"/>
    <cellStyle name="20% - Accent5 52 5 2" xfId="18234"/>
    <cellStyle name="20% - Accent5 52 6" xfId="4952"/>
    <cellStyle name="20% - Accent5 52 6 2" xfId="16240"/>
    <cellStyle name="20% - Accent5 52 7" xfId="14246"/>
    <cellStyle name="20% - Accent5 52 8" xfId="12932"/>
    <cellStyle name="20% - Accent5 53" xfId="997"/>
    <cellStyle name="20% - Accent5 53 2" xfId="3953"/>
    <cellStyle name="20% - Accent5 53 2 2" xfId="11932"/>
    <cellStyle name="20% - Accent5 53 2 2 2" xfId="23220"/>
    <cellStyle name="20% - Accent5 53 2 3" xfId="9938"/>
    <cellStyle name="20% - Accent5 53 2 3 2" xfId="21226"/>
    <cellStyle name="20% - Accent5 53 2 4" xfId="7944"/>
    <cellStyle name="20% - Accent5 53 2 4 2" xfId="19232"/>
    <cellStyle name="20% - Accent5 53 2 5" xfId="5950"/>
    <cellStyle name="20% - Accent5 53 2 5 2" xfId="17238"/>
    <cellStyle name="20% - Accent5 53 2 6" xfId="15244"/>
    <cellStyle name="20% - Accent5 53 3" xfId="10935"/>
    <cellStyle name="20% - Accent5 53 3 2" xfId="22223"/>
    <cellStyle name="20% - Accent5 53 4" xfId="8941"/>
    <cellStyle name="20% - Accent5 53 4 2" xfId="20229"/>
    <cellStyle name="20% - Accent5 53 5" xfId="6947"/>
    <cellStyle name="20% - Accent5 53 5 2" xfId="18235"/>
    <cellStyle name="20% - Accent5 53 6" xfId="4953"/>
    <cellStyle name="20% - Accent5 53 6 2" xfId="16241"/>
    <cellStyle name="20% - Accent5 53 7" xfId="14247"/>
    <cellStyle name="20% - Accent5 53 8" xfId="12933"/>
    <cellStyle name="20% - Accent5 54" xfId="998"/>
    <cellStyle name="20% - Accent5 54 2" xfId="3954"/>
    <cellStyle name="20% - Accent5 54 2 2" xfId="11933"/>
    <cellStyle name="20% - Accent5 54 2 2 2" xfId="23221"/>
    <cellStyle name="20% - Accent5 54 2 3" xfId="9939"/>
    <cellStyle name="20% - Accent5 54 2 3 2" xfId="21227"/>
    <cellStyle name="20% - Accent5 54 2 4" xfId="7945"/>
    <cellStyle name="20% - Accent5 54 2 4 2" xfId="19233"/>
    <cellStyle name="20% - Accent5 54 2 5" xfId="5951"/>
    <cellStyle name="20% - Accent5 54 2 5 2" xfId="17239"/>
    <cellStyle name="20% - Accent5 54 2 6" xfId="15245"/>
    <cellStyle name="20% - Accent5 54 3" xfId="10936"/>
    <cellStyle name="20% - Accent5 54 3 2" xfId="22224"/>
    <cellStyle name="20% - Accent5 54 4" xfId="8942"/>
    <cellStyle name="20% - Accent5 54 4 2" xfId="20230"/>
    <cellStyle name="20% - Accent5 54 5" xfId="6948"/>
    <cellStyle name="20% - Accent5 54 5 2" xfId="18236"/>
    <cellStyle name="20% - Accent5 54 6" xfId="4954"/>
    <cellStyle name="20% - Accent5 54 6 2" xfId="16242"/>
    <cellStyle name="20% - Accent5 54 7" xfId="14248"/>
    <cellStyle name="20% - Accent5 54 8" xfId="12934"/>
    <cellStyle name="20% - Accent5 55" xfId="999"/>
    <cellStyle name="20% - Accent5 55 2" xfId="3955"/>
    <cellStyle name="20% - Accent5 55 2 2" xfId="11934"/>
    <cellStyle name="20% - Accent5 55 2 2 2" xfId="23222"/>
    <cellStyle name="20% - Accent5 55 2 3" xfId="9940"/>
    <cellStyle name="20% - Accent5 55 2 3 2" xfId="21228"/>
    <cellStyle name="20% - Accent5 55 2 4" xfId="7946"/>
    <cellStyle name="20% - Accent5 55 2 4 2" xfId="19234"/>
    <cellStyle name="20% - Accent5 55 2 5" xfId="5952"/>
    <cellStyle name="20% - Accent5 55 2 5 2" xfId="17240"/>
    <cellStyle name="20% - Accent5 55 2 6" xfId="15246"/>
    <cellStyle name="20% - Accent5 55 3" xfId="10937"/>
    <cellStyle name="20% - Accent5 55 3 2" xfId="22225"/>
    <cellStyle name="20% - Accent5 55 4" xfId="8943"/>
    <cellStyle name="20% - Accent5 55 4 2" xfId="20231"/>
    <cellStyle name="20% - Accent5 55 5" xfId="6949"/>
    <cellStyle name="20% - Accent5 55 5 2" xfId="18237"/>
    <cellStyle name="20% - Accent5 55 6" xfId="4955"/>
    <cellStyle name="20% - Accent5 55 6 2" xfId="16243"/>
    <cellStyle name="20% - Accent5 55 7" xfId="14249"/>
    <cellStyle name="20% - Accent5 55 8" xfId="12935"/>
    <cellStyle name="20% - Accent5 56" xfId="1000"/>
    <cellStyle name="20% - Accent5 56 2" xfId="3956"/>
    <cellStyle name="20% - Accent5 56 2 2" xfId="11935"/>
    <cellStyle name="20% - Accent5 56 2 2 2" xfId="23223"/>
    <cellStyle name="20% - Accent5 56 2 3" xfId="9941"/>
    <cellStyle name="20% - Accent5 56 2 3 2" xfId="21229"/>
    <cellStyle name="20% - Accent5 56 2 4" xfId="7947"/>
    <cellStyle name="20% - Accent5 56 2 4 2" xfId="19235"/>
    <cellStyle name="20% - Accent5 56 2 5" xfId="5953"/>
    <cellStyle name="20% - Accent5 56 2 5 2" xfId="17241"/>
    <cellStyle name="20% - Accent5 56 2 6" xfId="15247"/>
    <cellStyle name="20% - Accent5 56 3" xfId="10938"/>
    <cellStyle name="20% - Accent5 56 3 2" xfId="22226"/>
    <cellStyle name="20% - Accent5 56 4" xfId="8944"/>
    <cellStyle name="20% - Accent5 56 4 2" xfId="20232"/>
    <cellStyle name="20% - Accent5 56 5" xfId="6950"/>
    <cellStyle name="20% - Accent5 56 5 2" xfId="18238"/>
    <cellStyle name="20% - Accent5 56 6" xfId="4956"/>
    <cellStyle name="20% - Accent5 56 6 2" xfId="16244"/>
    <cellStyle name="20% - Accent5 56 7" xfId="14250"/>
    <cellStyle name="20% - Accent5 56 8" xfId="12936"/>
    <cellStyle name="20% - Accent5 57" xfId="1001"/>
    <cellStyle name="20% - Accent5 57 2" xfId="3957"/>
    <cellStyle name="20% - Accent5 57 2 2" xfId="11936"/>
    <cellStyle name="20% - Accent5 57 2 2 2" xfId="23224"/>
    <cellStyle name="20% - Accent5 57 2 3" xfId="9942"/>
    <cellStyle name="20% - Accent5 57 2 3 2" xfId="21230"/>
    <cellStyle name="20% - Accent5 57 2 4" xfId="7948"/>
    <cellStyle name="20% - Accent5 57 2 4 2" xfId="19236"/>
    <cellStyle name="20% - Accent5 57 2 5" xfId="5954"/>
    <cellStyle name="20% - Accent5 57 2 5 2" xfId="17242"/>
    <cellStyle name="20% - Accent5 57 2 6" xfId="15248"/>
    <cellStyle name="20% - Accent5 57 3" xfId="10939"/>
    <cellStyle name="20% - Accent5 57 3 2" xfId="22227"/>
    <cellStyle name="20% - Accent5 57 4" xfId="8945"/>
    <cellStyle name="20% - Accent5 57 4 2" xfId="20233"/>
    <cellStyle name="20% - Accent5 57 5" xfId="6951"/>
    <cellStyle name="20% - Accent5 57 5 2" xfId="18239"/>
    <cellStyle name="20% - Accent5 57 6" xfId="4957"/>
    <cellStyle name="20% - Accent5 57 6 2" xfId="16245"/>
    <cellStyle name="20% - Accent5 57 7" xfId="14251"/>
    <cellStyle name="20% - Accent5 57 8" xfId="12937"/>
    <cellStyle name="20% - Accent5 58" xfId="1002"/>
    <cellStyle name="20% - Accent5 58 2" xfId="3958"/>
    <cellStyle name="20% - Accent5 58 2 2" xfId="11937"/>
    <cellStyle name="20% - Accent5 58 2 2 2" xfId="23225"/>
    <cellStyle name="20% - Accent5 58 2 3" xfId="9943"/>
    <cellStyle name="20% - Accent5 58 2 3 2" xfId="21231"/>
    <cellStyle name="20% - Accent5 58 2 4" xfId="7949"/>
    <cellStyle name="20% - Accent5 58 2 4 2" xfId="19237"/>
    <cellStyle name="20% - Accent5 58 2 5" xfId="5955"/>
    <cellStyle name="20% - Accent5 58 2 5 2" xfId="17243"/>
    <cellStyle name="20% - Accent5 58 2 6" xfId="15249"/>
    <cellStyle name="20% - Accent5 58 3" xfId="10940"/>
    <cellStyle name="20% - Accent5 58 3 2" xfId="22228"/>
    <cellStyle name="20% - Accent5 58 4" xfId="8946"/>
    <cellStyle name="20% - Accent5 58 4 2" xfId="20234"/>
    <cellStyle name="20% - Accent5 58 5" xfId="6952"/>
    <cellStyle name="20% - Accent5 58 5 2" xfId="18240"/>
    <cellStyle name="20% - Accent5 58 6" xfId="4958"/>
    <cellStyle name="20% - Accent5 58 6 2" xfId="16246"/>
    <cellStyle name="20% - Accent5 58 7" xfId="14252"/>
    <cellStyle name="20% - Accent5 58 8" xfId="12938"/>
    <cellStyle name="20% - Accent5 59" xfId="1003"/>
    <cellStyle name="20% - Accent5 59 2" xfId="3959"/>
    <cellStyle name="20% - Accent5 59 2 2" xfId="11938"/>
    <cellStyle name="20% - Accent5 59 2 2 2" xfId="23226"/>
    <cellStyle name="20% - Accent5 59 2 3" xfId="9944"/>
    <cellStyle name="20% - Accent5 59 2 3 2" xfId="21232"/>
    <cellStyle name="20% - Accent5 59 2 4" xfId="7950"/>
    <cellStyle name="20% - Accent5 59 2 4 2" xfId="19238"/>
    <cellStyle name="20% - Accent5 59 2 5" xfId="5956"/>
    <cellStyle name="20% - Accent5 59 2 5 2" xfId="17244"/>
    <cellStyle name="20% - Accent5 59 2 6" xfId="15250"/>
    <cellStyle name="20% - Accent5 59 3" xfId="10941"/>
    <cellStyle name="20% - Accent5 59 3 2" xfId="22229"/>
    <cellStyle name="20% - Accent5 59 4" xfId="8947"/>
    <cellStyle name="20% - Accent5 59 4 2" xfId="20235"/>
    <cellStyle name="20% - Accent5 59 5" xfId="6953"/>
    <cellStyle name="20% - Accent5 59 5 2" xfId="18241"/>
    <cellStyle name="20% - Accent5 59 6" xfId="4959"/>
    <cellStyle name="20% - Accent5 59 6 2" xfId="16247"/>
    <cellStyle name="20% - Accent5 59 7" xfId="14253"/>
    <cellStyle name="20% - Accent5 59 8" xfId="12939"/>
    <cellStyle name="20% - Accent5 6" xfId="1004"/>
    <cellStyle name="20% - Accent5 6 10" xfId="24587"/>
    <cellStyle name="20% - Accent5 6 11" xfId="24977"/>
    <cellStyle name="20% - Accent5 6 2" xfId="3960"/>
    <cellStyle name="20% - Accent5 6 2 2" xfId="11939"/>
    <cellStyle name="20% - Accent5 6 2 2 2" xfId="23227"/>
    <cellStyle name="20% - Accent5 6 2 3" xfId="9945"/>
    <cellStyle name="20% - Accent5 6 2 3 2" xfId="21233"/>
    <cellStyle name="20% - Accent5 6 2 4" xfId="7951"/>
    <cellStyle name="20% - Accent5 6 2 4 2" xfId="19239"/>
    <cellStyle name="20% - Accent5 6 2 5" xfId="5957"/>
    <cellStyle name="20% - Accent5 6 2 5 2" xfId="17245"/>
    <cellStyle name="20% - Accent5 6 2 6" xfId="15251"/>
    <cellStyle name="20% - Accent5 6 2 7" xfId="24348"/>
    <cellStyle name="20% - Accent5 6 2 8" xfId="24812"/>
    <cellStyle name="20% - Accent5 6 2 9" xfId="25179"/>
    <cellStyle name="20% - Accent5 6 3" xfId="10942"/>
    <cellStyle name="20% - Accent5 6 3 2" xfId="22230"/>
    <cellStyle name="20% - Accent5 6 4" xfId="8948"/>
    <cellStyle name="20% - Accent5 6 4 2" xfId="20236"/>
    <cellStyle name="20% - Accent5 6 5" xfId="6954"/>
    <cellStyle name="20% - Accent5 6 5 2" xfId="18242"/>
    <cellStyle name="20% - Accent5 6 6" xfId="4960"/>
    <cellStyle name="20% - Accent5 6 6 2" xfId="16248"/>
    <cellStyle name="20% - Accent5 6 7" xfId="14254"/>
    <cellStyle name="20% - Accent5 6 8" xfId="12940"/>
    <cellStyle name="20% - Accent5 6 9" xfId="23960"/>
    <cellStyle name="20% - Accent5 60" xfId="1005"/>
    <cellStyle name="20% - Accent5 60 2" xfId="3961"/>
    <cellStyle name="20% - Accent5 60 2 2" xfId="11940"/>
    <cellStyle name="20% - Accent5 60 2 2 2" xfId="23228"/>
    <cellStyle name="20% - Accent5 60 2 3" xfId="9946"/>
    <cellStyle name="20% - Accent5 60 2 3 2" xfId="21234"/>
    <cellStyle name="20% - Accent5 60 2 4" xfId="7952"/>
    <cellStyle name="20% - Accent5 60 2 4 2" xfId="19240"/>
    <cellStyle name="20% - Accent5 60 2 5" xfId="5958"/>
    <cellStyle name="20% - Accent5 60 2 5 2" xfId="17246"/>
    <cellStyle name="20% - Accent5 60 2 6" xfId="15252"/>
    <cellStyle name="20% - Accent5 60 3" xfId="10943"/>
    <cellStyle name="20% - Accent5 60 3 2" xfId="22231"/>
    <cellStyle name="20% - Accent5 60 4" xfId="8949"/>
    <cellStyle name="20% - Accent5 60 4 2" xfId="20237"/>
    <cellStyle name="20% - Accent5 60 5" xfId="6955"/>
    <cellStyle name="20% - Accent5 60 5 2" xfId="18243"/>
    <cellStyle name="20% - Accent5 60 6" xfId="4961"/>
    <cellStyle name="20% - Accent5 60 6 2" xfId="16249"/>
    <cellStyle name="20% - Accent5 60 7" xfId="14255"/>
    <cellStyle name="20% - Accent5 60 8" xfId="12941"/>
    <cellStyle name="20% - Accent5 61" xfId="1006"/>
    <cellStyle name="20% - Accent5 61 2" xfId="3962"/>
    <cellStyle name="20% - Accent5 61 2 2" xfId="11941"/>
    <cellStyle name="20% - Accent5 61 2 2 2" xfId="23229"/>
    <cellStyle name="20% - Accent5 61 2 3" xfId="9947"/>
    <cellStyle name="20% - Accent5 61 2 3 2" xfId="21235"/>
    <cellStyle name="20% - Accent5 61 2 4" xfId="7953"/>
    <cellStyle name="20% - Accent5 61 2 4 2" xfId="19241"/>
    <cellStyle name="20% - Accent5 61 2 5" xfId="5959"/>
    <cellStyle name="20% - Accent5 61 2 5 2" xfId="17247"/>
    <cellStyle name="20% - Accent5 61 2 6" xfId="15253"/>
    <cellStyle name="20% - Accent5 61 3" xfId="10944"/>
    <cellStyle name="20% - Accent5 61 3 2" xfId="22232"/>
    <cellStyle name="20% - Accent5 61 4" xfId="8950"/>
    <cellStyle name="20% - Accent5 61 4 2" xfId="20238"/>
    <cellStyle name="20% - Accent5 61 5" xfId="6956"/>
    <cellStyle name="20% - Accent5 61 5 2" xfId="18244"/>
    <cellStyle name="20% - Accent5 61 6" xfId="4962"/>
    <cellStyle name="20% - Accent5 61 6 2" xfId="16250"/>
    <cellStyle name="20% - Accent5 61 7" xfId="14256"/>
    <cellStyle name="20% - Accent5 61 8" xfId="12942"/>
    <cellStyle name="20% - Accent5 62" xfId="1007"/>
    <cellStyle name="20% - Accent5 62 2" xfId="3963"/>
    <cellStyle name="20% - Accent5 62 2 2" xfId="11942"/>
    <cellStyle name="20% - Accent5 62 2 2 2" xfId="23230"/>
    <cellStyle name="20% - Accent5 62 2 3" xfId="9948"/>
    <cellStyle name="20% - Accent5 62 2 3 2" xfId="21236"/>
    <cellStyle name="20% - Accent5 62 2 4" xfId="7954"/>
    <cellStyle name="20% - Accent5 62 2 4 2" xfId="19242"/>
    <cellStyle name="20% - Accent5 62 2 5" xfId="5960"/>
    <cellStyle name="20% - Accent5 62 2 5 2" xfId="17248"/>
    <cellStyle name="20% - Accent5 62 2 6" xfId="15254"/>
    <cellStyle name="20% - Accent5 62 3" xfId="10945"/>
    <cellStyle name="20% - Accent5 62 3 2" xfId="22233"/>
    <cellStyle name="20% - Accent5 62 4" xfId="8951"/>
    <cellStyle name="20% - Accent5 62 4 2" xfId="20239"/>
    <cellStyle name="20% - Accent5 62 5" xfId="6957"/>
    <cellStyle name="20% - Accent5 62 5 2" xfId="18245"/>
    <cellStyle name="20% - Accent5 62 6" xfId="4963"/>
    <cellStyle name="20% - Accent5 62 6 2" xfId="16251"/>
    <cellStyle name="20% - Accent5 62 7" xfId="14257"/>
    <cellStyle name="20% - Accent5 62 8" xfId="12943"/>
    <cellStyle name="20% - Accent5 63" xfId="1008"/>
    <cellStyle name="20% - Accent5 63 2" xfId="3964"/>
    <cellStyle name="20% - Accent5 63 2 2" xfId="11943"/>
    <cellStyle name="20% - Accent5 63 2 2 2" xfId="23231"/>
    <cellStyle name="20% - Accent5 63 2 3" xfId="9949"/>
    <cellStyle name="20% - Accent5 63 2 3 2" xfId="21237"/>
    <cellStyle name="20% - Accent5 63 2 4" xfId="7955"/>
    <cellStyle name="20% - Accent5 63 2 4 2" xfId="19243"/>
    <cellStyle name="20% - Accent5 63 2 5" xfId="5961"/>
    <cellStyle name="20% - Accent5 63 2 5 2" xfId="17249"/>
    <cellStyle name="20% - Accent5 63 2 6" xfId="15255"/>
    <cellStyle name="20% - Accent5 63 3" xfId="10946"/>
    <cellStyle name="20% - Accent5 63 3 2" xfId="22234"/>
    <cellStyle name="20% - Accent5 63 4" xfId="8952"/>
    <cellStyle name="20% - Accent5 63 4 2" xfId="20240"/>
    <cellStyle name="20% - Accent5 63 5" xfId="6958"/>
    <cellStyle name="20% - Accent5 63 5 2" xfId="18246"/>
    <cellStyle name="20% - Accent5 63 6" xfId="4964"/>
    <cellStyle name="20% - Accent5 63 6 2" xfId="16252"/>
    <cellStyle name="20% - Accent5 63 7" xfId="14258"/>
    <cellStyle name="20% - Accent5 63 8" xfId="12944"/>
    <cellStyle name="20% - Accent5 64" xfId="1009"/>
    <cellStyle name="20% - Accent5 64 2" xfId="3965"/>
    <cellStyle name="20% - Accent5 64 2 2" xfId="11944"/>
    <cellStyle name="20% - Accent5 64 2 2 2" xfId="23232"/>
    <cellStyle name="20% - Accent5 64 2 3" xfId="9950"/>
    <cellStyle name="20% - Accent5 64 2 3 2" xfId="21238"/>
    <cellStyle name="20% - Accent5 64 2 4" xfId="7956"/>
    <cellStyle name="20% - Accent5 64 2 4 2" xfId="19244"/>
    <cellStyle name="20% - Accent5 64 2 5" xfId="5962"/>
    <cellStyle name="20% - Accent5 64 2 5 2" xfId="17250"/>
    <cellStyle name="20% - Accent5 64 2 6" xfId="15256"/>
    <cellStyle name="20% - Accent5 64 3" xfId="10947"/>
    <cellStyle name="20% - Accent5 64 3 2" xfId="22235"/>
    <cellStyle name="20% - Accent5 64 4" xfId="8953"/>
    <cellStyle name="20% - Accent5 64 4 2" xfId="20241"/>
    <cellStyle name="20% - Accent5 64 5" xfId="6959"/>
    <cellStyle name="20% - Accent5 64 5 2" xfId="18247"/>
    <cellStyle name="20% - Accent5 64 6" xfId="4965"/>
    <cellStyle name="20% - Accent5 64 6 2" xfId="16253"/>
    <cellStyle name="20% - Accent5 64 7" xfId="14259"/>
    <cellStyle name="20% - Accent5 64 8" xfId="12945"/>
    <cellStyle name="20% - Accent5 65" xfId="1010"/>
    <cellStyle name="20% - Accent5 65 2" xfId="3966"/>
    <cellStyle name="20% - Accent5 65 2 2" xfId="11945"/>
    <cellStyle name="20% - Accent5 65 2 2 2" xfId="23233"/>
    <cellStyle name="20% - Accent5 65 2 3" xfId="9951"/>
    <cellStyle name="20% - Accent5 65 2 3 2" xfId="21239"/>
    <cellStyle name="20% - Accent5 65 2 4" xfId="7957"/>
    <cellStyle name="20% - Accent5 65 2 4 2" xfId="19245"/>
    <cellStyle name="20% - Accent5 65 2 5" xfId="5963"/>
    <cellStyle name="20% - Accent5 65 2 5 2" xfId="17251"/>
    <cellStyle name="20% - Accent5 65 2 6" xfId="15257"/>
    <cellStyle name="20% - Accent5 65 3" xfId="10948"/>
    <cellStyle name="20% - Accent5 65 3 2" xfId="22236"/>
    <cellStyle name="20% - Accent5 65 4" xfId="8954"/>
    <cellStyle name="20% - Accent5 65 4 2" xfId="20242"/>
    <cellStyle name="20% - Accent5 65 5" xfId="6960"/>
    <cellStyle name="20% - Accent5 65 5 2" xfId="18248"/>
    <cellStyle name="20% - Accent5 65 6" xfId="4966"/>
    <cellStyle name="20% - Accent5 65 6 2" xfId="16254"/>
    <cellStyle name="20% - Accent5 65 7" xfId="14260"/>
    <cellStyle name="20% - Accent5 65 8" xfId="12946"/>
    <cellStyle name="20% - Accent5 66" xfId="1011"/>
    <cellStyle name="20% - Accent5 66 2" xfId="3967"/>
    <cellStyle name="20% - Accent5 66 2 2" xfId="11946"/>
    <cellStyle name="20% - Accent5 66 2 2 2" xfId="23234"/>
    <cellStyle name="20% - Accent5 66 2 3" xfId="9952"/>
    <cellStyle name="20% - Accent5 66 2 3 2" xfId="21240"/>
    <cellStyle name="20% - Accent5 66 2 4" xfId="7958"/>
    <cellStyle name="20% - Accent5 66 2 4 2" xfId="19246"/>
    <cellStyle name="20% - Accent5 66 2 5" xfId="5964"/>
    <cellStyle name="20% - Accent5 66 2 5 2" xfId="17252"/>
    <cellStyle name="20% - Accent5 66 2 6" xfId="15258"/>
    <cellStyle name="20% - Accent5 66 3" xfId="10949"/>
    <cellStyle name="20% - Accent5 66 3 2" xfId="22237"/>
    <cellStyle name="20% - Accent5 66 4" xfId="8955"/>
    <cellStyle name="20% - Accent5 66 4 2" xfId="20243"/>
    <cellStyle name="20% - Accent5 66 5" xfId="6961"/>
    <cellStyle name="20% - Accent5 66 5 2" xfId="18249"/>
    <cellStyle name="20% - Accent5 66 6" xfId="4967"/>
    <cellStyle name="20% - Accent5 66 6 2" xfId="16255"/>
    <cellStyle name="20% - Accent5 66 7" xfId="14261"/>
    <cellStyle name="20% - Accent5 66 8" xfId="12947"/>
    <cellStyle name="20% - Accent5 67" xfId="1012"/>
    <cellStyle name="20% - Accent5 67 2" xfId="3968"/>
    <cellStyle name="20% - Accent5 67 2 2" xfId="11947"/>
    <cellStyle name="20% - Accent5 67 2 2 2" xfId="23235"/>
    <cellStyle name="20% - Accent5 67 2 3" xfId="9953"/>
    <cellStyle name="20% - Accent5 67 2 3 2" xfId="21241"/>
    <cellStyle name="20% - Accent5 67 2 4" xfId="7959"/>
    <cellStyle name="20% - Accent5 67 2 4 2" xfId="19247"/>
    <cellStyle name="20% - Accent5 67 2 5" xfId="5965"/>
    <cellStyle name="20% - Accent5 67 2 5 2" xfId="17253"/>
    <cellStyle name="20% - Accent5 67 2 6" xfId="15259"/>
    <cellStyle name="20% - Accent5 67 3" xfId="10950"/>
    <cellStyle name="20% - Accent5 67 3 2" xfId="22238"/>
    <cellStyle name="20% - Accent5 67 4" xfId="8956"/>
    <cellStyle name="20% - Accent5 67 4 2" xfId="20244"/>
    <cellStyle name="20% - Accent5 67 5" xfId="6962"/>
    <cellStyle name="20% - Accent5 67 5 2" xfId="18250"/>
    <cellStyle name="20% - Accent5 67 6" xfId="4968"/>
    <cellStyle name="20% - Accent5 67 6 2" xfId="16256"/>
    <cellStyle name="20% - Accent5 67 7" xfId="14262"/>
    <cellStyle name="20% - Accent5 67 8" xfId="12948"/>
    <cellStyle name="20% - Accent5 68" xfId="1013"/>
    <cellStyle name="20% - Accent5 68 2" xfId="3969"/>
    <cellStyle name="20% - Accent5 68 2 2" xfId="11948"/>
    <cellStyle name="20% - Accent5 68 2 2 2" xfId="23236"/>
    <cellStyle name="20% - Accent5 68 2 3" xfId="9954"/>
    <cellStyle name="20% - Accent5 68 2 3 2" xfId="21242"/>
    <cellStyle name="20% - Accent5 68 2 4" xfId="7960"/>
    <cellStyle name="20% - Accent5 68 2 4 2" xfId="19248"/>
    <cellStyle name="20% - Accent5 68 2 5" xfId="5966"/>
    <cellStyle name="20% - Accent5 68 2 5 2" xfId="17254"/>
    <cellStyle name="20% - Accent5 68 2 6" xfId="15260"/>
    <cellStyle name="20% - Accent5 68 3" xfId="10951"/>
    <cellStyle name="20% - Accent5 68 3 2" xfId="22239"/>
    <cellStyle name="20% - Accent5 68 4" xfId="8957"/>
    <cellStyle name="20% - Accent5 68 4 2" xfId="20245"/>
    <cellStyle name="20% - Accent5 68 5" xfId="6963"/>
    <cellStyle name="20% - Accent5 68 5 2" xfId="18251"/>
    <cellStyle name="20% - Accent5 68 6" xfId="4969"/>
    <cellStyle name="20% - Accent5 68 6 2" xfId="16257"/>
    <cellStyle name="20% - Accent5 68 7" xfId="14263"/>
    <cellStyle name="20% - Accent5 68 8" xfId="12949"/>
    <cellStyle name="20% - Accent5 69" xfId="1014"/>
    <cellStyle name="20% - Accent5 69 2" xfId="3970"/>
    <cellStyle name="20% - Accent5 69 2 2" xfId="11949"/>
    <cellStyle name="20% - Accent5 69 2 2 2" xfId="23237"/>
    <cellStyle name="20% - Accent5 69 2 3" xfId="9955"/>
    <cellStyle name="20% - Accent5 69 2 3 2" xfId="21243"/>
    <cellStyle name="20% - Accent5 69 2 4" xfId="7961"/>
    <cellStyle name="20% - Accent5 69 2 4 2" xfId="19249"/>
    <cellStyle name="20% - Accent5 69 2 5" xfId="5967"/>
    <cellStyle name="20% - Accent5 69 2 5 2" xfId="17255"/>
    <cellStyle name="20% - Accent5 69 2 6" xfId="15261"/>
    <cellStyle name="20% - Accent5 69 3" xfId="10952"/>
    <cellStyle name="20% - Accent5 69 3 2" xfId="22240"/>
    <cellStyle name="20% - Accent5 69 4" xfId="8958"/>
    <cellStyle name="20% - Accent5 69 4 2" xfId="20246"/>
    <cellStyle name="20% - Accent5 69 5" xfId="6964"/>
    <cellStyle name="20% - Accent5 69 5 2" xfId="18252"/>
    <cellStyle name="20% - Accent5 69 6" xfId="4970"/>
    <cellStyle name="20% - Accent5 69 6 2" xfId="16258"/>
    <cellStyle name="20% - Accent5 69 7" xfId="14264"/>
    <cellStyle name="20% - Accent5 69 8" xfId="12950"/>
    <cellStyle name="20% - Accent5 7" xfId="1015"/>
    <cellStyle name="20% - Accent5 7 10" xfId="24588"/>
    <cellStyle name="20% - Accent5 7 11" xfId="24978"/>
    <cellStyle name="20% - Accent5 7 2" xfId="3971"/>
    <cellStyle name="20% - Accent5 7 2 2" xfId="11950"/>
    <cellStyle name="20% - Accent5 7 2 2 2" xfId="23238"/>
    <cellStyle name="20% - Accent5 7 2 3" xfId="9956"/>
    <cellStyle name="20% - Accent5 7 2 3 2" xfId="21244"/>
    <cellStyle name="20% - Accent5 7 2 4" xfId="7962"/>
    <cellStyle name="20% - Accent5 7 2 4 2" xfId="19250"/>
    <cellStyle name="20% - Accent5 7 2 5" xfId="5968"/>
    <cellStyle name="20% - Accent5 7 2 5 2" xfId="17256"/>
    <cellStyle name="20% - Accent5 7 2 6" xfId="15262"/>
    <cellStyle name="20% - Accent5 7 2 7" xfId="24349"/>
    <cellStyle name="20% - Accent5 7 2 8" xfId="24813"/>
    <cellStyle name="20% - Accent5 7 2 9" xfId="25180"/>
    <cellStyle name="20% - Accent5 7 3" xfId="10953"/>
    <cellStyle name="20% - Accent5 7 3 2" xfId="22241"/>
    <cellStyle name="20% - Accent5 7 4" xfId="8959"/>
    <cellStyle name="20% - Accent5 7 4 2" xfId="20247"/>
    <cellStyle name="20% - Accent5 7 5" xfId="6965"/>
    <cellStyle name="20% - Accent5 7 5 2" xfId="18253"/>
    <cellStyle name="20% - Accent5 7 6" xfId="4971"/>
    <cellStyle name="20% - Accent5 7 6 2" xfId="16259"/>
    <cellStyle name="20% - Accent5 7 7" xfId="14265"/>
    <cellStyle name="20% - Accent5 7 8" xfId="12951"/>
    <cellStyle name="20% - Accent5 7 9" xfId="23961"/>
    <cellStyle name="20% - Accent5 70" xfId="1016"/>
    <cellStyle name="20% - Accent5 70 2" xfId="3972"/>
    <cellStyle name="20% - Accent5 70 2 2" xfId="11951"/>
    <cellStyle name="20% - Accent5 70 2 2 2" xfId="23239"/>
    <cellStyle name="20% - Accent5 70 2 3" xfId="9957"/>
    <cellStyle name="20% - Accent5 70 2 3 2" xfId="21245"/>
    <cellStyle name="20% - Accent5 70 2 4" xfId="7963"/>
    <cellStyle name="20% - Accent5 70 2 4 2" xfId="19251"/>
    <cellStyle name="20% - Accent5 70 2 5" xfId="5969"/>
    <cellStyle name="20% - Accent5 70 2 5 2" xfId="17257"/>
    <cellStyle name="20% - Accent5 70 2 6" xfId="15263"/>
    <cellStyle name="20% - Accent5 70 3" xfId="10954"/>
    <cellStyle name="20% - Accent5 70 3 2" xfId="22242"/>
    <cellStyle name="20% - Accent5 70 4" xfId="8960"/>
    <cellStyle name="20% - Accent5 70 4 2" xfId="20248"/>
    <cellStyle name="20% - Accent5 70 5" xfId="6966"/>
    <cellStyle name="20% - Accent5 70 5 2" xfId="18254"/>
    <cellStyle name="20% - Accent5 70 6" xfId="4972"/>
    <cellStyle name="20% - Accent5 70 6 2" xfId="16260"/>
    <cellStyle name="20% - Accent5 70 7" xfId="14266"/>
    <cellStyle name="20% - Accent5 70 8" xfId="12952"/>
    <cellStyle name="20% - Accent5 71" xfId="1017"/>
    <cellStyle name="20% - Accent5 71 2" xfId="3973"/>
    <cellStyle name="20% - Accent5 71 2 2" xfId="11952"/>
    <cellStyle name="20% - Accent5 71 2 2 2" xfId="23240"/>
    <cellStyle name="20% - Accent5 71 2 3" xfId="9958"/>
    <cellStyle name="20% - Accent5 71 2 3 2" xfId="21246"/>
    <cellStyle name="20% - Accent5 71 2 4" xfId="7964"/>
    <cellStyle name="20% - Accent5 71 2 4 2" xfId="19252"/>
    <cellStyle name="20% - Accent5 71 2 5" xfId="5970"/>
    <cellStyle name="20% - Accent5 71 2 5 2" xfId="17258"/>
    <cellStyle name="20% - Accent5 71 2 6" xfId="15264"/>
    <cellStyle name="20% - Accent5 71 3" xfId="10955"/>
    <cellStyle name="20% - Accent5 71 3 2" xfId="22243"/>
    <cellStyle name="20% - Accent5 71 4" xfId="8961"/>
    <cellStyle name="20% - Accent5 71 4 2" xfId="20249"/>
    <cellStyle name="20% - Accent5 71 5" xfId="6967"/>
    <cellStyle name="20% - Accent5 71 5 2" xfId="18255"/>
    <cellStyle name="20% - Accent5 71 6" xfId="4973"/>
    <cellStyle name="20% - Accent5 71 6 2" xfId="16261"/>
    <cellStyle name="20% - Accent5 71 7" xfId="14267"/>
    <cellStyle name="20% - Accent5 71 8" xfId="12953"/>
    <cellStyle name="20% - Accent5 72" xfId="1018"/>
    <cellStyle name="20% - Accent5 72 2" xfId="3974"/>
    <cellStyle name="20% - Accent5 72 2 2" xfId="11953"/>
    <cellStyle name="20% - Accent5 72 2 2 2" xfId="23241"/>
    <cellStyle name="20% - Accent5 72 2 3" xfId="9959"/>
    <cellStyle name="20% - Accent5 72 2 3 2" xfId="21247"/>
    <cellStyle name="20% - Accent5 72 2 4" xfId="7965"/>
    <cellStyle name="20% - Accent5 72 2 4 2" xfId="19253"/>
    <cellStyle name="20% - Accent5 72 2 5" xfId="5971"/>
    <cellStyle name="20% - Accent5 72 2 5 2" xfId="17259"/>
    <cellStyle name="20% - Accent5 72 2 6" xfId="15265"/>
    <cellStyle name="20% - Accent5 72 3" xfId="10956"/>
    <cellStyle name="20% - Accent5 72 3 2" xfId="22244"/>
    <cellStyle name="20% - Accent5 72 4" xfId="8962"/>
    <cellStyle name="20% - Accent5 72 4 2" xfId="20250"/>
    <cellStyle name="20% - Accent5 72 5" xfId="6968"/>
    <cellStyle name="20% - Accent5 72 5 2" xfId="18256"/>
    <cellStyle name="20% - Accent5 72 6" xfId="4974"/>
    <cellStyle name="20% - Accent5 72 6 2" xfId="16262"/>
    <cellStyle name="20% - Accent5 72 7" xfId="14268"/>
    <cellStyle name="20% - Accent5 72 8" xfId="12954"/>
    <cellStyle name="20% - Accent5 8" xfId="1019"/>
    <cellStyle name="20% - Accent5 8 2" xfId="3975"/>
    <cellStyle name="20% - Accent5 8 2 2" xfId="11954"/>
    <cellStyle name="20% - Accent5 8 2 2 2" xfId="23242"/>
    <cellStyle name="20% - Accent5 8 2 3" xfId="9960"/>
    <cellStyle name="20% - Accent5 8 2 3 2" xfId="21248"/>
    <cellStyle name="20% - Accent5 8 2 4" xfId="7966"/>
    <cellStyle name="20% - Accent5 8 2 4 2" xfId="19254"/>
    <cellStyle name="20% - Accent5 8 2 5" xfId="5972"/>
    <cellStyle name="20% - Accent5 8 2 5 2" xfId="17260"/>
    <cellStyle name="20% - Accent5 8 2 6" xfId="15266"/>
    <cellStyle name="20% - Accent5 8 3" xfId="10957"/>
    <cellStyle name="20% - Accent5 8 3 2" xfId="22245"/>
    <cellStyle name="20% - Accent5 8 4" xfId="8963"/>
    <cellStyle name="20% - Accent5 8 4 2" xfId="20251"/>
    <cellStyle name="20% - Accent5 8 5" xfId="6969"/>
    <cellStyle name="20% - Accent5 8 5 2" xfId="18257"/>
    <cellStyle name="20% - Accent5 8 6" xfId="4975"/>
    <cellStyle name="20% - Accent5 8 6 2" xfId="16263"/>
    <cellStyle name="20% - Accent5 8 7" xfId="14269"/>
    <cellStyle name="20% - Accent5 8 8" xfId="12955"/>
    <cellStyle name="20% - Accent5 9" xfId="1020"/>
    <cellStyle name="20% - Accent5 9 2" xfId="3976"/>
    <cellStyle name="20% - Accent5 9 2 2" xfId="11955"/>
    <cellStyle name="20% - Accent5 9 2 2 2" xfId="23243"/>
    <cellStyle name="20% - Accent5 9 2 3" xfId="9961"/>
    <cellStyle name="20% - Accent5 9 2 3 2" xfId="21249"/>
    <cellStyle name="20% - Accent5 9 2 4" xfId="7967"/>
    <cellStyle name="20% - Accent5 9 2 4 2" xfId="19255"/>
    <cellStyle name="20% - Accent5 9 2 5" xfId="5973"/>
    <cellStyle name="20% - Accent5 9 2 5 2" xfId="17261"/>
    <cellStyle name="20% - Accent5 9 2 6" xfId="15267"/>
    <cellStyle name="20% - Accent5 9 3" xfId="10958"/>
    <cellStyle name="20% - Accent5 9 3 2" xfId="22246"/>
    <cellStyle name="20% - Accent5 9 4" xfId="8964"/>
    <cellStyle name="20% - Accent5 9 4 2" xfId="20252"/>
    <cellStyle name="20% - Accent5 9 5" xfId="6970"/>
    <cellStyle name="20% - Accent5 9 5 2" xfId="18258"/>
    <cellStyle name="20% - Accent5 9 6" xfId="4976"/>
    <cellStyle name="20% - Accent5 9 6 2" xfId="16264"/>
    <cellStyle name="20% - Accent5 9 7" xfId="14270"/>
    <cellStyle name="20% - Accent5 9 8" xfId="12956"/>
    <cellStyle name="20% - Accent6 10" xfId="1021"/>
    <cellStyle name="20% - Accent6 10 2" xfId="3977"/>
    <cellStyle name="20% - Accent6 10 2 2" xfId="11956"/>
    <cellStyle name="20% - Accent6 10 2 2 2" xfId="23244"/>
    <cellStyle name="20% - Accent6 10 2 3" xfId="9962"/>
    <cellStyle name="20% - Accent6 10 2 3 2" xfId="21250"/>
    <cellStyle name="20% - Accent6 10 2 4" xfId="7968"/>
    <cellStyle name="20% - Accent6 10 2 4 2" xfId="19256"/>
    <cellStyle name="20% - Accent6 10 2 5" xfId="5974"/>
    <cellStyle name="20% - Accent6 10 2 5 2" xfId="17262"/>
    <cellStyle name="20% - Accent6 10 2 6" xfId="15268"/>
    <cellStyle name="20% - Accent6 10 3" xfId="10959"/>
    <cellStyle name="20% - Accent6 10 3 2" xfId="22247"/>
    <cellStyle name="20% - Accent6 10 4" xfId="8965"/>
    <cellStyle name="20% - Accent6 10 4 2" xfId="20253"/>
    <cellStyle name="20% - Accent6 10 5" xfId="6971"/>
    <cellStyle name="20% - Accent6 10 5 2" xfId="18259"/>
    <cellStyle name="20% - Accent6 10 6" xfId="4977"/>
    <cellStyle name="20% - Accent6 10 6 2" xfId="16265"/>
    <cellStyle name="20% - Accent6 10 7" xfId="14271"/>
    <cellStyle name="20% - Accent6 10 8" xfId="12957"/>
    <cellStyle name="20% - Accent6 11" xfId="1022"/>
    <cellStyle name="20% - Accent6 11 2" xfId="3978"/>
    <cellStyle name="20% - Accent6 11 2 2" xfId="11957"/>
    <cellStyle name="20% - Accent6 11 2 2 2" xfId="23245"/>
    <cellStyle name="20% - Accent6 11 2 3" xfId="9963"/>
    <cellStyle name="20% - Accent6 11 2 3 2" xfId="21251"/>
    <cellStyle name="20% - Accent6 11 2 4" xfId="7969"/>
    <cellStyle name="20% - Accent6 11 2 4 2" xfId="19257"/>
    <cellStyle name="20% - Accent6 11 2 5" xfId="5975"/>
    <cellStyle name="20% - Accent6 11 2 5 2" xfId="17263"/>
    <cellStyle name="20% - Accent6 11 2 6" xfId="15269"/>
    <cellStyle name="20% - Accent6 11 3" xfId="10960"/>
    <cellStyle name="20% - Accent6 11 3 2" xfId="22248"/>
    <cellStyle name="20% - Accent6 11 4" xfId="8966"/>
    <cellStyle name="20% - Accent6 11 4 2" xfId="20254"/>
    <cellStyle name="20% - Accent6 11 5" xfId="6972"/>
    <cellStyle name="20% - Accent6 11 5 2" xfId="18260"/>
    <cellStyle name="20% - Accent6 11 6" xfId="4978"/>
    <cellStyle name="20% - Accent6 11 6 2" xfId="16266"/>
    <cellStyle name="20% - Accent6 11 7" xfId="14272"/>
    <cellStyle name="20% - Accent6 11 8" xfId="12958"/>
    <cellStyle name="20% - Accent6 12" xfId="1023"/>
    <cellStyle name="20% - Accent6 12 2" xfId="3979"/>
    <cellStyle name="20% - Accent6 12 2 2" xfId="11958"/>
    <cellStyle name="20% - Accent6 12 2 2 2" xfId="23246"/>
    <cellStyle name="20% - Accent6 12 2 3" xfId="9964"/>
    <cellStyle name="20% - Accent6 12 2 3 2" xfId="21252"/>
    <cellStyle name="20% - Accent6 12 2 4" xfId="7970"/>
    <cellStyle name="20% - Accent6 12 2 4 2" xfId="19258"/>
    <cellStyle name="20% - Accent6 12 2 5" xfId="5976"/>
    <cellStyle name="20% - Accent6 12 2 5 2" xfId="17264"/>
    <cellStyle name="20% - Accent6 12 2 6" xfId="15270"/>
    <cellStyle name="20% - Accent6 12 3" xfId="10961"/>
    <cellStyle name="20% - Accent6 12 3 2" xfId="22249"/>
    <cellStyle name="20% - Accent6 12 4" xfId="8967"/>
    <cellStyle name="20% - Accent6 12 4 2" xfId="20255"/>
    <cellStyle name="20% - Accent6 12 5" xfId="6973"/>
    <cellStyle name="20% - Accent6 12 5 2" xfId="18261"/>
    <cellStyle name="20% - Accent6 12 6" xfId="4979"/>
    <cellStyle name="20% - Accent6 12 6 2" xfId="16267"/>
    <cellStyle name="20% - Accent6 12 7" xfId="14273"/>
    <cellStyle name="20% - Accent6 12 8" xfId="12959"/>
    <cellStyle name="20% - Accent6 13" xfId="1024"/>
    <cellStyle name="20% - Accent6 13 2" xfId="3980"/>
    <cellStyle name="20% - Accent6 13 2 2" xfId="11959"/>
    <cellStyle name="20% - Accent6 13 2 2 2" xfId="23247"/>
    <cellStyle name="20% - Accent6 13 2 3" xfId="9965"/>
    <cellStyle name="20% - Accent6 13 2 3 2" xfId="21253"/>
    <cellStyle name="20% - Accent6 13 2 4" xfId="7971"/>
    <cellStyle name="20% - Accent6 13 2 4 2" xfId="19259"/>
    <cellStyle name="20% - Accent6 13 2 5" xfId="5977"/>
    <cellStyle name="20% - Accent6 13 2 5 2" xfId="17265"/>
    <cellStyle name="20% - Accent6 13 2 6" xfId="15271"/>
    <cellStyle name="20% - Accent6 13 3" xfId="10962"/>
    <cellStyle name="20% - Accent6 13 3 2" xfId="22250"/>
    <cellStyle name="20% - Accent6 13 4" xfId="8968"/>
    <cellStyle name="20% - Accent6 13 4 2" xfId="20256"/>
    <cellStyle name="20% - Accent6 13 5" xfId="6974"/>
    <cellStyle name="20% - Accent6 13 5 2" xfId="18262"/>
    <cellStyle name="20% - Accent6 13 6" xfId="4980"/>
    <cellStyle name="20% - Accent6 13 6 2" xfId="16268"/>
    <cellStyle name="20% - Accent6 13 7" xfId="14274"/>
    <cellStyle name="20% - Accent6 13 8" xfId="12960"/>
    <cellStyle name="20% - Accent6 14" xfId="1025"/>
    <cellStyle name="20% - Accent6 14 2" xfId="3981"/>
    <cellStyle name="20% - Accent6 14 2 2" xfId="11960"/>
    <cellStyle name="20% - Accent6 14 2 2 2" xfId="23248"/>
    <cellStyle name="20% - Accent6 14 2 3" xfId="9966"/>
    <cellStyle name="20% - Accent6 14 2 3 2" xfId="21254"/>
    <cellStyle name="20% - Accent6 14 2 4" xfId="7972"/>
    <cellStyle name="20% - Accent6 14 2 4 2" xfId="19260"/>
    <cellStyle name="20% - Accent6 14 2 5" xfId="5978"/>
    <cellStyle name="20% - Accent6 14 2 5 2" xfId="17266"/>
    <cellStyle name="20% - Accent6 14 2 6" xfId="15272"/>
    <cellStyle name="20% - Accent6 14 3" xfId="10963"/>
    <cellStyle name="20% - Accent6 14 3 2" xfId="22251"/>
    <cellStyle name="20% - Accent6 14 4" xfId="8969"/>
    <cellStyle name="20% - Accent6 14 4 2" xfId="20257"/>
    <cellStyle name="20% - Accent6 14 5" xfId="6975"/>
    <cellStyle name="20% - Accent6 14 5 2" xfId="18263"/>
    <cellStyle name="20% - Accent6 14 6" xfId="4981"/>
    <cellStyle name="20% - Accent6 14 6 2" xfId="16269"/>
    <cellStyle name="20% - Accent6 14 7" xfId="14275"/>
    <cellStyle name="20% - Accent6 14 8" xfId="12961"/>
    <cellStyle name="20% - Accent6 15" xfId="1026"/>
    <cellStyle name="20% - Accent6 15 2" xfId="3982"/>
    <cellStyle name="20% - Accent6 15 2 2" xfId="11961"/>
    <cellStyle name="20% - Accent6 15 2 2 2" xfId="23249"/>
    <cellStyle name="20% - Accent6 15 2 3" xfId="9967"/>
    <cellStyle name="20% - Accent6 15 2 3 2" xfId="21255"/>
    <cellStyle name="20% - Accent6 15 2 4" xfId="7973"/>
    <cellStyle name="20% - Accent6 15 2 4 2" xfId="19261"/>
    <cellStyle name="20% - Accent6 15 2 5" xfId="5979"/>
    <cellStyle name="20% - Accent6 15 2 5 2" xfId="17267"/>
    <cellStyle name="20% - Accent6 15 2 6" xfId="15273"/>
    <cellStyle name="20% - Accent6 15 3" xfId="10964"/>
    <cellStyle name="20% - Accent6 15 3 2" xfId="22252"/>
    <cellStyle name="20% - Accent6 15 4" xfId="8970"/>
    <cellStyle name="20% - Accent6 15 4 2" xfId="20258"/>
    <cellStyle name="20% - Accent6 15 5" xfId="6976"/>
    <cellStyle name="20% - Accent6 15 5 2" xfId="18264"/>
    <cellStyle name="20% - Accent6 15 6" xfId="4982"/>
    <cellStyle name="20% - Accent6 15 6 2" xfId="16270"/>
    <cellStyle name="20% - Accent6 15 7" xfId="14276"/>
    <cellStyle name="20% - Accent6 15 8" xfId="12962"/>
    <cellStyle name="20% - Accent6 16" xfId="1027"/>
    <cellStyle name="20% - Accent6 16 2" xfId="3983"/>
    <cellStyle name="20% - Accent6 16 2 2" xfId="11962"/>
    <cellStyle name="20% - Accent6 16 2 2 2" xfId="23250"/>
    <cellStyle name="20% - Accent6 16 2 3" xfId="9968"/>
    <cellStyle name="20% - Accent6 16 2 3 2" xfId="21256"/>
    <cellStyle name="20% - Accent6 16 2 4" xfId="7974"/>
    <cellStyle name="20% - Accent6 16 2 4 2" xfId="19262"/>
    <cellStyle name="20% - Accent6 16 2 5" xfId="5980"/>
    <cellStyle name="20% - Accent6 16 2 5 2" xfId="17268"/>
    <cellStyle name="20% - Accent6 16 2 6" xfId="15274"/>
    <cellStyle name="20% - Accent6 16 3" xfId="10965"/>
    <cellStyle name="20% - Accent6 16 3 2" xfId="22253"/>
    <cellStyle name="20% - Accent6 16 4" xfId="8971"/>
    <cellStyle name="20% - Accent6 16 4 2" xfId="20259"/>
    <cellStyle name="20% - Accent6 16 5" xfId="6977"/>
    <cellStyle name="20% - Accent6 16 5 2" xfId="18265"/>
    <cellStyle name="20% - Accent6 16 6" xfId="4983"/>
    <cellStyle name="20% - Accent6 16 6 2" xfId="16271"/>
    <cellStyle name="20% - Accent6 16 7" xfId="14277"/>
    <cellStyle name="20% - Accent6 16 8" xfId="12963"/>
    <cellStyle name="20% - Accent6 17" xfId="1028"/>
    <cellStyle name="20% - Accent6 17 2" xfId="3984"/>
    <cellStyle name="20% - Accent6 17 2 2" xfId="11963"/>
    <cellStyle name="20% - Accent6 17 2 2 2" xfId="23251"/>
    <cellStyle name="20% - Accent6 17 2 3" xfId="9969"/>
    <cellStyle name="20% - Accent6 17 2 3 2" xfId="21257"/>
    <cellStyle name="20% - Accent6 17 2 4" xfId="7975"/>
    <cellStyle name="20% - Accent6 17 2 4 2" xfId="19263"/>
    <cellStyle name="20% - Accent6 17 2 5" xfId="5981"/>
    <cellStyle name="20% - Accent6 17 2 5 2" xfId="17269"/>
    <cellStyle name="20% - Accent6 17 2 6" xfId="15275"/>
    <cellStyle name="20% - Accent6 17 3" xfId="10966"/>
    <cellStyle name="20% - Accent6 17 3 2" xfId="22254"/>
    <cellStyle name="20% - Accent6 17 4" xfId="8972"/>
    <cellStyle name="20% - Accent6 17 4 2" xfId="20260"/>
    <cellStyle name="20% - Accent6 17 5" xfId="6978"/>
    <cellStyle name="20% - Accent6 17 5 2" xfId="18266"/>
    <cellStyle name="20% - Accent6 17 6" xfId="4984"/>
    <cellStyle name="20% - Accent6 17 6 2" xfId="16272"/>
    <cellStyle name="20% - Accent6 17 7" xfId="14278"/>
    <cellStyle name="20% - Accent6 17 8" xfId="12964"/>
    <cellStyle name="20% - Accent6 18" xfId="1029"/>
    <cellStyle name="20% - Accent6 18 2" xfId="3985"/>
    <cellStyle name="20% - Accent6 18 2 2" xfId="11964"/>
    <cellStyle name="20% - Accent6 18 2 2 2" xfId="23252"/>
    <cellStyle name="20% - Accent6 18 2 3" xfId="9970"/>
    <cellStyle name="20% - Accent6 18 2 3 2" xfId="21258"/>
    <cellStyle name="20% - Accent6 18 2 4" xfId="7976"/>
    <cellStyle name="20% - Accent6 18 2 4 2" xfId="19264"/>
    <cellStyle name="20% - Accent6 18 2 5" xfId="5982"/>
    <cellStyle name="20% - Accent6 18 2 5 2" xfId="17270"/>
    <cellStyle name="20% - Accent6 18 2 6" xfId="15276"/>
    <cellStyle name="20% - Accent6 18 3" xfId="10967"/>
    <cellStyle name="20% - Accent6 18 3 2" xfId="22255"/>
    <cellStyle name="20% - Accent6 18 4" xfId="8973"/>
    <cellStyle name="20% - Accent6 18 4 2" xfId="20261"/>
    <cellStyle name="20% - Accent6 18 5" xfId="6979"/>
    <cellStyle name="20% - Accent6 18 5 2" xfId="18267"/>
    <cellStyle name="20% - Accent6 18 6" xfId="4985"/>
    <cellStyle name="20% - Accent6 18 6 2" xfId="16273"/>
    <cellStyle name="20% - Accent6 18 7" xfId="14279"/>
    <cellStyle name="20% - Accent6 18 8" xfId="12965"/>
    <cellStyle name="20% - Accent6 19" xfId="1030"/>
    <cellStyle name="20% - Accent6 19 2" xfId="3986"/>
    <cellStyle name="20% - Accent6 19 2 2" xfId="11965"/>
    <cellStyle name="20% - Accent6 19 2 2 2" xfId="23253"/>
    <cellStyle name="20% - Accent6 19 2 3" xfId="9971"/>
    <cellStyle name="20% - Accent6 19 2 3 2" xfId="21259"/>
    <cellStyle name="20% - Accent6 19 2 4" xfId="7977"/>
    <cellStyle name="20% - Accent6 19 2 4 2" xfId="19265"/>
    <cellStyle name="20% - Accent6 19 2 5" xfId="5983"/>
    <cellStyle name="20% - Accent6 19 2 5 2" xfId="17271"/>
    <cellStyle name="20% - Accent6 19 2 6" xfId="15277"/>
    <cellStyle name="20% - Accent6 19 3" xfId="10968"/>
    <cellStyle name="20% - Accent6 19 3 2" xfId="22256"/>
    <cellStyle name="20% - Accent6 19 4" xfId="8974"/>
    <cellStyle name="20% - Accent6 19 4 2" xfId="20262"/>
    <cellStyle name="20% - Accent6 19 5" xfId="6980"/>
    <cellStyle name="20% - Accent6 19 5 2" xfId="18268"/>
    <cellStyle name="20% - Accent6 19 6" xfId="4986"/>
    <cellStyle name="20% - Accent6 19 6 2" xfId="16274"/>
    <cellStyle name="20% - Accent6 19 7" xfId="14280"/>
    <cellStyle name="20% - Accent6 19 8" xfId="12966"/>
    <cellStyle name="20% - Accent6 2" xfId="1031"/>
    <cellStyle name="20% - Accent6 2 10" xfId="24589"/>
    <cellStyle name="20% - Accent6 2 11" xfId="24979"/>
    <cellStyle name="20% - Accent6 2 2" xfId="3987"/>
    <cellStyle name="20% - Accent6 2 2 2" xfId="11966"/>
    <cellStyle name="20% - Accent6 2 2 2 2" xfId="23254"/>
    <cellStyle name="20% - Accent6 2 2 3" xfId="9972"/>
    <cellStyle name="20% - Accent6 2 2 3 2" xfId="21260"/>
    <cellStyle name="20% - Accent6 2 2 4" xfId="7978"/>
    <cellStyle name="20% - Accent6 2 2 4 2" xfId="19266"/>
    <cellStyle name="20% - Accent6 2 2 5" xfId="5984"/>
    <cellStyle name="20% - Accent6 2 2 5 2" xfId="17272"/>
    <cellStyle name="20% - Accent6 2 2 6" xfId="15278"/>
    <cellStyle name="20% - Accent6 2 2 7" xfId="24350"/>
    <cellStyle name="20% - Accent6 2 2 8" xfId="24814"/>
    <cellStyle name="20% - Accent6 2 2 9" xfId="25181"/>
    <cellStyle name="20% - Accent6 2 3" xfId="10969"/>
    <cellStyle name="20% - Accent6 2 3 2" xfId="22257"/>
    <cellStyle name="20% - Accent6 2 4" xfId="8975"/>
    <cellStyle name="20% - Accent6 2 4 2" xfId="20263"/>
    <cellStyle name="20% - Accent6 2 5" xfId="6981"/>
    <cellStyle name="20% - Accent6 2 5 2" xfId="18269"/>
    <cellStyle name="20% - Accent6 2 6" xfId="4987"/>
    <cellStyle name="20% - Accent6 2 6 2" xfId="16275"/>
    <cellStyle name="20% - Accent6 2 7" xfId="14281"/>
    <cellStyle name="20% - Accent6 2 8" xfId="12967"/>
    <cellStyle name="20% - Accent6 2 9" xfId="23962"/>
    <cellStyle name="20% - Accent6 20" xfId="1032"/>
    <cellStyle name="20% - Accent6 20 2" xfId="3988"/>
    <cellStyle name="20% - Accent6 20 2 2" xfId="11967"/>
    <cellStyle name="20% - Accent6 20 2 2 2" xfId="23255"/>
    <cellStyle name="20% - Accent6 20 2 3" xfId="9973"/>
    <cellStyle name="20% - Accent6 20 2 3 2" xfId="21261"/>
    <cellStyle name="20% - Accent6 20 2 4" xfId="7979"/>
    <cellStyle name="20% - Accent6 20 2 4 2" xfId="19267"/>
    <cellStyle name="20% - Accent6 20 2 5" xfId="5985"/>
    <cellStyle name="20% - Accent6 20 2 5 2" xfId="17273"/>
    <cellStyle name="20% - Accent6 20 2 6" xfId="15279"/>
    <cellStyle name="20% - Accent6 20 3" xfId="10970"/>
    <cellStyle name="20% - Accent6 20 3 2" xfId="22258"/>
    <cellStyle name="20% - Accent6 20 4" xfId="8976"/>
    <cellStyle name="20% - Accent6 20 4 2" xfId="20264"/>
    <cellStyle name="20% - Accent6 20 5" xfId="6982"/>
    <cellStyle name="20% - Accent6 20 5 2" xfId="18270"/>
    <cellStyle name="20% - Accent6 20 6" xfId="4988"/>
    <cellStyle name="20% - Accent6 20 6 2" xfId="16276"/>
    <cellStyle name="20% - Accent6 20 7" xfId="14282"/>
    <cellStyle name="20% - Accent6 20 8" xfId="12968"/>
    <cellStyle name="20% - Accent6 21" xfId="1033"/>
    <cellStyle name="20% - Accent6 21 2" xfId="3989"/>
    <cellStyle name="20% - Accent6 21 2 2" xfId="11968"/>
    <cellStyle name="20% - Accent6 21 2 2 2" xfId="23256"/>
    <cellStyle name="20% - Accent6 21 2 3" xfId="9974"/>
    <cellStyle name="20% - Accent6 21 2 3 2" xfId="21262"/>
    <cellStyle name="20% - Accent6 21 2 4" xfId="7980"/>
    <cellStyle name="20% - Accent6 21 2 4 2" xfId="19268"/>
    <cellStyle name="20% - Accent6 21 2 5" xfId="5986"/>
    <cellStyle name="20% - Accent6 21 2 5 2" xfId="17274"/>
    <cellStyle name="20% - Accent6 21 2 6" xfId="15280"/>
    <cellStyle name="20% - Accent6 21 3" xfId="10971"/>
    <cellStyle name="20% - Accent6 21 3 2" xfId="22259"/>
    <cellStyle name="20% - Accent6 21 4" xfId="8977"/>
    <cellStyle name="20% - Accent6 21 4 2" xfId="20265"/>
    <cellStyle name="20% - Accent6 21 5" xfId="6983"/>
    <cellStyle name="20% - Accent6 21 5 2" xfId="18271"/>
    <cellStyle name="20% - Accent6 21 6" xfId="4989"/>
    <cellStyle name="20% - Accent6 21 6 2" xfId="16277"/>
    <cellStyle name="20% - Accent6 21 7" xfId="14283"/>
    <cellStyle name="20% - Accent6 21 8" xfId="12969"/>
    <cellStyle name="20% - Accent6 22" xfId="1034"/>
    <cellStyle name="20% - Accent6 22 2" xfId="3990"/>
    <cellStyle name="20% - Accent6 22 2 2" xfId="11969"/>
    <cellStyle name="20% - Accent6 22 2 2 2" xfId="23257"/>
    <cellStyle name="20% - Accent6 22 2 3" xfId="9975"/>
    <cellStyle name="20% - Accent6 22 2 3 2" xfId="21263"/>
    <cellStyle name="20% - Accent6 22 2 4" xfId="7981"/>
    <cellStyle name="20% - Accent6 22 2 4 2" xfId="19269"/>
    <cellStyle name="20% - Accent6 22 2 5" xfId="5987"/>
    <cellStyle name="20% - Accent6 22 2 5 2" xfId="17275"/>
    <cellStyle name="20% - Accent6 22 2 6" xfId="15281"/>
    <cellStyle name="20% - Accent6 22 3" xfId="10972"/>
    <cellStyle name="20% - Accent6 22 3 2" xfId="22260"/>
    <cellStyle name="20% - Accent6 22 4" xfId="8978"/>
    <cellStyle name="20% - Accent6 22 4 2" xfId="20266"/>
    <cellStyle name="20% - Accent6 22 5" xfId="6984"/>
    <cellStyle name="20% - Accent6 22 5 2" xfId="18272"/>
    <cellStyle name="20% - Accent6 22 6" xfId="4990"/>
    <cellStyle name="20% - Accent6 22 6 2" xfId="16278"/>
    <cellStyle name="20% - Accent6 22 7" xfId="14284"/>
    <cellStyle name="20% - Accent6 22 8" xfId="12970"/>
    <cellStyle name="20% - Accent6 23" xfId="1035"/>
    <cellStyle name="20% - Accent6 23 2" xfId="3991"/>
    <cellStyle name="20% - Accent6 23 2 2" xfId="11970"/>
    <cellStyle name="20% - Accent6 23 2 2 2" xfId="23258"/>
    <cellStyle name="20% - Accent6 23 2 3" xfId="9976"/>
    <cellStyle name="20% - Accent6 23 2 3 2" xfId="21264"/>
    <cellStyle name="20% - Accent6 23 2 4" xfId="7982"/>
    <cellStyle name="20% - Accent6 23 2 4 2" xfId="19270"/>
    <cellStyle name="20% - Accent6 23 2 5" xfId="5988"/>
    <cellStyle name="20% - Accent6 23 2 5 2" xfId="17276"/>
    <cellStyle name="20% - Accent6 23 2 6" xfId="15282"/>
    <cellStyle name="20% - Accent6 23 3" xfId="10973"/>
    <cellStyle name="20% - Accent6 23 3 2" xfId="22261"/>
    <cellStyle name="20% - Accent6 23 4" xfId="8979"/>
    <cellStyle name="20% - Accent6 23 4 2" xfId="20267"/>
    <cellStyle name="20% - Accent6 23 5" xfId="6985"/>
    <cellStyle name="20% - Accent6 23 5 2" xfId="18273"/>
    <cellStyle name="20% - Accent6 23 6" xfId="4991"/>
    <cellStyle name="20% - Accent6 23 6 2" xfId="16279"/>
    <cellStyle name="20% - Accent6 23 7" xfId="14285"/>
    <cellStyle name="20% - Accent6 23 8" xfId="12971"/>
    <cellStyle name="20% - Accent6 24" xfId="1036"/>
    <cellStyle name="20% - Accent6 24 2" xfId="3992"/>
    <cellStyle name="20% - Accent6 24 2 2" xfId="11971"/>
    <cellStyle name="20% - Accent6 24 2 2 2" xfId="23259"/>
    <cellStyle name="20% - Accent6 24 2 3" xfId="9977"/>
    <cellStyle name="20% - Accent6 24 2 3 2" xfId="21265"/>
    <cellStyle name="20% - Accent6 24 2 4" xfId="7983"/>
    <cellStyle name="20% - Accent6 24 2 4 2" xfId="19271"/>
    <cellStyle name="20% - Accent6 24 2 5" xfId="5989"/>
    <cellStyle name="20% - Accent6 24 2 5 2" xfId="17277"/>
    <cellStyle name="20% - Accent6 24 2 6" xfId="15283"/>
    <cellStyle name="20% - Accent6 24 3" xfId="10974"/>
    <cellStyle name="20% - Accent6 24 3 2" xfId="22262"/>
    <cellStyle name="20% - Accent6 24 4" xfId="8980"/>
    <cellStyle name="20% - Accent6 24 4 2" xfId="20268"/>
    <cellStyle name="20% - Accent6 24 5" xfId="6986"/>
    <cellStyle name="20% - Accent6 24 5 2" xfId="18274"/>
    <cellStyle name="20% - Accent6 24 6" xfId="4992"/>
    <cellStyle name="20% - Accent6 24 6 2" xfId="16280"/>
    <cellStyle name="20% - Accent6 24 7" xfId="14286"/>
    <cellStyle name="20% - Accent6 24 8" xfId="12972"/>
    <cellStyle name="20% - Accent6 25" xfId="1037"/>
    <cellStyle name="20% - Accent6 25 2" xfId="3993"/>
    <cellStyle name="20% - Accent6 25 2 2" xfId="11972"/>
    <cellStyle name="20% - Accent6 25 2 2 2" xfId="23260"/>
    <cellStyle name="20% - Accent6 25 2 3" xfId="9978"/>
    <cellStyle name="20% - Accent6 25 2 3 2" xfId="21266"/>
    <cellStyle name="20% - Accent6 25 2 4" xfId="7984"/>
    <cellStyle name="20% - Accent6 25 2 4 2" xfId="19272"/>
    <cellStyle name="20% - Accent6 25 2 5" xfId="5990"/>
    <cellStyle name="20% - Accent6 25 2 5 2" xfId="17278"/>
    <cellStyle name="20% - Accent6 25 2 6" xfId="15284"/>
    <cellStyle name="20% - Accent6 25 3" xfId="10975"/>
    <cellStyle name="20% - Accent6 25 3 2" xfId="22263"/>
    <cellStyle name="20% - Accent6 25 4" xfId="8981"/>
    <cellStyle name="20% - Accent6 25 4 2" xfId="20269"/>
    <cellStyle name="20% - Accent6 25 5" xfId="6987"/>
    <cellStyle name="20% - Accent6 25 5 2" xfId="18275"/>
    <cellStyle name="20% - Accent6 25 6" xfId="4993"/>
    <cellStyle name="20% - Accent6 25 6 2" xfId="16281"/>
    <cellStyle name="20% - Accent6 25 7" xfId="14287"/>
    <cellStyle name="20% - Accent6 25 8" xfId="12973"/>
    <cellStyle name="20% - Accent6 26" xfId="1038"/>
    <cellStyle name="20% - Accent6 26 2" xfId="3994"/>
    <cellStyle name="20% - Accent6 26 2 2" xfId="11973"/>
    <cellStyle name="20% - Accent6 26 2 2 2" xfId="23261"/>
    <cellStyle name="20% - Accent6 26 2 3" xfId="9979"/>
    <cellStyle name="20% - Accent6 26 2 3 2" xfId="21267"/>
    <cellStyle name="20% - Accent6 26 2 4" xfId="7985"/>
    <cellStyle name="20% - Accent6 26 2 4 2" xfId="19273"/>
    <cellStyle name="20% - Accent6 26 2 5" xfId="5991"/>
    <cellStyle name="20% - Accent6 26 2 5 2" xfId="17279"/>
    <cellStyle name="20% - Accent6 26 2 6" xfId="15285"/>
    <cellStyle name="20% - Accent6 26 3" xfId="10976"/>
    <cellStyle name="20% - Accent6 26 3 2" xfId="22264"/>
    <cellStyle name="20% - Accent6 26 4" xfId="8982"/>
    <cellStyle name="20% - Accent6 26 4 2" xfId="20270"/>
    <cellStyle name="20% - Accent6 26 5" xfId="6988"/>
    <cellStyle name="20% - Accent6 26 5 2" xfId="18276"/>
    <cellStyle name="20% - Accent6 26 6" xfId="4994"/>
    <cellStyle name="20% - Accent6 26 6 2" xfId="16282"/>
    <cellStyle name="20% - Accent6 26 7" xfId="14288"/>
    <cellStyle name="20% - Accent6 26 8" xfId="12974"/>
    <cellStyle name="20% - Accent6 27" xfId="1039"/>
    <cellStyle name="20% - Accent6 27 2" xfId="3995"/>
    <cellStyle name="20% - Accent6 27 2 2" xfId="11974"/>
    <cellStyle name="20% - Accent6 27 2 2 2" xfId="23262"/>
    <cellStyle name="20% - Accent6 27 2 3" xfId="9980"/>
    <cellStyle name="20% - Accent6 27 2 3 2" xfId="21268"/>
    <cellStyle name="20% - Accent6 27 2 4" xfId="7986"/>
    <cellStyle name="20% - Accent6 27 2 4 2" xfId="19274"/>
    <cellStyle name="20% - Accent6 27 2 5" xfId="5992"/>
    <cellStyle name="20% - Accent6 27 2 5 2" xfId="17280"/>
    <cellStyle name="20% - Accent6 27 2 6" xfId="15286"/>
    <cellStyle name="20% - Accent6 27 3" xfId="10977"/>
    <cellStyle name="20% - Accent6 27 3 2" xfId="22265"/>
    <cellStyle name="20% - Accent6 27 4" xfId="8983"/>
    <cellStyle name="20% - Accent6 27 4 2" xfId="20271"/>
    <cellStyle name="20% - Accent6 27 5" xfId="6989"/>
    <cellStyle name="20% - Accent6 27 5 2" xfId="18277"/>
    <cellStyle name="20% - Accent6 27 6" xfId="4995"/>
    <cellStyle name="20% - Accent6 27 6 2" xfId="16283"/>
    <cellStyle name="20% - Accent6 27 7" xfId="14289"/>
    <cellStyle name="20% - Accent6 27 8" xfId="12975"/>
    <cellStyle name="20% - Accent6 28" xfId="1040"/>
    <cellStyle name="20% - Accent6 28 2" xfId="3996"/>
    <cellStyle name="20% - Accent6 28 2 2" xfId="11975"/>
    <cellStyle name="20% - Accent6 28 2 2 2" xfId="23263"/>
    <cellStyle name="20% - Accent6 28 2 3" xfId="9981"/>
    <cellStyle name="20% - Accent6 28 2 3 2" xfId="21269"/>
    <cellStyle name="20% - Accent6 28 2 4" xfId="7987"/>
    <cellStyle name="20% - Accent6 28 2 4 2" xfId="19275"/>
    <cellStyle name="20% - Accent6 28 2 5" xfId="5993"/>
    <cellStyle name="20% - Accent6 28 2 5 2" xfId="17281"/>
    <cellStyle name="20% - Accent6 28 2 6" xfId="15287"/>
    <cellStyle name="20% - Accent6 28 3" xfId="10978"/>
    <cellStyle name="20% - Accent6 28 3 2" xfId="22266"/>
    <cellStyle name="20% - Accent6 28 4" xfId="8984"/>
    <cellStyle name="20% - Accent6 28 4 2" xfId="20272"/>
    <cellStyle name="20% - Accent6 28 5" xfId="6990"/>
    <cellStyle name="20% - Accent6 28 5 2" xfId="18278"/>
    <cellStyle name="20% - Accent6 28 6" xfId="4996"/>
    <cellStyle name="20% - Accent6 28 6 2" xfId="16284"/>
    <cellStyle name="20% - Accent6 28 7" xfId="14290"/>
    <cellStyle name="20% - Accent6 28 8" xfId="12976"/>
    <cellStyle name="20% - Accent6 29" xfId="1041"/>
    <cellStyle name="20% - Accent6 29 2" xfId="3997"/>
    <cellStyle name="20% - Accent6 29 2 2" xfId="11976"/>
    <cellStyle name="20% - Accent6 29 2 2 2" xfId="23264"/>
    <cellStyle name="20% - Accent6 29 2 3" xfId="9982"/>
    <cellStyle name="20% - Accent6 29 2 3 2" xfId="21270"/>
    <cellStyle name="20% - Accent6 29 2 4" xfId="7988"/>
    <cellStyle name="20% - Accent6 29 2 4 2" xfId="19276"/>
    <cellStyle name="20% - Accent6 29 2 5" xfId="5994"/>
    <cellStyle name="20% - Accent6 29 2 5 2" xfId="17282"/>
    <cellStyle name="20% - Accent6 29 2 6" xfId="15288"/>
    <cellStyle name="20% - Accent6 29 3" xfId="10979"/>
    <cellStyle name="20% - Accent6 29 3 2" xfId="22267"/>
    <cellStyle name="20% - Accent6 29 4" xfId="8985"/>
    <cellStyle name="20% - Accent6 29 4 2" xfId="20273"/>
    <cellStyle name="20% - Accent6 29 5" xfId="6991"/>
    <cellStyle name="20% - Accent6 29 5 2" xfId="18279"/>
    <cellStyle name="20% - Accent6 29 6" xfId="4997"/>
    <cellStyle name="20% - Accent6 29 6 2" xfId="16285"/>
    <cellStyle name="20% - Accent6 29 7" xfId="14291"/>
    <cellStyle name="20% - Accent6 29 8" xfId="12977"/>
    <cellStyle name="20% - Accent6 3" xfId="1042"/>
    <cellStyle name="20% - Accent6 3 10" xfId="24590"/>
    <cellStyle name="20% - Accent6 3 11" xfId="24980"/>
    <cellStyle name="20% - Accent6 3 2" xfId="3998"/>
    <cellStyle name="20% - Accent6 3 2 2" xfId="11977"/>
    <cellStyle name="20% - Accent6 3 2 2 2" xfId="23265"/>
    <cellStyle name="20% - Accent6 3 2 3" xfId="9983"/>
    <cellStyle name="20% - Accent6 3 2 3 2" xfId="21271"/>
    <cellStyle name="20% - Accent6 3 2 4" xfId="7989"/>
    <cellStyle name="20% - Accent6 3 2 4 2" xfId="19277"/>
    <cellStyle name="20% - Accent6 3 2 5" xfId="5995"/>
    <cellStyle name="20% - Accent6 3 2 5 2" xfId="17283"/>
    <cellStyle name="20% - Accent6 3 2 6" xfId="15289"/>
    <cellStyle name="20% - Accent6 3 2 7" xfId="24351"/>
    <cellStyle name="20% - Accent6 3 2 8" xfId="24815"/>
    <cellStyle name="20% - Accent6 3 2 9" xfId="25182"/>
    <cellStyle name="20% - Accent6 3 3" xfId="10980"/>
    <cellStyle name="20% - Accent6 3 3 2" xfId="22268"/>
    <cellStyle name="20% - Accent6 3 4" xfId="8986"/>
    <cellStyle name="20% - Accent6 3 4 2" xfId="20274"/>
    <cellStyle name="20% - Accent6 3 5" xfId="6992"/>
    <cellStyle name="20% - Accent6 3 5 2" xfId="18280"/>
    <cellStyle name="20% - Accent6 3 6" xfId="4998"/>
    <cellStyle name="20% - Accent6 3 6 2" xfId="16286"/>
    <cellStyle name="20% - Accent6 3 7" xfId="14292"/>
    <cellStyle name="20% - Accent6 3 8" xfId="12978"/>
    <cellStyle name="20% - Accent6 3 9" xfId="23963"/>
    <cellStyle name="20% - Accent6 30" xfId="1043"/>
    <cellStyle name="20% - Accent6 30 2" xfId="3999"/>
    <cellStyle name="20% - Accent6 30 2 2" xfId="11978"/>
    <cellStyle name="20% - Accent6 30 2 2 2" xfId="23266"/>
    <cellStyle name="20% - Accent6 30 2 3" xfId="9984"/>
    <cellStyle name="20% - Accent6 30 2 3 2" xfId="21272"/>
    <cellStyle name="20% - Accent6 30 2 4" xfId="7990"/>
    <cellStyle name="20% - Accent6 30 2 4 2" xfId="19278"/>
    <cellStyle name="20% - Accent6 30 2 5" xfId="5996"/>
    <cellStyle name="20% - Accent6 30 2 5 2" xfId="17284"/>
    <cellStyle name="20% - Accent6 30 2 6" xfId="15290"/>
    <cellStyle name="20% - Accent6 30 3" xfId="10981"/>
    <cellStyle name="20% - Accent6 30 3 2" xfId="22269"/>
    <cellStyle name="20% - Accent6 30 4" xfId="8987"/>
    <cellStyle name="20% - Accent6 30 4 2" xfId="20275"/>
    <cellStyle name="20% - Accent6 30 5" xfId="6993"/>
    <cellStyle name="20% - Accent6 30 5 2" xfId="18281"/>
    <cellStyle name="20% - Accent6 30 6" xfId="4999"/>
    <cellStyle name="20% - Accent6 30 6 2" xfId="16287"/>
    <cellStyle name="20% - Accent6 30 7" xfId="14293"/>
    <cellStyle name="20% - Accent6 30 8" xfId="12979"/>
    <cellStyle name="20% - Accent6 31" xfId="1044"/>
    <cellStyle name="20% - Accent6 31 2" xfId="4000"/>
    <cellStyle name="20% - Accent6 31 2 2" xfId="11979"/>
    <cellStyle name="20% - Accent6 31 2 2 2" xfId="23267"/>
    <cellStyle name="20% - Accent6 31 2 3" xfId="9985"/>
    <cellStyle name="20% - Accent6 31 2 3 2" xfId="21273"/>
    <cellStyle name="20% - Accent6 31 2 4" xfId="7991"/>
    <cellStyle name="20% - Accent6 31 2 4 2" xfId="19279"/>
    <cellStyle name="20% - Accent6 31 2 5" xfId="5997"/>
    <cellStyle name="20% - Accent6 31 2 5 2" xfId="17285"/>
    <cellStyle name="20% - Accent6 31 2 6" xfId="15291"/>
    <cellStyle name="20% - Accent6 31 3" xfId="10982"/>
    <cellStyle name="20% - Accent6 31 3 2" xfId="22270"/>
    <cellStyle name="20% - Accent6 31 4" xfId="8988"/>
    <cellStyle name="20% - Accent6 31 4 2" xfId="20276"/>
    <cellStyle name="20% - Accent6 31 5" xfId="6994"/>
    <cellStyle name="20% - Accent6 31 5 2" xfId="18282"/>
    <cellStyle name="20% - Accent6 31 6" xfId="5000"/>
    <cellStyle name="20% - Accent6 31 6 2" xfId="16288"/>
    <cellStyle name="20% - Accent6 31 7" xfId="14294"/>
    <cellStyle name="20% - Accent6 31 8" xfId="12980"/>
    <cellStyle name="20% - Accent6 32" xfId="1045"/>
    <cellStyle name="20% - Accent6 32 2" xfId="4001"/>
    <cellStyle name="20% - Accent6 32 2 2" xfId="11980"/>
    <cellStyle name="20% - Accent6 32 2 2 2" xfId="23268"/>
    <cellStyle name="20% - Accent6 32 2 3" xfId="9986"/>
    <cellStyle name="20% - Accent6 32 2 3 2" xfId="21274"/>
    <cellStyle name="20% - Accent6 32 2 4" xfId="7992"/>
    <cellStyle name="20% - Accent6 32 2 4 2" xfId="19280"/>
    <cellStyle name="20% - Accent6 32 2 5" xfId="5998"/>
    <cellStyle name="20% - Accent6 32 2 5 2" xfId="17286"/>
    <cellStyle name="20% - Accent6 32 2 6" xfId="15292"/>
    <cellStyle name="20% - Accent6 32 3" xfId="10983"/>
    <cellStyle name="20% - Accent6 32 3 2" xfId="22271"/>
    <cellStyle name="20% - Accent6 32 4" xfId="8989"/>
    <cellStyle name="20% - Accent6 32 4 2" xfId="20277"/>
    <cellStyle name="20% - Accent6 32 5" xfId="6995"/>
    <cellStyle name="20% - Accent6 32 5 2" xfId="18283"/>
    <cellStyle name="20% - Accent6 32 6" xfId="5001"/>
    <cellStyle name="20% - Accent6 32 6 2" xfId="16289"/>
    <cellStyle name="20% - Accent6 32 7" xfId="14295"/>
    <cellStyle name="20% - Accent6 32 8" xfId="12981"/>
    <cellStyle name="20% - Accent6 33" xfId="1046"/>
    <cellStyle name="20% - Accent6 33 2" xfId="4002"/>
    <cellStyle name="20% - Accent6 33 2 2" xfId="11981"/>
    <cellStyle name="20% - Accent6 33 2 2 2" xfId="23269"/>
    <cellStyle name="20% - Accent6 33 2 3" xfId="9987"/>
    <cellStyle name="20% - Accent6 33 2 3 2" xfId="21275"/>
    <cellStyle name="20% - Accent6 33 2 4" xfId="7993"/>
    <cellStyle name="20% - Accent6 33 2 4 2" xfId="19281"/>
    <cellStyle name="20% - Accent6 33 2 5" xfId="5999"/>
    <cellStyle name="20% - Accent6 33 2 5 2" xfId="17287"/>
    <cellStyle name="20% - Accent6 33 2 6" xfId="15293"/>
    <cellStyle name="20% - Accent6 33 3" xfId="10984"/>
    <cellStyle name="20% - Accent6 33 3 2" xfId="22272"/>
    <cellStyle name="20% - Accent6 33 4" xfId="8990"/>
    <cellStyle name="20% - Accent6 33 4 2" xfId="20278"/>
    <cellStyle name="20% - Accent6 33 5" xfId="6996"/>
    <cellStyle name="20% - Accent6 33 5 2" xfId="18284"/>
    <cellStyle name="20% - Accent6 33 6" xfId="5002"/>
    <cellStyle name="20% - Accent6 33 6 2" xfId="16290"/>
    <cellStyle name="20% - Accent6 33 7" xfId="14296"/>
    <cellStyle name="20% - Accent6 33 8" xfId="12982"/>
    <cellStyle name="20% - Accent6 34" xfId="1047"/>
    <cellStyle name="20% - Accent6 34 2" xfId="4003"/>
    <cellStyle name="20% - Accent6 34 2 2" xfId="11982"/>
    <cellStyle name="20% - Accent6 34 2 2 2" xfId="23270"/>
    <cellStyle name="20% - Accent6 34 2 3" xfId="9988"/>
    <cellStyle name="20% - Accent6 34 2 3 2" xfId="21276"/>
    <cellStyle name="20% - Accent6 34 2 4" xfId="7994"/>
    <cellStyle name="20% - Accent6 34 2 4 2" xfId="19282"/>
    <cellStyle name="20% - Accent6 34 2 5" xfId="6000"/>
    <cellStyle name="20% - Accent6 34 2 5 2" xfId="17288"/>
    <cellStyle name="20% - Accent6 34 2 6" xfId="15294"/>
    <cellStyle name="20% - Accent6 34 3" xfId="10985"/>
    <cellStyle name="20% - Accent6 34 3 2" xfId="22273"/>
    <cellStyle name="20% - Accent6 34 4" xfId="8991"/>
    <cellStyle name="20% - Accent6 34 4 2" xfId="20279"/>
    <cellStyle name="20% - Accent6 34 5" xfId="6997"/>
    <cellStyle name="20% - Accent6 34 5 2" xfId="18285"/>
    <cellStyle name="20% - Accent6 34 6" xfId="5003"/>
    <cellStyle name="20% - Accent6 34 6 2" xfId="16291"/>
    <cellStyle name="20% - Accent6 34 7" xfId="14297"/>
    <cellStyle name="20% - Accent6 34 8" xfId="12983"/>
    <cellStyle name="20% - Accent6 35" xfId="1048"/>
    <cellStyle name="20% - Accent6 35 2" xfId="4004"/>
    <cellStyle name="20% - Accent6 35 2 2" xfId="11983"/>
    <cellStyle name="20% - Accent6 35 2 2 2" xfId="23271"/>
    <cellStyle name="20% - Accent6 35 2 3" xfId="9989"/>
    <cellStyle name="20% - Accent6 35 2 3 2" xfId="21277"/>
    <cellStyle name="20% - Accent6 35 2 4" xfId="7995"/>
    <cellStyle name="20% - Accent6 35 2 4 2" xfId="19283"/>
    <cellStyle name="20% - Accent6 35 2 5" xfId="6001"/>
    <cellStyle name="20% - Accent6 35 2 5 2" xfId="17289"/>
    <cellStyle name="20% - Accent6 35 2 6" xfId="15295"/>
    <cellStyle name="20% - Accent6 35 3" xfId="10986"/>
    <cellStyle name="20% - Accent6 35 3 2" xfId="22274"/>
    <cellStyle name="20% - Accent6 35 4" xfId="8992"/>
    <cellStyle name="20% - Accent6 35 4 2" xfId="20280"/>
    <cellStyle name="20% - Accent6 35 5" xfId="6998"/>
    <cellStyle name="20% - Accent6 35 5 2" xfId="18286"/>
    <cellStyle name="20% - Accent6 35 6" xfId="5004"/>
    <cellStyle name="20% - Accent6 35 6 2" xfId="16292"/>
    <cellStyle name="20% - Accent6 35 7" xfId="14298"/>
    <cellStyle name="20% - Accent6 35 8" xfId="12984"/>
    <cellStyle name="20% - Accent6 36" xfId="1049"/>
    <cellStyle name="20% - Accent6 36 2" xfId="4005"/>
    <cellStyle name="20% - Accent6 36 2 2" xfId="11984"/>
    <cellStyle name="20% - Accent6 36 2 2 2" xfId="23272"/>
    <cellStyle name="20% - Accent6 36 2 3" xfId="9990"/>
    <cellStyle name="20% - Accent6 36 2 3 2" xfId="21278"/>
    <cellStyle name="20% - Accent6 36 2 4" xfId="7996"/>
    <cellStyle name="20% - Accent6 36 2 4 2" xfId="19284"/>
    <cellStyle name="20% - Accent6 36 2 5" xfId="6002"/>
    <cellStyle name="20% - Accent6 36 2 5 2" xfId="17290"/>
    <cellStyle name="20% - Accent6 36 2 6" xfId="15296"/>
    <cellStyle name="20% - Accent6 36 3" xfId="10987"/>
    <cellStyle name="20% - Accent6 36 3 2" xfId="22275"/>
    <cellStyle name="20% - Accent6 36 4" xfId="8993"/>
    <cellStyle name="20% - Accent6 36 4 2" xfId="20281"/>
    <cellStyle name="20% - Accent6 36 5" xfId="6999"/>
    <cellStyle name="20% - Accent6 36 5 2" xfId="18287"/>
    <cellStyle name="20% - Accent6 36 6" xfId="5005"/>
    <cellStyle name="20% - Accent6 36 6 2" xfId="16293"/>
    <cellStyle name="20% - Accent6 36 7" xfId="14299"/>
    <cellStyle name="20% - Accent6 36 8" xfId="12985"/>
    <cellStyle name="20% - Accent6 37" xfId="1050"/>
    <cellStyle name="20% - Accent6 37 2" xfId="4006"/>
    <cellStyle name="20% - Accent6 37 2 2" xfId="11985"/>
    <cellStyle name="20% - Accent6 37 2 2 2" xfId="23273"/>
    <cellStyle name="20% - Accent6 37 2 3" xfId="9991"/>
    <cellStyle name="20% - Accent6 37 2 3 2" xfId="21279"/>
    <cellStyle name="20% - Accent6 37 2 4" xfId="7997"/>
    <cellStyle name="20% - Accent6 37 2 4 2" xfId="19285"/>
    <cellStyle name="20% - Accent6 37 2 5" xfId="6003"/>
    <cellStyle name="20% - Accent6 37 2 5 2" xfId="17291"/>
    <cellStyle name="20% - Accent6 37 2 6" xfId="15297"/>
    <cellStyle name="20% - Accent6 37 3" xfId="10988"/>
    <cellStyle name="20% - Accent6 37 3 2" xfId="22276"/>
    <cellStyle name="20% - Accent6 37 4" xfId="8994"/>
    <cellStyle name="20% - Accent6 37 4 2" xfId="20282"/>
    <cellStyle name="20% - Accent6 37 5" xfId="7000"/>
    <cellStyle name="20% - Accent6 37 5 2" xfId="18288"/>
    <cellStyle name="20% - Accent6 37 6" xfId="5006"/>
    <cellStyle name="20% - Accent6 37 6 2" xfId="16294"/>
    <cellStyle name="20% - Accent6 37 7" xfId="14300"/>
    <cellStyle name="20% - Accent6 37 8" xfId="12986"/>
    <cellStyle name="20% - Accent6 38" xfId="1051"/>
    <cellStyle name="20% - Accent6 38 2" xfId="4007"/>
    <cellStyle name="20% - Accent6 38 2 2" xfId="11986"/>
    <cellStyle name="20% - Accent6 38 2 2 2" xfId="23274"/>
    <cellStyle name="20% - Accent6 38 2 3" xfId="9992"/>
    <cellStyle name="20% - Accent6 38 2 3 2" xfId="21280"/>
    <cellStyle name="20% - Accent6 38 2 4" xfId="7998"/>
    <cellStyle name="20% - Accent6 38 2 4 2" xfId="19286"/>
    <cellStyle name="20% - Accent6 38 2 5" xfId="6004"/>
    <cellStyle name="20% - Accent6 38 2 5 2" xfId="17292"/>
    <cellStyle name="20% - Accent6 38 2 6" xfId="15298"/>
    <cellStyle name="20% - Accent6 38 3" xfId="10989"/>
    <cellStyle name="20% - Accent6 38 3 2" xfId="22277"/>
    <cellStyle name="20% - Accent6 38 4" xfId="8995"/>
    <cellStyle name="20% - Accent6 38 4 2" xfId="20283"/>
    <cellStyle name="20% - Accent6 38 5" xfId="7001"/>
    <cellStyle name="20% - Accent6 38 5 2" xfId="18289"/>
    <cellStyle name="20% - Accent6 38 6" xfId="5007"/>
    <cellStyle name="20% - Accent6 38 6 2" xfId="16295"/>
    <cellStyle name="20% - Accent6 38 7" xfId="14301"/>
    <cellStyle name="20% - Accent6 38 8" xfId="12987"/>
    <cellStyle name="20% - Accent6 39" xfId="1052"/>
    <cellStyle name="20% - Accent6 39 2" xfId="4008"/>
    <cellStyle name="20% - Accent6 39 2 2" xfId="11987"/>
    <cellStyle name="20% - Accent6 39 2 2 2" xfId="23275"/>
    <cellStyle name="20% - Accent6 39 2 3" xfId="9993"/>
    <cellStyle name="20% - Accent6 39 2 3 2" xfId="21281"/>
    <cellStyle name="20% - Accent6 39 2 4" xfId="7999"/>
    <cellStyle name="20% - Accent6 39 2 4 2" xfId="19287"/>
    <cellStyle name="20% - Accent6 39 2 5" xfId="6005"/>
    <cellStyle name="20% - Accent6 39 2 5 2" xfId="17293"/>
    <cellStyle name="20% - Accent6 39 2 6" xfId="15299"/>
    <cellStyle name="20% - Accent6 39 3" xfId="10990"/>
    <cellStyle name="20% - Accent6 39 3 2" xfId="22278"/>
    <cellStyle name="20% - Accent6 39 4" xfId="8996"/>
    <cellStyle name="20% - Accent6 39 4 2" xfId="20284"/>
    <cellStyle name="20% - Accent6 39 5" xfId="7002"/>
    <cellStyle name="20% - Accent6 39 5 2" xfId="18290"/>
    <cellStyle name="20% - Accent6 39 6" xfId="5008"/>
    <cellStyle name="20% - Accent6 39 6 2" xfId="16296"/>
    <cellStyle name="20% - Accent6 39 7" xfId="14302"/>
    <cellStyle name="20% - Accent6 39 8" xfId="12988"/>
    <cellStyle name="20% - Accent6 4" xfId="1053"/>
    <cellStyle name="20% - Accent6 4 10" xfId="24591"/>
    <cellStyle name="20% - Accent6 4 11" xfId="24981"/>
    <cellStyle name="20% - Accent6 4 2" xfId="4009"/>
    <cellStyle name="20% - Accent6 4 2 2" xfId="11988"/>
    <cellStyle name="20% - Accent6 4 2 2 2" xfId="23276"/>
    <cellStyle name="20% - Accent6 4 2 3" xfId="9994"/>
    <cellStyle name="20% - Accent6 4 2 3 2" xfId="21282"/>
    <cellStyle name="20% - Accent6 4 2 4" xfId="8000"/>
    <cellStyle name="20% - Accent6 4 2 4 2" xfId="19288"/>
    <cellStyle name="20% - Accent6 4 2 5" xfId="6006"/>
    <cellStyle name="20% - Accent6 4 2 5 2" xfId="17294"/>
    <cellStyle name="20% - Accent6 4 2 6" xfId="15300"/>
    <cellStyle name="20% - Accent6 4 2 7" xfId="24352"/>
    <cellStyle name="20% - Accent6 4 2 8" xfId="24816"/>
    <cellStyle name="20% - Accent6 4 2 9" xfId="25183"/>
    <cellStyle name="20% - Accent6 4 3" xfId="10991"/>
    <cellStyle name="20% - Accent6 4 3 2" xfId="22279"/>
    <cellStyle name="20% - Accent6 4 4" xfId="8997"/>
    <cellStyle name="20% - Accent6 4 4 2" xfId="20285"/>
    <cellStyle name="20% - Accent6 4 5" xfId="7003"/>
    <cellStyle name="20% - Accent6 4 5 2" xfId="18291"/>
    <cellStyle name="20% - Accent6 4 6" xfId="5009"/>
    <cellStyle name="20% - Accent6 4 6 2" xfId="16297"/>
    <cellStyle name="20% - Accent6 4 7" xfId="14303"/>
    <cellStyle name="20% - Accent6 4 8" xfId="12989"/>
    <cellStyle name="20% - Accent6 4 9" xfId="23964"/>
    <cellStyle name="20% - Accent6 40" xfId="1054"/>
    <cellStyle name="20% - Accent6 40 2" xfId="4010"/>
    <cellStyle name="20% - Accent6 40 2 2" xfId="11989"/>
    <cellStyle name="20% - Accent6 40 2 2 2" xfId="23277"/>
    <cellStyle name="20% - Accent6 40 2 3" xfId="9995"/>
    <cellStyle name="20% - Accent6 40 2 3 2" xfId="21283"/>
    <cellStyle name="20% - Accent6 40 2 4" xfId="8001"/>
    <cellStyle name="20% - Accent6 40 2 4 2" xfId="19289"/>
    <cellStyle name="20% - Accent6 40 2 5" xfId="6007"/>
    <cellStyle name="20% - Accent6 40 2 5 2" xfId="17295"/>
    <cellStyle name="20% - Accent6 40 2 6" xfId="15301"/>
    <cellStyle name="20% - Accent6 40 3" xfId="10992"/>
    <cellStyle name="20% - Accent6 40 3 2" xfId="22280"/>
    <cellStyle name="20% - Accent6 40 4" xfId="8998"/>
    <cellStyle name="20% - Accent6 40 4 2" xfId="20286"/>
    <cellStyle name="20% - Accent6 40 5" xfId="7004"/>
    <cellStyle name="20% - Accent6 40 5 2" xfId="18292"/>
    <cellStyle name="20% - Accent6 40 6" xfId="5010"/>
    <cellStyle name="20% - Accent6 40 6 2" xfId="16298"/>
    <cellStyle name="20% - Accent6 40 7" xfId="14304"/>
    <cellStyle name="20% - Accent6 40 8" xfId="12990"/>
    <cellStyle name="20% - Accent6 41" xfId="1055"/>
    <cellStyle name="20% - Accent6 41 2" xfId="4011"/>
    <cellStyle name="20% - Accent6 41 2 2" xfId="11990"/>
    <cellStyle name="20% - Accent6 41 2 2 2" xfId="23278"/>
    <cellStyle name="20% - Accent6 41 2 3" xfId="9996"/>
    <cellStyle name="20% - Accent6 41 2 3 2" xfId="21284"/>
    <cellStyle name="20% - Accent6 41 2 4" xfId="8002"/>
    <cellStyle name="20% - Accent6 41 2 4 2" xfId="19290"/>
    <cellStyle name="20% - Accent6 41 2 5" xfId="6008"/>
    <cellStyle name="20% - Accent6 41 2 5 2" xfId="17296"/>
    <cellStyle name="20% - Accent6 41 2 6" xfId="15302"/>
    <cellStyle name="20% - Accent6 41 3" xfId="10993"/>
    <cellStyle name="20% - Accent6 41 3 2" xfId="22281"/>
    <cellStyle name="20% - Accent6 41 4" xfId="8999"/>
    <cellStyle name="20% - Accent6 41 4 2" xfId="20287"/>
    <cellStyle name="20% - Accent6 41 5" xfId="7005"/>
    <cellStyle name="20% - Accent6 41 5 2" xfId="18293"/>
    <cellStyle name="20% - Accent6 41 6" xfId="5011"/>
    <cellStyle name="20% - Accent6 41 6 2" xfId="16299"/>
    <cellStyle name="20% - Accent6 41 7" xfId="14305"/>
    <cellStyle name="20% - Accent6 41 8" xfId="12991"/>
    <cellStyle name="20% - Accent6 42" xfId="1056"/>
    <cellStyle name="20% - Accent6 42 2" xfId="4012"/>
    <cellStyle name="20% - Accent6 42 2 2" xfId="11991"/>
    <cellStyle name="20% - Accent6 42 2 2 2" xfId="23279"/>
    <cellStyle name="20% - Accent6 42 2 3" xfId="9997"/>
    <cellStyle name="20% - Accent6 42 2 3 2" xfId="21285"/>
    <cellStyle name="20% - Accent6 42 2 4" xfId="8003"/>
    <cellStyle name="20% - Accent6 42 2 4 2" xfId="19291"/>
    <cellStyle name="20% - Accent6 42 2 5" xfId="6009"/>
    <cellStyle name="20% - Accent6 42 2 5 2" xfId="17297"/>
    <cellStyle name="20% - Accent6 42 2 6" xfId="15303"/>
    <cellStyle name="20% - Accent6 42 3" xfId="10994"/>
    <cellStyle name="20% - Accent6 42 3 2" xfId="22282"/>
    <cellStyle name="20% - Accent6 42 4" xfId="9000"/>
    <cellStyle name="20% - Accent6 42 4 2" xfId="20288"/>
    <cellStyle name="20% - Accent6 42 5" xfId="7006"/>
    <cellStyle name="20% - Accent6 42 5 2" xfId="18294"/>
    <cellStyle name="20% - Accent6 42 6" xfId="5012"/>
    <cellStyle name="20% - Accent6 42 6 2" xfId="16300"/>
    <cellStyle name="20% - Accent6 42 7" xfId="14306"/>
    <cellStyle name="20% - Accent6 42 8" xfId="12992"/>
    <cellStyle name="20% - Accent6 43" xfId="1057"/>
    <cellStyle name="20% - Accent6 43 2" xfId="4013"/>
    <cellStyle name="20% - Accent6 43 2 2" xfId="11992"/>
    <cellStyle name="20% - Accent6 43 2 2 2" xfId="23280"/>
    <cellStyle name="20% - Accent6 43 2 3" xfId="9998"/>
    <cellStyle name="20% - Accent6 43 2 3 2" xfId="21286"/>
    <cellStyle name="20% - Accent6 43 2 4" xfId="8004"/>
    <cellStyle name="20% - Accent6 43 2 4 2" xfId="19292"/>
    <cellStyle name="20% - Accent6 43 2 5" xfId="6010"/>
    <cellStyle name="20% - Accent6 43 2 5 2" xfId="17298"/>
    <cellStyle name="20% - Accent6 43 2 6" xfId="15304"/>
    <cellStyle name="20% - Accent6 43 3" xfId="10995"/>
    <cellStyle name="20% - Accent6 43 3 2" xfId="22283"/>
    <cellStyle name="20% - Accent6 43 4" xfId="9001"/>
    <cellStyle name="20% - Accent6 43 4 2" xfId="20289"/>
    <cellStyle name="20% - Accent6 43 5" xfId="7007"/>
    <cellStyle name="20% - Accent6 43 5 2" xfId="18295"/>
    <cellStyle name="20% - Accent6 43 6" xfId="5013"/>
    <cellStyle name="20% - Accent6 43 6 2" xfId="16301"/>
    <cellStyle name="20% - Accent6 43 7" xfId="14307"/>
    <cellStyle name="20% - Accent6 43 8" xfId="12993"/>
    <cellStyle name="20% - Accent6 44" xfId="1058"/>
    <cellStyle name="20% - Accent6 44 2" xfId="4014"/>
    <cellStyle name="20% - Accent6 44 2 2" xfId="11993"/>
    <cellStyle name="20% - Accent6 44 2 2 2" xfId="23281"/>
    <cellStyle name="20% - Accent6 44 2 3" xfId="9999"/>
    <cellStyle name="20% - Accent6 44 2 3 2" xfId="21287"/>
    <cellStyle name="20% - Accent6 44 2 4" xfId="8005"/>
    <cellStyle name="20% - Accent6 44 2 4 2" xfId="19293"/>
    <cellStyle name="20% - Accent6 44 2 5" xfId="6011"/>
    <cellStyle name="20% - Accent6 44 2 5 2" xfId="17299"/>
    <cellStyle name="20% - Accent6 44 2 6" xfId="15305"/>
    <cellStyle name="20% - Accent6 44 3" xfId="10996"/>
    <cellStyle name="20% - Accent6 44 3 2" xfId="22284"/>
    <cellStyle name="20% - Accent6 44 4" xfId="9002"/>
    <cellStyle name="20% - Accent6 44 4 2" xfId="20290"/>
    <cellStyle name="20% - Accent6 44 5" xfId="7008"/>
    <cellStyle name="20% - Accent6 44 5 2" xfId="18296"/>
    <cellStyle name="20% - Accent6 44 6" xfId="5014"/>
    <cellStyle name="20% - Accent6 44 6 2" xfId="16302"/>
    <cellStyle name="20% - Accent6 44 7" xfId="14308"/>
    <cellStyle name="20% - Accent6 44 8" xfId="12994"/>
    <cellStyle name="20% - Accent6 45" xfId="1059"/>
    <cellStyle name="20% - Accent6 45 2" xfId="4015"/>
    <cellStyle name="20% - Accent6 45 2 2" xfId="11994"/>
    <cellStyle name="20% - Accent6 45 2 2 2" xfId="23282"/>
    <cellStyle name="20% - Accent6 45 2 3" xfId="10000"/>
    <cellStyle name="20% - Accent6 45 2 3 2" xfId="21288"/>
    <cellStyle name="20% - Accent6 45 2 4" xfId="8006"/>
    <cellStyle name="20% - Accent6 45 2 4 2" xfId="19294"/>
    <cellStyle name="20% - Accent6 45 2 5" xfId="6012"/>
    <cellStyle name="20% - Accent6 45 2 5 2" xfId="17300"/>
    <cellStyle name="20% - Accent6 45 2 6" xfId="15306"/>
    <cellStyle name="20% - Accent6 45 3" xfId="10997"/>
    <cellStyle name="20% - Accent6 45 3 2" xfId="22285"/>
    <cellStyle name="20% - Accent6 45 4" xfId="9003"/>
    <cellStyle name="20% - Accent6 45 4 2" xfId="20291"/>
    <cellStyle name="20% - Accent6 45 5" xfId="7009"/>
    <cellStyle name="20% - Accent6 45 5 2" xfId="18297"/>
    <cellStyle name="20% - Accent6 45 6" xfId="5015"/>
    <cellStyle name="20% - Accent6 45 6 2" xfId="16303"/>
    <cellStyle name="20% - Accent6 45 7" xfId="14309"/>
    <cellStyle name="20% - Accent6 45 8" xfId="12995"/>
    <cellStyle name="20% - Accent6 46" xfId="1060"/>
    <cellStyle name="20% - Accent6 46 2" xfId="4016"/>
    <cellStyle name="20% - Accent6 46 2 2" xfId="11995"/>
    <cellStyle name="20% - Accent6 46 2 2 2" xfId="23283"/>
    <cellStyle name="20% - Accent6 46 2 3" xfId="10001"/>
    <cellStyle name="20% - Accent6 46 2 3 2" xfId="21289"/>
    <cellStyle name="20% - Accent6 46 2 4" xfId="8007"/>
    <cellStyle name="20% - Accent6 46 2 4 2" xfId="19295"/>
    <cellStyle name="20% - Accent6 46 2 5" xfId="6013"/>
    <cellStyle name="20% - Accent6 46 2 5 2" xfId="17301"/>
    <cellStyle name="20% - Accent6 46 2 6" xfId="15307"/>
    <cellStyle name="20% - Accent6 46 3" xfId="10998"/>
    <cellStyle name="20% - Accent6 46 3 2" xfId="22286"/>
    <cellStyle name="20% - Accent6 46 4" xfId="9004"/>
    <cellStyle name="20% - Accent6 46 4 2" xfId="20292"/>
    <cellStyle name="20% - Accent6 46 5" xfId="7010"/>
    <cellStyle name="20% - Accent6 46 5 2" xfId="18298"/>
    <cellStyle name="20% - Accent6 46 6" xfId="5016"/>
    <cellStyle name="20% - Accent6 46 6 2" xfId="16304"/>
    <cellStyle name="20% - Accent6 46 7" xfId="14310"/>
    <cellStyle name="20% - Accent6 46 8" xfId="12996"/>
    <cellStyle name="20% - Accent6 47" xfId="1061"/>
    <cellStyle name="20% - Accent6 47 2" xfId="4017"/>
    <cellStyle name="20% - Accent6 47 2 2" xfId="11996"/>
    <cellStyle name="20% - Accent6 47 2 2 2" xfId="23284"/>
    <cellStyle name="20% - Accent6 47 2 3" xfId="10002"/>
    <cellStyle name="20% - Accent6 47 2 3 2" xfId="21290"/>
    <cellStyle name="20% - Accent6 47 2 4" xfId="8008"/>
    <cellStyle name="20% - Accent6 47 2 4 2" xfId="19296"/>
    <cellStyle name="20% - Accent6 47 2 5" xfId="6014"/>
    <cellStyle name="20% - Accent6 47 2 5 2" xfId="17302"/>
    <cellStyle name="20% - Accent6 47 2 6" xfId="15308"/>
    <cellStyle name="20% - Accent6 47 3" xfId="10999"/>
    <cellStyle name="20% - Accent6 47 3 2" xfId="22287"/>
    <cellStyle name="20% - Accent6 47 4" xfId="9005"/>
    <cellStyle name="20% - Accent6 47 4 2" xfId="20293"/>
    <cellStyle name="20% - Accent6 47 5" xfId="7011"/>
    <cellStyle name="20% - Accent6 47 5 2" xfId="18299"/>
    <cellStyle name="20% - Accent6 47 6" xfId="5017"/>
    <cellStyle name="20% - Accent6 47 6 2" xfId="16305"/>
    <cellStyle name="20% - Accent6 47 7" xfId="14311"/>
    <cellStyle name="20% - Accent6 47 8" xfId="12997"/>
    <cellStyle name="20% - Accent6 48" xfId="1062"/>
    <cellStyle name="20% - Accent6 48 2" xfId="4018"/>
    <cellStyle name="20% - Accent6 48 2 2" xfId="11997"/>
    <cellStyle name="20% - Accent6 48 2 2 2" xfId="23285"/>
    <cellStyle name="20% - Accent6 48 2 3" xfId="10003"/>
    <cellStyle name="20% - Accent6 48 2 3 2" xfId="21291"/>
    <cellStyle name="20% - Accent6 48 2 4" xfId="8009"/>
    <cellStyle name="20% - Accent6 48 2 4 2" xfId="19297"/>
    <cellStyle name="20% - Accent6 48 2 5" xfId="6015"/>
    <cellStyle name="20% - Accent6 48 2 5 2" xfId="17303"/>
    <cellStyle name="20% - Accent6 48 2 6" xfId="15309"/>
    <cellStyle name="20% - Accent6 48 3" xfId="11000"/>
    <cellStyle name="20% - Accent6 48 3 2" xfId="22288"/>
    <cellStyle name="20% - Accent6 48 4" xfId="9006"/>
    <cellStyle name="20% - Accent6 48 4 2" xfId="20294"/>
    <cellStyle name="20% - Accent6 48 5" xfId="7012"/>
    <cellStyle name="20% - Accent6 48 5 2" xfId="18300"/>
    <cellStyle name="20% - Accent6 48 6" xfId="5018"/>
    <cellStyle name="20% - Accent6 48 6 2" xfId="16306"/>
    <cellStyle name="20% - Accent6 48 7" xfId="14312"/>
    <cellStyle name="20% - Accent6 48 8" xfId="12998"/>
    <cellStyle name="20% - Accent6 49" xfId="1063"/>
    <cellStyle name="20% - Accent6 49 2" xfId="4019"/>
    <cellStyle name="20% - Accent6 49 2 2" xfId="11998"/>
    <cellStyle name="20% - Accent6 49 2 2 2" xfId="23286"/>
    <cellStyle name="20% - Accent6 49 2 3" xfId="10004"/>
    <cellStyle name="20% - Accent6 49 2 3 2" xfId="21292"/>
    <cellStyle name="20% - Accent6 49 2 4" xfId="8010"/>
    <cellStyle name="20% - Accent6 49 2 4 2" xfId="19298"/>
    <cellStyle name="20% - Accent6 49 2 5" xfId="6016"/>
    <cellStyle name="20% - Accent6 49 2 5 2" xfId="17304"/>
    <cellStyle name="20% - Accent6 49 2 6" xfId="15310"/>
    <cellStyle name="20% - Accent6 49 3" xfId="11001"/>
    <cellStyle name="20% - Accent6 49 3 2" xfId="22289"/>
    <cellStyle name="20% - Accent6 49 4" xfId="9007"/>
    <cellStyle name="20% - Accent6 49 4 2" xfId="20295"/>
    <cellStyle name="20% - Accent6 49 5" xfId="7013"/>
    <cellStyle name="20% - Accent6 49 5 2" xfId="18301"/>
    <cellStyle name="20% - Accent6 49 6" xfId="5019"/>
    <cellStyle name="20% - Accent6 49 6 2" xfId="16307"/>
    <cellStyle name="20% - Accent6 49 7" xfId="14313"/>
    <cellStyle name="20% - Accent6 49 8" xfId="12999"/>
    <cellStyle name="20% - Accent6 5" xfId="1064"/>
    <cellStyle name="20% - Accent6 5 10" xfId="24592"/>
    <cellStyle name="20% - Accent6 5 11" xfId="24982"/>
    <cellStyle name="20% - Accent6 5 2" xfId="4020"/>
    <cellStyle name="20% - Accent6 5 2 2" xfId="11999"/>
    <cellStyle name="20% - Accent6 5 2 2 2" xfId="23287"/>
    <cellStyle name="20% - Accent6 5 2 3" xfId="10005"/>
    <cellStyle name="20% - Accent6 5 2 3 2" xfId="21293"/>
    <cellStyle name="20% - Accent6 5 2 4" xfId="8011"/>
    <cellStyle name="20% - Accent6 5 2 4 2" xfId="19299"/>
    <cellStyle name="20% - Accent6 5 2 5" xfId="6017"/>
    <cellStyle name="20% - Accent6 5 2 5 2" xfId="17305"/>
    <cellStyle name="20% - Accent6 5 2 6" xfId="15311"/>
    <cellStyle name="20% - Accent6 5 2 7" xfId="24353"/>
    <cellStyle name="20% - Accent6 5 2 8" xfId="24817"/>
    <cellStyle name="20% - Accent6 5 2 9" xfId="25184"/>
    <cellStyle name="20% - Accent6 5 3" xfId="11002"/>
    <cellStyle name="20% - Accent6 5 3 2" xfId="22290"/>
    <cellStyle name="20% - Accent6 5 4" xfId="9008"/>
    <cellStyle name="20% - Accent6 5 4 2" xfId="20296"/>
    <cellStyle name="20% - Accent6 5 5" xfId="7014"/>
    <cellStyle name="20% - Accent6 5 5 2" xfId="18302"/>
    <cellStyle name="20% - Accent6 5 6" xfId="5020"/>
    <cellStyle name="20% - Accent6 5 6 2" xfId="16308"/>
    <cellStyle name="20% - Accent6 5 7" xfId="14314"/>
    <cellStyle name="20% - Accent6 5 8" xfId="13000"/>
    <cellStyle name="20% - Accent6 5 9" xfId="23965"/>
    <cellStyle name="20% - Accent6 50" xfId="1065"/>
    <cellStyle name="20% - Accent6 50 2" xfId="4021"/>
    <cellStyle name="20% - Accent6 50 2 2" xfId="12000"/>
    <cellStyle name="20% - Accent6 50 2 2 2" xfId="23288"/>
    <cellStyle name="20% - Accent6 50 2 3" xfId="10006"/>
    <cellStyle name="20% - Accent6 50 2 3 2" xfId="21294"/>
    <cellStyle name="20% - Accent6 50 2 4" xfId="8012"/>
    <cellStyle name="20% - Accent6 50 2 4 2" xfId="19300"/>
    <cellStyle name="20% - Accent6 50 2 5" xfId="6018"/>
    <cellStyle name="20% - Accent6 50 2 5 2" xfId="17306"/>
    <cellStyle name="20% - Accent6 50 2 6" xfId="15312"/>
    <cellStyle name="20% - Accent6 50 3" xfId="11003"/>
    <cellStyle name="20% - Accent6 50 3 2" xfId="22291"/>
    <cellStyle name="20% - Accent6 50 4" xfId="9009"/>
    <cellStyle name="20% - Accent6 50 4 2" xfId="20297"/>
    <cellStyle name="20% - Accent6 50 5" xfId="7015"/>
    <cellStyle name="20% - Accent6 50 5 2" xfId="18303"/>
    <cellStyle name="20% - Accent6 50 6" xfId="5021"/>
    <cellStyle name="20% - Accent6 50 6 2" xfId="16309"/>
    <cellStyle name="20% - Accent6 50 7" xfId="14315"/>
    <cellStyle name="20% - Accent6 50 8" xfId="13001"/>
    <cellStyle name="20% - Accent6 51" xfId="1066"/>
    <cellStyle name="20% - Accent6 51 2" xfId="4022"/>
    <cellStyle name="20% - Accent6 51 2 2" xfId="12001"/>
    <cellStyle name="20% - Accent6 51 2 2 2" xfId="23289"/>
    <cellStyle name="20% - Accent6 51 2 3" xfId="10007"/>
    <cellStyle name="20% - Accent6 51 2 3 2" xfId="21295"/>
    <cellStyle name="20% - Accent6 51 2 4" xfId="8013"/>
    <cellStyle name="20% - Accent6 51 2 4 2" xfId="19301"/>
    <cellStyle name="20% - Accent6 51 2 5" xfId="6019"/>
    <cellStyle name="20% - Accent6 51 2 5 2" xfId="17307"/>
    <cellStyle name="20% - Accent6 51 2 6" xfId="15313"/>
    <cellStyle name="20% - Accent6 51 3" xfId="11004"/>
    <cellStyle name="20% - Accent6 51 3 2" xfId="22292"/>
    <cellStyle name="20% - Accent6 51 4" xfId="9010"/>
    <cellStyle name="20% - Accent6 51 4 2" xfId="20298"/>
    <cellStyle name="20% - Accent6 51 5" xfId="7016"/>
    <cellStyle name="20% - Accent6 51 5 2" xfId="18304"/>
    <cellStyle name="20% - Accent6 51 6" xfId="5022"/>
    <cellStyle name="20% - Accent6 51 6 2" xfId="16310"/>
    <cellStyle name="20% - Accent6 51 7" xfId="14316"/>
    <cellStyle name="20% - Accent6 51 8" xfId="13002"/>
    <cellStyle name="20% - Accent6 52" xfId="1067"/>
    <cellStyle name="20% - Accent6 52 2" xfId="4023"/>
    <cellStyle name="20% - Accent6 52 2 2" xfId="12002"/>
    <cellStyle name="20% - Accent6 52 2 2 2" xfId="23290"/>
    <cellStyle name="20% - Accent6 52 2 3" xfId="10008"/>
    <cellStyle name="20% - Accent6 52 2 3 2" xfId="21296"/>
    <cellStyle name="20% - Accent6 52 2 4" xfId="8014"/>
    <cellStyle name="20% - Accent6 52 2 4 2" xfId="19302"/>
    <cellStyle name="20% - Accent6 52 2 5" xfId="6020"/>
    <cellStyle name="20% - Accent6 52 2 5 2" xfId="17308"/>
    <cellStyle name="20% - Accent6 52 2 6" xfId="15314"/>
    <cellStyle name="20% - Accent6 52 3" xfId="11005"/>
    <cellStyle name="20% - Accent6 52 3 2" xfId="22293"/>
    <cellStyle name="20% - Accent6 52 4" xfId="9011"/>
    <cellStyle name="20% - Accent6 52 4 2" xfId="20299"/>
    <cellStyle name="20% - Accent6 52 5" xfId="7017"/>
    <cellStyle name="20% - Accent6 52 5 2" xfId="18305"/>
    <cellStyle name="20% - Accent6 52 6" xfId="5023"/>
    <cellStyle name="20% - Accent6 52 6 2" xfId="16311"/>
    <cellStyle name="20% - Accent6 52 7" xfId="14317"/>
    <cellStyle name="20% - Accent6 52 8" xfId="13003"/>
    <cellStyle name="20% - Accent6 53" xfId="1068"/>
    <cellStyle name="20% - Accent6 53 2" xfId="4024"/>
    <cellStyle name="20% - Accent6 53 2 2" xfId="12003"/>
    <cellStyle name="20% - Accent6 53 2 2 2" xfId="23291"/>
    <cellStyle name="20% - Accent6 53 2 3" xfId="10009"/>
    <cellStyle name="20% - Accent6 53 2 3 2" xfId="21297"/>
    <cellStyle name="20% - Accent6 53 2 4" xfId="8015"/>
    <cellStyle name="20% - Accent6 53 2 4 2" xfId="19303"/>
    <cellStyle name="20% - Accent6 53 2 5" xfId="6021"/>
    <cellStyle name="20% - Accent6 53 2 5 2" xfId="17309"/>
    <cellStyle name="20% - Accent6 53 2 6" xfId="15315"/>
    <cellStyle name="20% - Accent6 53 3" xfId="11006"/>
    <cellStyle name="20% - Accent6 53 3 2" xfId="22294"/>
    <cellStyle name="20% - Accent6 53 4" xfId="9012"/>
    <cellStyle name="20% - Accent6 53 4 2" xfId="20300"/>
    <cellStyle name="20% - Accent6 53 5" xfId="7018"/>
    <cellStyle name="20% - Accent6 53 5 2" xfId="18306"/>
    <cellStyle name="20% - Accent6 53 6" xfId="5024"/>
    <cellStyle name="20% - Accent6 53 6 2" xfId="16312"/>
    <cellStyle name="20% - Accent6 53 7" xfId="14318"/>
    <cellStyle name="20% - Accent6 53 8" xfId="13004"/>
    <cellStyle name="20% - Accent6 54" xfId="1069"/>
    <cellStyle name="20% - Accent6 54 2" xfId="4025"/>
    <cellStyle name="20% - Accent6 54 2 2" xfId="12004"/>
    <cellStyle name="20% - Accent6 54 2 2 2" xfId="23292"/>
    <cellStyle name="20% - Accent6 54 2 3" xfId="10010"/>
    <cellStyle name="20% - Accent6 54 2 3 2" xfId="21298"/>
    <cellStyle name="20% - Accent6 54 2 4" xfId="8016"/>
    <cellStyle name="20% - Accent6 54 2 4 2" xfId="19304"/>
    <cellStyle name="20% - Accent6 54 2 5" xfId="6022"/>
    <cellStyle name="20% - Accent6 54 2 5 2" xfId="17310"/>
    <cellStyle name="20% - Accent6 54 2 6" xfId="15316"/>
    <cellStyle name="20% - Accent6 54 3" xfId="11007"/>
    <cellStyle name="20% - Accent6 54 3 2" xfId="22295"/>
    <cellStyle name="20% - Accent6 54 4" xfId="9013"/>
    <cellStyle name="20% - Accent6 54 4 2" xfId="20301"/>
    <cellStyle name="20% - Accent6 54 5" xfId="7019"/>
    <cellStyle name="20% - Accent6 54 5 2" xfId="18307"/>
    <cellStyle name="20% - Accent6 54 6" xfId="5025"/>
    <cellStyle name="20% - Accent6 54 6 2" xfId="16313"/>
    <cellStyle name="20% - Accent6 54 7" xfId="14319"/>
    <cellStyle name="20% - Accent6 54 8" xfId="13005"/>
    <cellStyle name="20% - Accent6 55" xfId="1070"/>
    <cellStyle name="20% - Accent6 55 2" xfId="4026"/>
    <cellStyle name="20% - Accent6 55 2 2" xfId="12005"/>
    <cellStyle name="20% - Accent6 55 2 2 2" xfId="23293"/>
    <cellStyle name="20% - Accent6 55 2 3" xfId="10011"/>
    <cellStyle name="20% - Accent6 55 2 3 2" xfId="21299"/>
    <cellStyle name="20% - Accent6 55 2 4" xfId="8017"/>
    <cellStyle name="20% - Accent6 55 2 4 2" xfId="19305"/>
    <cellStyle name="20% - Accent6 55 2 5" xfId="6023"/>
    <cellStyle name="20% - Accent6 55 2 5 2" xfId="17311"/>
    <cellStyle name="20% - Accent6 55 2 6" xfId="15317"/>
    <cellStyle name="20% - Accent6 55 3" xfId="11008"/>
    <cellStyle name="20% - Accent6 55 3 2" xfId="22296"/>
    <cellStyle name="20% - Accent6 55 4" xfId="9014"/>
    <cellStyle name="20% - Accent6 55 4 2" xfId="20302"/>
    <cellStyle name="20% - Accent6 55 5" xfId="7020"/>
    <cellStyle name="20% - Accent6 55 5 2" xfId="18308"/>
    <cellStyle name="20% - Accent6 55 6" xfId="5026"/>
    <cellStyle name="20% - Accent6 55 6 2" xfId="16314"/>
    <cellStyle name="20% - Accent6 55 7" xfId="14320"/>
    <cellStyle name="20% - Accent6 55 8" xfId="13006"/>
    <cellStyle name="20% - Accent6 56" xfId="1071"/>
    <cellStyle name="20% - Accent6 56 2" xfId="4027"/>
    <cellStyle name="20% - Accent6 56 2 2" xfId="12006"/>
    <cellStyle name="20% - Accent6 56 2 2 2" xfId="23294"/>
    <cellStyle name="20% - Accent6 56 2 3" xfId="10012"/>
    <cellStyle name="20% - Accent6 56 2 3 2" xfId="21300"/>
    <cellStyle name="20% - Accent6 56 2 4" xfId="8018"/>
    <cellStyle name="20% - Accent6 56 2 4 2" xfId="19306"/>
    <cellStyle name="20% - Accent6 56 2 5" xfId="6024"/>
    <cellStyle name="20% - Accent6 56 2 5 2" xfId="17312"/>
    <cellStyle name="20% - Accent6 56 2 6" xfId="15318"/>
    <cellStyle name="20% - Accent6 56 3" xfId="11009"/>
    <cellStyle name="20% - Accent6 56 3 2" xfId="22297"/>
    <cellStyle name="20% - Accent6 56 4" xfId="9015"/>
    <cellStyle name="20% - Accent6 56 4 2" xfId="20303"/>
    <cellStyle name="20% - Accent6 56 5" xfId="7021"/>
    <cellStyle name="20% - Accent6 56 5 2" xfId="18309"/>
    <cellStyle name="20% - Accent6 56 6" xfId="5027"/>
    <cellStyle name="20% - Accent6 56 6 2" xfId="16315"/>
    <cellStyle name="20% - Accent6 56 7" xfId="14321"/>
    <cellStyle name="20% - Accent6 56 8" xfId="13007"/>
    <cellStyle name="20% - Accent6 57" xfId="1072"/>
    <cellStyle name="20% - Accent6 57 2" xfId="4028"/>
    <cellStyle name="20% - Accent6 57 2 2" xfId="12007"/>
    <cellStyle name="20% - Accent6 57 2 2 2" xfId="23295"/>
    <cellStyle name="20% - Accent6 57 2 3" xfId="10013"/>
    <cellStyle name="20% - Accent6 57 2 3 2" xfId="21301"/>
    <cellStyle name="20% - Accent6 57 2 4" xfId="8019"/>
    <cellStyle name="20% - Accent6 57 2 4 2" xfId="19307"/>
    <cellStyle name="20% - Accent6 57 2 5" xfId="6025"/>
    <cellStyle name="20% - Accent6 57 2 5 2" xfId="17313"/>
    <cellStyle name="20% - Accent6 57 2 6" xfId="15319"/>
    <cellStyle name="20% - Accent6 57 3" xfId="11010"/>
    <cellStyle name="20% - Accent6 57 3 2" xfId="22298"/>
    <cellStyle name="20% - Accent6 57 4" xfId="9016"/>
    <cellStyle name="20% - Accent6 57 4 2" xfId="20304"/>
    <cellStyle name="20% - Accent6 57 5" xfId="7022"/>
    <cellStyle name="20% - Accent6 57 5 2" xfId="18310"/>
    <cellStyle name="20% - Accent6 57 6" xfId="5028"/>
    <cellStyle name="20% - Accent6 57 6 2" xfId="16316"/>
    <cellStyle name="20% - Accent6 57 7" xfId="14322"/>
    <cellStyle name="20% - Accent6 57 8" xfId="13008"/>
    <cellStyle name="20% - Accent6 58" xfId="1073"/>
    <cellStyle name="20% - Accent6 58 2" xfId="4029"/>
    <cellStyle name="20% - Accent6 58 2 2" xfId="12008"/>
    <cellStyle name="20% - Accent6 58 2 2 2" xfId="23296"/>
    <cellStyle name="20% - Accent6 58 2 3" xfId="10014"/>
    <cellStyle name="20% - Accent6 58 2 3 2" xfId="21302"/>
    <cellStyle name="20% - Accent6 58 2 4" xfId="8020"/>
    <cellStyle name="20% - Accent6 58 2 4 2" xfId="19308"/>
    <cellStyle name="20% - Accent6 58 2 5" xfId="6026"/>
    <cellStyle name="20% - Accent6 58 2 5 2" xfId="17314"/>
    <cellStyle name="20% - Accent6 58 2 6" xfId="15320"/>
    <cellStyle name="20% - Accent6 58 3" xfId="11011"/>
    <cellStyle name="20% - Accent6 58 3 2" xfId="22299"/>
    <cellStyle name="20% - Accent6 58 4" xfId="9017"/>
    <cellStyle name="20% - Accent6 58 4 2" xfId="20305"/>
    <cellStyle name="20% - Accent6 58 5" xfId="7023"/>
    <cellStyle name="20% - Accent6 58 5 2" xfId="18311"/>
    <cellStyle name="20% - Accent6 58 6" xfId="5029"/>
    <cellStyle name="20% - Accent6 58 6 2" xfId="16317"/>
    <cellStyle name="20% - Accent6 58 7" xfId="14323"/>
    <cellStyle name="20% - Accent6 58 8" xfId="13009"/>
    <cellStyle name="20% - Accent6 59" xfId="1074"/>
    <cellStyle name="20% - Accent6 59 2" xfId="4030"/>
    <cellStyle name="20% - Accent6 59 2 2" xfId="12009"/>
    <cellStyle name="20% - Accent6 59 2 2 2" xfId="23297"/>
    <cellStyle name="20% - Accent6 59 2 3" xfId="10015"/>
    <cellStyle name="20% - Accent6 59 2 3 2" xfId="21303"/>
    <cellStyle name="20% - Accent6 59 2 4" xfId="8021"/>
    <cellStyle name="20% - Accent6 59 2 4 2" xfId="19309"/>
    <cellStyle name="20% - Accent6 59 2 5" xfId="6027"/>
    <cellStyle name="20% - Accent6 59 2 5 2" xfId="17315"/>
    <cellStyle name="20% - Accent6 59 2 6" xfId="15321"/>
    <cellStyle name="20% - Accent6 59 3" xfId="11012"/>
    <cellStyle name="20% - Accent6 59 3 2" xfId="22300"/>
    <cellStyle name="20% - Accent6 59 4" xfId="9018"/>
    <cellStyle name="20% - Accent6 59 4 2" xfId="20306"/>
    <cellStyle name="20% - Accent6 59 5" xfId="7024"/>
    <cellStyle name="20% - Accent6 59 5 2" xfId="18312"/>
    <cellStyle name="20% - Accent6 59 6" xfId="5030"/>
    <cellStyle name="20% - Accent6 59 6 2" xfId="16318"/>
    <cellStyle name="20% - Accent6 59 7" xfId="14324"/>
    <cellStyle name="20% - Accent6 59 8" xfId="13010"/>
    <cellStyle name="20% - Accent6 6" xfId="1075"/>
    <cellStyle name="20% - Accent6 6 10" xfId="24593"/>
    <cellStyle name="20% - Accent6 6 11" xfId="24983"/>
    <cellStyle name="20% - Accent6 6 2" xfId="4031"/>
    <cellStyle name="20% - Accent6 6 2 2" xfId="12010"/>
    <cellStyle name="20% - Accent6 6 2 2 2" xfId="23298"/>
    <cellStyle name="20% - Accent6 6 2 3" xfId="10016"/>
    <cellStyle name="20% - Accent6 6 2 3 2" xfId="21304"/>
    <cellStyle name="20% - Accent6 6 2 4" xfId="8022"/>
    <cellStyle name="20% - Accent6 6 2 4 2" xfId="19310"/>
    <cellStyle name="20% - Accent6 6 2 5" xfId="6028"/>
    <cellStyle name="20% - Accent6 6 2 5 2" xfId="17316"/>
    <cellStyle name="20% - Accent6 6 2 6" xfId="15322"/>
    <cellStyle name="20% - Accent6 6 2 7" xfId="24354"/>
    <cellStyle name="20% - Accent6 6 2 8" xfId="24818"/>
    <cellStyle name="20% - Accent6 6 2 9" xfId="25185"/>
    <cellStyle name="20% - Accent6 6 3" xfId="11013"/>
    <cellStyle name="20% - Accent6 6 3 2" xfId="22301"/>
    <cellStyle name="20% - Accent6 6 4" xfId="9019"/>
    <cellStyle name="20% - Accent6 6 4 2" xfId="20307"/>
    <cellStyle name="20% - Accent6 6 5" xfId="7025"/>
    <cellStyle name="20% - Accent6 6 5 2" xfId="18313"/>
    <cellStyle name="20% - Accent6 6 6" xfId="5031"/>
    <cellStyle name="20% - Accent6 6 6 2" xfId="16319"/>
    <cellStyle name="20% - Accent6 6 7" xfId="14325"/>
    <cellStyle name="20% - Accent6 6 8" xfId="13011"/>
    <cellStyle name="20% - Accent6 6 9" xfId="23966"/>
    <cellStyle name="20% - Accent6 60" xfId="1076"/>
    <cellStyle name="20% - Accent6 60 2" xfId="4032"/>
    <cellStyle name="20% - Accent6 60 2 2" xfId="12011"/>
    <cellStyle name="20% - Accent6 60 2 2 2" xfId="23299"/>
    <cellStyle name="20% - Accent6 60 2 3" xfId="10017"/>
    <cellStyle name="20% - Accent6 60 2 3 2" xfId="21305"/>
    <cellStyle name="20% - Accent6 60 2 4" xfId="8023"/>
    <cellStyle name="20% - Accent6 60 2 4 2" xfId="19311"/>
    <cellStyle name="20% - Accent6 60 2 5" xfId="6029"/>
    <cellStyle name="20% - Accent6 60 2 5 2" xfId="17317"/>
    <cellStyle name="20% - Accent6 60 2 6" xfId="15323"/>
    <cellStyle name="20% - Accent6 60 3" xfId="11014"/>
    <cellStyle name="20% - Accent6 60 3 2" xfId="22302"/>
    <cellStyle name="20% - Accent6 60 4" xfId="9020"/>
    <cellStyle name="20% - Accent6 60 4 2" xfId="20308"/>
    <cellStyle name="20% - Accent6 60 5" xfId="7026"/>
    <cellStyle name="20% - Accent6 60 5 2" xfId="18314"/>
    <cellStyle name="20% - Accent6 60 6" xfId="5032"/>
    <cellStyle name="20% - Accent6 60 6 2" xfId="16320"/>
    <cellStyle name="20% - Accent6 60 7" xfId="14326"/>
    <cellStyle name="20% - Accent6 60 8" xfId="13012"/>
    <cellStyle name="20% - Accent6 61" xfId="1077"/>
    <cellStyle name="20% - Accent6 61 2" xfId="4033"/>
    <cellStyle name="20% - Accent6 61 2 2" xfId="12012"/>
    <cellStyle name="20% - Accent6 61 2 2 2" xfId="23300"/>
    <cellStyle name="20% - Accent6 61 2 3" xfId="10018"/>
    <cellStyle name="20% - Accent6 61 2 3 2" xfId="21306"/>
    <cellStyle name="20% - Accent6 61 2 4" xfId="8024"/>
    <cellStyle name="20% - Accent6 61 2 4 2" xfId="19312"/>
    <cellStyle name="20% - Accent6 61 2 5" xfId="6030"/>
    <cellStyle name="20% - Accent6 61 2 5 2" xfId="17318"/>
    <cellStyle name="20% - Accent6 61 2 6" xfId="15324"/>
    <cellStyle name="20% - Accent6 61 3" xfId="11015"/>
    <cellStyle name="20% - Accent6 61 3 2" xfId="22303"/>
    <cellStyle name="20% - Accent6 61 4" xfId="9021"/>
    <cellStyle name="20% - Accent6 61 4 2" xfId="20309"/>
    <cellStyle name="20% - Accent6 61 5" xfId="7027"/>
    <cellStyle name="20% - Accent6 61 5 2" xfId="18315"/>
    <cellStyle name="20% - Accent6 61 6" xfId="5033"/>
    <cellStyle name="20% - Accent6 61 6 2" xfId="16321"/>
    <cellStyle name="20% - Accent6 61 7" xfId="14327"/>
    <cellStyle name="20% - Accent6 61 8" xfId="13013"/>
    <cellStyle name="20% - Accent6 62" xfId="1078"/>
    <cellStyle name="20% - Accent6 62 2" xfId="4034"/>
    <cellStyle name="20% - Accent6 62 2 2" xfId="12013"/>
    <cellStyle name="20% - Accent6 62 2 2 2" xfId="23301"/>
    <cellStyle name="20% - Accent6 62 2 3" xfId="10019"/>
    <cellStyle name="20% - Accent6 62 2 3 2" xfId="21307"/>
    <cellStyle name="20% - Accent6 62 2 4" xfId="8025"/>
    <cellStyle name="20% - Accent6 62 2 4 2" xfId="19313"/>
    <cellStyle name="20% - Accent6 62 2 5" xfId="6031"/>
    <cellStyle name="20% - Accent6 62 2 5 2" xfId="17319"/>
    <cellStyle name="20% - Accent6 62 2 6" xfId="15325"/>
    <cellStyle name="20% - Accent6 62 3" xfId="11016"/>
    <cellStyle name="20% - Accent6 62 3 2" xfId="22304"/>
    <cellStyle name="20% - Accent6 62 4" xfId="9022"/>
    <cellStyle name="20% - Accent6 62 4 2" xfId="20310"/>
    <cellStyle name="20% - Accent6 62 5" xfId="7028"/>
    <cellStyle name="20% - Accent6 62 5 2" xfId="18316"/>
    <cellStyle name="20% - Accent6 62 6" xfId="5034"/>
    <cellStyle name="20% - Accent6 62 6 2" xfId="16322"/>
    <cellStyle name="20% - Accent6 62 7" xfId="14328"/>
    <cellStyle name="20% - Accent6 62 8" xfId="13014"/>
    <cellStyle name="20% - Accent6 63" xfId="1079"/>
    <cellStyle name="20% - Accent6 63 2" xfId="4035"/>
    <cellStyle name="20% - Accent6 63 2 2" xfId="12014"/>
    <cellStyle name="20% - Accent6 63 2 2 2" xfId="23302"/>
    <cellStyle name="20% - Accent6 63 2 3" xfId="10020"/>
    <cellStyle name="20% - Accent6 63 2 3 2" xfId="21308"/>
    <cellStyle name="20% - Accent6 63 2 4" xfId="8026"/>
    <cellStyle name="20% - Accent6 63 2 4 2" xfId="19314"/>
    <cellStyle name="20% - Accent6 63 2 5" xfId="6032"/>
    <cellStyle name="20% - Accent6 63 2 5 2" xfId="17320"/>
    <cellStyle name="20% - Accent6 63 2 6" xfId="15326"/>
    <cellStyle name="20% - Accent6 63 3" xfId="11017"/>
    <cellStyle name="20% - Accent6 63 3 2" xfId="22305"/>
    <cellStyle name="20% - Accent6 63 4" xfId="9023"/>
    <cellStyle name="20% - Accent6 63 4 2" xfId="20311"/>
    <cellStyle name="20% - Accent6 63 5" xfId="7029"/>
    <cellStyle name="20% - Accent6 63 5 2" xfId="18317"/>
    <cellStyle name="20% - Accent6 63 6" xfId="5035"/>
    <cellStyle name="20% - Accent6 63 6 2" xfId="16323"/>
    <cellStyle name="20% - Accent6 63 7" xfId="14329"/>
    <cellStyle name="20% - Accent6 63 8" xfId="13015"/>
    <cellStyle name="20% - Accent6 64" xfId="1080"/>
    <cellStyle name="20% - Accent6 64 2" xfId="4036"/>
    <cellStyle name="20% - Accent6 64 2 2" xfId="12015"/>
    <cellStyle name="20% - Accent6 64 2 2 2" xfId="23303"/>
    <cellStyle name="20% - Accent6 64 2 3" xfId="10021"/>
    <cellStyle name="20% - Accent6 64 2 3 2" xfId="21309"/>
    <cellStyle name="20% - Accent6 64 2 4" xfId="8027"/>
    <cellStyle name="20% - Accent6 64 2 4 2" xfId="19315"/>
    <cellStyle name="20% - Accent6 64 2 5" xfId="6033"/>
    <cellStyle name="20% - Accent6 64 2 5 2" xfId="17321"/>
    <cellStyle name="20% - Accent6 64 2 6" xfId="15327"/>
    <cellStyle name="20% - Accent6 64 3" xfId="11018"/>
    <cellStyle name="20% - Accent6 64 3 2" xfId="22306"/>
    <cellStyle name="20% - Accent6 64 4" xfId="9024"/>
    <cellStyle name="20% - Accent6 64 4 2" xfId="20312"/>
    <cellStyle name="20% - Accent6 64 5" xfId="7030"/>
    <cellStyle name="20% - Accent6 64 5 2" xfId="18318"/>
    <cellStyle name="20% - Accent6 64 6" xfId="5036"/>
    <cellStyle name="20% - Accent6 64 6 2" xfId="16324"/>
    <cellStyle name="20% - Accent6 64 7" xfId="14330"/>
    <cellStyle name="20% - Accent6 64 8" xfId="13016"/>
    <cellStyle name="20% - Accent6 65" xfId="1081"/>
    <cellStyle name="20% - Accent6 65 2" xfId="4037"/>
    <cellStyle name="20% - Accent6 65 2 2" xfId="12016"/>
    <cellStyle name="20% - Accent6 65 2 2 2" xfId="23304"/>
    <cellStyle name="20% - Accent6 65 2 3" xfId="10022"/>
    <cellStyle name="20% - Accent6 65 2 3 2" xfId="21310"/>
    <cellStyle name="20% - Accent6 65 2 4" xfId="8028"/>
    <cellStyle name="20% - Accent6 65 2 4 2" xfId="19316"/>
    <cellStyle name="20% - Accent6 65 2 5" xfId="6034"/>
    <cellStyle name="20% - Accent6 65 2 5 2" xfId="17322"/>
    <cellStyle name="20% - Accent6 65 2 6" xfId="15328"/>
    <cellStyle name="20% - Accent6 65 3" xfId="11019"/>
    <cellStyle name="20% - Accent6 65 3 2" xfId="22307"/>
    <cellStyle name="20% - Accent6 65 4" xfId="9025"/>
    <cellStyle name="20% - Accent6 65 4 2" xfId="20313"/>
    <cellStyle name="20% - Accent6 65 5" xfId="7031"/>
    <cellStyle name="20% - Accent6 65 5 2" xfId="18319"/>
    <cellStyle name="20% - Accent6 65 6" xfId="5037"/>
    <cellStyle name="20% - Accent6 65 6 2" xfId="16325"/>
    <cellStyle name="20% - Accent6 65 7" xfId="14331"/>
    <cellStyle name="20% - Accent6 65 8" xfId="13017"/>
    <cellStyle name="20% - Accent6 66" xfId="1082"/>
    <cellStyle name="20% - Accent6 66 2" xfId="4038"/>
    <cellStyle name="20% - Accent6 66 2 2" xfId="12017"/>
    <cellStyle name="20% - Accent6 66 2 2 2" xfId="23305"/>
    <cellStyle name="20% - Accent6 66 2 3" xfId="10023"/>
    <cellStyle name="20% - Accent6 66 2 3 2" xfId="21311"/>
    <cellStyle name="20% - Accent6 66 2 4" xfId="8029"/>
    <cellStyle name="20% - Accent6 66 2 4 2" xfId="19317"/>
    <cellStyle name="20% - Accent6 66 2 5" xfId="6035"/>
    <cellStyle name="20% - Accent6 66 2 5 2" xfId="17323"/>
    <cellStyle name="20% - Accent6 66 2 6" xfId="15329"/>
    <cellStyle name="20% - Accent6 66 3" xfId="11020"/>
    <cellStyle name="20% - Accent6 66 3 2" xfId="22308"/>
    <cellStyle name="20% - Accent6 66 4" xfId="9026"/>
    <cellStyle name="20% - Accent6 66 4 2" xfId="20314"/>
    <cellStyle name="20% - Accent6 66 5" xfId="7032"/>
    <cellStyle name="20% - Accent6 66 5 2" xfId="18320"/>
    <cellStyle name="20% - Accent6 66 6" xfId="5038"/>
    <cellStyle name="20% - Accent6 66 6 2" xfId="16326"/>
    <cellStyle name="20% - Accent6 66 7" xfId="14332"/>
    <cellStyle name="20% - Accent6 66 8" xfId="13018"/>
    <cellStyle name="20% - Accent6 67" xfId="1083"/>
    <cellStyle name="20% - Accent6 67 2" xfId="4039"/>
    <cellStyle name="20% - Accent6 67 2 2" xfId="12018"/>
    <cellStyle name="20% - Accent6 67 2 2 2" xfId="23306"/>
    <cellStyle name="20% - Accent6 67 2 3" xfId="10024"/>
    <cellStyle name="20% - Accent6 67 2 3 2" xfId="21312"/>
    <cellStyle name="20% - Accent6 67 2 4" xfId="8030"/>
    <cellStyle name="20% - Accent6 67 2 4 2" xfId="19318"/>
    <cellStyle name="20% - Accent6 67 2 5" xfId="6036"/>
    <cellStyle name="20% - Accent6 67 2 5 2" xfId="17324"/>
    <cellStyle name="20% - Accent6 67 2 6" xfId="15330"/>
    <cellStyle name="20% - Accent6 67 3" xfId="11021"/>
    <cellStyle name="20% - Accent6 67 3 2" xfId="22309"/>
    <cellStyle name="20% - Accent6 67 4" xfId="9027"/>
    <cellStyle name="20% - Accent6 67 4 2" xfId="20315"/>
    <cellStyle name="20% - Accent6 67 5" xfId="7033"/>
    <cellStyle name="20% - Accent6 67 5 2" xfId="18321"/>
    <cellStyle name="20% - Accent6 67 6" xfId="5039"/>
    <cellStyle name="20% - Accent6 67 6 2" xfId="16327"/>
    <cellStyle name="20% - Accent6 67 7" xfId="14333"/>
    <cellStyle name="20% - Accent6 67 8" xfId="13019"/>
    <cellStyle name="20% - Accent6 68" xfId="1084"/>
    <cellStyle name="20% - Accent6 68 2" xfId="4040"/>
    <cellStyle name="20% - Accent6 68 2 2" xfId="12019"/>
    <cellStyle name="20% - Accent6 68 2 2 2" xfId="23307"/>
    <cellStyle name="20% - Accent6 68 2 3" xfId="10025"/>
    <cellStyle name="20% - Accent6 68 2 3 2" xfId="21313"/>
    <cellStyle name="20% - Accent6 68 2 4" xfId="8031"/>
    <cellStyle name="20% - Accent6 68 2 4 2" xfId="19319"/>
    <cellStyle name="20% - Accent6 68 2 5" xfId="6037"/>
    <cellStyle name="20% - Accent6 68 2 5 2" xfId="17325"/>
    <cellStyle name="20% - Accent6 68 2 6" xfId="15331"/>
    <cellStyle name="20% - Accent6 68 3" xfId="11022"/>
    <cellStyle name="20% - Accent6 68 3 2" xfId="22310"/>
    <cellStyle name="20% - Accent6 68 4" xfId="9028"/>
    <cellStyle name="20% - Accent6 68 4 2" xfId="20316"/>
    <cellStyle name="20% - Accent6 68 5" xfId="7034"/>
    <cellStyle name="20% - Accent6 68 5 2" xfId="18322"/>
    <cellStyle name="20% - Accent6 68 6" xfId="5040"/>
    <cellStyle name="20% - Accent6 68 6 2" xfId="16328"/>
    <cellStyle name="20% - Accent6 68 7" xfId="14334"/>
    <cellStyle name="20% - Accent6 68 8" xfId="13020"/>
    <cellStyle name="20% - Accent6 69" xfId="1085"/>
    <cellStyle name="20% - Accent6 69 2" xfId="4041"/>
    <cellStyle name="20% - Accent6 69 2 2" xfId="12020"/>
    <cellStyle name="20% - Accent6 69 2 2 2" xfId="23308"/>
    <cellStyle name="20% - Accent6 69 2 3" xfId="10026"/>
    <cellStyle name="20% - Accent6 69 2 3 2" xfId="21314"/>
    <cellStyle name="20% - Accent6 69 2 4" xfId="8032"/>
    <cellStyle name="20% - Accent6 69 2 4 2" xfId="19320"/>
    <cellStyle name="20% - Accent6 69 2 5" xfId="6038"/>
    <cellStyle name="20% - Accent6 69 2 5 2" xfId="17326"/>
    <cellStyle name="20% - Accent6 69 2 6" xfId="15332"/>
    <cellStyle name="20% - Accent6 69 3" xfId="11023"/>
    <cellStyle name="20% - Accent6 69 3 2" xfId="22311"/>
    <cellStyle name="20% - Accent6 69 4" xfId="9029"/>
    <cellStyle name="20% - Accent6 69 4 2" xfId="20317"/>
    <cellStyle name="20% - Accent6 69 5" xfId="7035"/>
    <cellStyle name="20% - Accent6 69 5 2" xfId="18323"/>
    <cellStyle name="20% - Accent6 69 6" xfId="5041"/>
    <cellStyle name="20% - Accent6 69 6 2" xfId="16329"/>
    <cellStyle name="20% - Accent6 69 7" xfId="14335"/>
    <cellStyle name="20% - Accent6 69 8" xfId="13021"/>
    <cellStyle name="20% - Accent6 7" xfId="1086"/>
    <cellStyle name="20% - Accent6 7 10" xfId="24594"/>
    <cellStyle name="20% - Accent6 7 11" xfId="24984"/>
    <cellStyle name="20% - Accent6 7 2" xfId="4042"/>
    <cellStyle name="20% - Accent6 7 2 2" xfId="12021"/>
    <cellStyle name="20% - Accent6 7 2 2 2" xfId="23309"/>
    <cellStyle name="20% - Accent6 7 2 3" xfId="10027"/>
    <cellStyle name="20% - Accent6 7 2 3 2" xfId="21315"/>
    <cellStyle name="20% - Accent6 7 2 4" xfId="8033"/>
    <cellStyle name="20% - Accent6 7 2 4 2" xfId="19321"/>
    <cellStyle name="20% - Accent6 7 2 5" xfId="6039"/>
    <cellStyle name="20% - Accent6 7 2 5 2" xfId="17327"/>
    <cellStyle name="20% - Accent6 7 2 6" xfId="15333"/>
    <cellStyle name="20% - Accent6 7 2 7" xfId="24355"/>
    <cellStyle name="20% - Accent6 7 2 8" xfId="24819"/>
    <cellStyle name="20% - Accent6 7 2 9" xfId="25186"/>
    <cellStyle name="20% - Accent6 7 3" xfId="11024"/>
    <cellStyle name="20% - Accent6 7 3 2" xfId="22312"/>
    <cellStyle name="20% - Accent6 7 4" xfId="9030"/>
    <cellStyle name="20% - Accent6 7 4 2" xfId="20318"/>
    <cellStyle name="20% - Accent6 7 5" xfId="7036"/>
    <cellStyle name="20% - Accent6 7 5 2" xfId="18324"/>
    <cellStyle name="20% - Accent6 7 6" xfId="5042"/>
    <cellStyle name="20% - Accent6 7 6 2" xfId="16330"/>
    <cellStyle name="20% - Accent6 7 7" xfId="14336"/>
    <cellStyle name="20% - Accent6 7 8" xfId="13022"/>
    <cellStyle name="20% - Accent6 7 9" xfId="23967"/>
    <cellStyle name="20% - Accent6 70" xfId="1087"/>
    <cellStyle name="20% - Accent6 70 2" xfId="4043"/>
    <cellStyle name="20% - Accent6 70 2 2" xfId="12022"/>
    <cellStyle name="20% - Accent6 70 2 2 2" xfId="23310"/>
    <cellStyle name="20% - Accent6 70 2 3" xfId="10028"/>
    <cellStyle name="20% - Accent6 70 2 3 2" xfId="21316"/>
    <cellStyle name="20% - Accent6 70 2 4" xfId="8034"/>
    <cellStyle name="20% - Accent6 70 2 4 2" xfId="19322"/>
    <cellStyle name="20% - Accent6 70 2 5" xfId="6040"/>
    <cellStyle name="20% - Accent6 70 2 5 2" xfId="17328"/>
    <cellStyle name="20% - Accent6 70 2 6" xfId="15334"/>
    <cellStyle name="20% - Accent6 70 3" xfId="11025"/>
    <cellStyle name="20% - Accent6 70 3 2" xfId="22313"/>
    <cellStyle name="20% - Accent6 70 4" xfId="9031"/>
    <cellStyle name="20% - Accent6 70 4 2" xfId="20319"/>
    <cellStyle name="20% - Accent6 70 5" xfId="7037"/>
    <cellStyle name="20% - Accent6 70 5 2" xfId="18325"/>
    <cellStyle name="20% - Accent6 70 6" xfId="5043"/>
    <cellStyle name="20% - Accent6 70 6 2" xfId="16331"/>
    <cellStyle name="20% - Accent6 70 7" xfId="14337"/>
    <cellStyle name="20% - Accent6 70 8" xfId="13023"/>
    <cellStyle name="20% - Accent6 71" xfId="1088"/>
    <cellStyle name="20% - Accent6 71 2" xfId="4044"/>
    <cellStyle name="20% - Accent6 71 2 2" xfId="12023"/>
    <cellStyle name="20% - Accent6 71 2 2 2" xfId="23311"/>
    <cellStyle name="20% - Accent6 71 2 3" xfId="10029"/>
    <cellStyle name="20% - Accent6 71 2 3 2" xfId="21317"/>
    <cellStyle name="20% - Accent6 71 2 4" xfId="8035"/>
    <cellStyle name="20% - Accent6 71 2 4 2" xfId="19323"/>
    <cellStyle name="20% - Accent6 71 2 5" xfId="6041"/>
    <cellStyle name="20% - Accent6 71 2 5 2" xfId="17329"/>
    <cellStyle name="20% - Accent6 71 2 6" xfId="15335"/>
    <cellStyle name="20% - Accent6 71 3" xfId="11026"/>
    <cellStyle name="20% - Accent6 71 3 2" xfId="22314"/>
    <cellStyle name="20% - Accent6 71 4" xfId="9032"/>
    <cellStyle name="20% - Accent6 71 4 2" xfId="20320"/>
    <cellStyle name="20% - Accent6 71 5" xfId="7038"/>
    <cellStyle name="20% - Accent6 71 5 2" xfId="18326"/>
    <cellStyle name="20% - Accent6 71 6" xfId="5044"/>
    <cellStyle name="20% - Accent6 71 6 2" xfId="16332"/>
    <cellStyle name="20% - Accent6 71 7" xfId="14338"/>
    <cellStyle name="20% - Accent6 71 8" xfId="13024"/>
    <cellStyle name="20% - Accent6 72" xfId="1089"/>
    <cellStyle name="20% - Accent6 72 2" xfId="4045"/>
    <cellStyle name="20% - Accent6 72 2 2" xfId="12024"/>
    <cellStyle name="20% - Accent6 72 2 2 2" xfId="23312"/>
    <cellStyle name="20% - Accent6 72 2 3" xfId="10030"/>
    <cellStyle name="20% - Accent6 72 2 3 2" xfId="21318"/>
    <cellStyle name="20% - Accent6 72 2 4" xfId="8036"/>
    <cellStyle name="20% - Accent6 72 2 4 2" xfId="19324"/>
    <cellStyle name="20% - Accent6 72 2 5" xfId="6042"/>
    <cellStyle name="20% - Accent6 72 2 5 2" xfId="17330"/>
    <cellStyle name="20% - Accent6 72 2 6" xfId="15336"/>
    <cellStyle name="20% - Accent6 72 3" xfId="11027"/>
    <cellStyle name="20% - Accent6 72 3 2" xfId="22315"/>
    <cellStyle name="20% - Accent6 72 4" xfId="9033"/>
    <cellStyle name="20% - Accent6 72 4 2" xfId="20321"/>
    <cellStyle name="20% - Accent6 72 5" xfId="7039"/>
    <cellStyle name="20% - Accent6 72 5 2" xfId="18327"/>
    <cellStyle name="20% - Accent6 72 6" xfId="5045"/>
    <cellStyle name="20% - Accent6 72 6 2" xfId="16333"/>
    <cellStyle name="20% - Accent6 72 7" xfId="14339"/>
    <cellStyle name="20% - Accent6 72 8" xfId="13025"/>
    <cellStyle name="20% - Accent6 8" xfId="1090"/>
    <cellStyle name="20% - Accent6 8 2" xfId="4046"/>
    <cellStyle name="20% - Accent6 8 2 2" xfId="12025"/>
    <cellStyle name="20% - Accent6 8 2 2 2" xfId="23313"/>
    <cellStyle name="20% - Accent6 8 2 3" xfId="10031"/>
    <cellStyle name="20% - Accent6 8 2 3 2" xfId="21319"/>
    <cellStyle name="20% - Accent6 8 2 4" xfId="8037"/>
    <cellStyle name="20% - Accent6 8 2 4 2" xfId="19325"/>
    <cellStyle name="20% - Accent6 8 2 5" xfId="6043"/>
    <cellStyle name="20% - Accent6 8 2 5 2" xfId="17331"/>
    <cellStyle name="20% - Accent6 8 2 6" xfId="15337"/>
    <cellStyle name="20% - Accent6 8 3" xfId="11028"/>
    <cellStyle name="20% - Accent6 8 3 2" xfId="22316"/>
    <cellStyle name="20% - Accent6 8 4" xfId="9034"/>
    <cellStyle name="20% - Accent6 8 4 2" xfId="20322"/>
    <cellStyle name="20% - Accent6 8 5" xfId="7040"/>
    <cellStyle name="20% - Accent6 8 5 2" xfId="18328"/>
    <cellStyle name="20% - Accent6 8 6" xfId="5046"/>
    <cellStyle name="20% - Accent6 8 6 2" xfId="16334"/>
    <cellStyle name="20% - Accent6 8 7" xfId="14340"/>
    <cellStyle name="20% - Accent6 8 8" xfId="13026"/>
    <cellStyle name="20% - Accent6 9" xfId="1091"/>
    <cellStyle name="20% - Accent6 9 2" xfId="4047"/>
    <cellStyle name="20% - Accent6 9 2 2" xfId="12026"/>
    <cellStyle name="20% - Accent6 9 2 2 2" xfId="23314"/>
    <cellStyle name="20% - Accent6 9 2 3" xfId="10032"/>
    <cellStyle name="20% - Accent6 9 2 3 2" xfId="21320"/>
    <cellStyle name="20% - Accent6 9 2 4" xfId="8038"/>
    <cellStyle name="20% - Accent6 9 2 4 2" xfId="19326"/>
    <cellStyle name="20% - Accent6 9 2 5" xfId="6044"/>
    <cellStyle name="20% - Accent6 9 2 5 2" xfId="17332"/>
    <cellStyle name="20% - Accent6 9 2 6" xfId="15338"/>
    <cellStyle name="20% - Accent6 9 3" xfId="11029"/>
    <cellStyle name="20% - Accent6 9 3 2" xfId="22317"/>
    <cellStyle name="20% - Accent6 9 4" xfId="9035"/>
    <cellStyle name="20% - Accent6 9 4 2" xfId="20323"/>
    <cellStyle name="20% - Accent6 9 5" xfId="7041"/>
    <cellStyle name="20% - Accent6 9 5 2" xfId="18329"/>
    <cellStyle name="20% - Accent6 9 6" xfId="5047"/>
    <cellStyle name="20% - Accent6 9 6 2" xfId="16335"/>
    <cellStyle name="20% - Accent6 9 7" xfId="14341"/>
    <cellStyle name="20% - Accent6 9 8" xfId="13027"/>
    <cellStyle name="40% - Accent1 10" xfId="1092"/>
    <cellStyle name="40% - Accent1 10 2" xfId="4048"/>
    <cellStyle name="40% - Accent1 10 2 2" xfId="12027"/>
    <cellStyle name="40% - Accent1 10 2 2 2" xfId="23315"/>
    <cellStyle name="40% - Accent1 10 2 3" xfId="10033"/>
    <cellStyle name="40% - Accent1 10 2 3 2" xfId="21321"/>
    <cellStyle name="40% - Accent1 10 2 4" xfId="8039"/>
    <cellStyle name="40% - Accent1 10 2 4 2" xfId="19327"/>
    <cellStyle name="40% - Accent1 10 2 5" xfId="6045"/>
    <cellStyle name="40% - Accent1 10 2 5 2" xfId="17333"/>
    <cellStyle name="40% - Accent1 10 2 6" xfId="15339"/>
    <cellStyle name="40% - Accent1 10 3" xfId="11030"/>
    <cellStyle name="40% - Accent1 10 3 2" xfId="22318"/>
    <cellStyle name="40% - Accent1 10 4" xfId="9036"/>
    <cellStyle name="40% - Accent1 10 4 2" xfId="20324"/>
    <cellStyle name="40% - Accent1 10 5" xfId="7042"/>
    <cellStyle name="40% - Accent1 10 5 2" xfId="18330"/>
    <cellStyle name="40% - Accent1 10 6" xfId="5048"/>
    <cellStyle name="40% - Accent1 10 6 2" xfId="16336"/>
    <cellStyle name="40% - Accent1 10 7" xfId="14342"/>
    <cellStyle name="40% - Accent1 10 8" xfId="13028"/>
    <cellStyle name="40% - Accent1 11" xfId="1093"/>
    <cellStyle name="40% - Accent1 11 2" xfId="4049"/>
    <cellStyle name="40% - Accent1 11 2 2" xfId="12028"/>
    <cellStyle name="40% - Accent1 11 2 2 2" xfId="23316"/>
    <cellStyle name="40% - Accent1 11 2 3" xfId="10034"/>
    <cellStyle name="40% - Accent1 11 2 3 2" xfId="21322"/>
    <cellStyle name="40% - Accent1 11 2 4" xfId="8040"/>
    <cellStyle name="40% - Accent1 11 2 4 2" xfId="19328"/>
    <cellStyle name="40% - Accent1 11 2 5" xfId="6046"/>
    <cellStyle name="40% - Accent1 11 2 5 2" xfId="17334"/>
    <cellStyle name="40% - Accent1 11 2 6" xfId="15340"/>
    <cellStyle name="40% - Accent1 11 3" xfId="11031"/>
    <cellStyle name="40% - Accent1 11 3 2" xfId="22319"/>
    <cellStyle name="40% - Accent1 11 4" xfId="9037"/>
    <cellStyle name="40% - Accent1 11 4 2" xfId="20325"/>
    <cellStyle name="40% - Accent1 11 5" xfId="7043"/>
    <cellStyle name="40% - Accent1 11 5 2" xfId="18331"/>
    <cellStyle name="40% - Accent1 11 6" xfId="5049"/>
    <cellStyle name="40% - Accent1 11 6 2" xfId="16337"/>
    <cellStyle name="40% - Accent1 11 7" xfId="14343"/>
    <cellStyle name="40% - Accent1 11 8" xfId="13029"/>
    <cellStyle name="40% - Accent1 12" xfId="1094"/>
    <cellStyle name="40% - Accent1 12 2" xfId="4050"/>
    <cellStyle name="40% - Accent1 12 2 2" xfId="12029"/>
    <cellStyle name="40% - Accent1 12 2 2 2" xfId="23317"/>
    <cellStyle name="40% - Accent1 12 2 3" xfId="10035"/>
    <cellStyle name="40% - Accent1 12 2 3 2" xfId="21323"/>
    <cellStyle name="40% - Accent1 12 2 4" xfId="8041"/>
    <cellStyle name="40% - Accent1 12 2 4 2" xfId="19329"/>
    <cellStyle name="40% - Accent1 12 2 5" xfId="6047"/>
    <cellStyle name="40% - Accent1 12 2 5 2" xfId="17335"/>
    <cellStyle name="40% - Accent1 12 2 6" xfId="15341"/>
    <cellStyle name="40% - Accent1 12 3" xfId="11032"/>
    <cellStyle name="40% - Accent1 12 3 2" xfId="22320"/>
    <cellStyle name="40% - Accent1 12 4" xfId="9038"/>
    <cellStyle name="40% - Accent1 12 4 2" xfId="20326"/>
    <cellStyle name="40% - Accent1 12 5" xfId="7044"/>
    <cellStyle name="40% - Accent1 12 5 2" xfId="18332"/>
    <cellStyle name="40% - Accent1 12 6" xfId="5050"/>
    <cellStyle name="40% - Accent1 12 6 2" xfId="16338"/>
    <cellStyle name="40% - Accent1 12 7" xfId="14344"/>
    <cellStyle name="40% - Accent1 12 8" xfId="13030"/>
    <cellStyle name="40% - Accent1 13" xfId="1095"/>
    <cellStyle name="40% - Accent1 13 2" xfId="4051"/>
    <cellStyle name="40% - Accent1 13 2 2" xfId="12030"/>
    <cellStyle name="40% - Accent1 13 2 2 2" xfId="23318"/>
    <cellStyle name="40% - Accent1 13 2 3" xfId="10036"/>
    <cellStyle name="40% - Accent1 13 2 3 2" xfId="21324"/>
    <cellStyle name="40% - Accent1 13 2 4" xfId="8042"/>
    <cellStyle name="40% - Accent1 13 2 4 2" xfId="19330"/>
    <cellStyle name="40% - Accent1 13 2 5" xfId="6048"/>
    <cellStyle name="40% - Accent1 13 2 5 2" xfId="17336"/>
    <cellStyle name="40% - Accent1 13 2 6" xfId="15342"/>
    <cellStyle name="40% - Accent1 13 3" xfId="11033"/>
    <cellStyle name="40% - Accent1 13 3 2" xfId="22321"/>
    <cellStyle name="40% - Accent1 13 4" xfId="9039"/>
    <cellStyle name="40% - Accent1 13 4 2" xfId="20327"/>
    <cellStyle name="40% - Accent1 13 5" xfId="7045"/>
    <cellStyle name="40% - Accent1 13 5 2" xfId="18333"/>
    <cellStyle name="40% - Accent1 13 6" xfId="5051"/>
    <cellStyle name="40% - Accent1 13 6 2" xfId="16339"/>
    <cellStyle name="40% - Accent1 13 7" xfId="14345"/>
    <cellStyle name="40% - Accent1 13 8" xfId="13031"/>
    <cellStyle name="40% - Accent1 14" xfId="1096"/>
    <cellStyle name="40% - Accent1 14 2" xfId="4052"/>
    <cellStyle name="40% - Accent1 14 2 2" xfId="12031"/>
    <cellStyle name="40% - Accent1 14 2 2 2" xfId="23319"/>
    <cellStyle name="40% - Accent1 14 2 3" xfId="10037"/>
    <cellStyle name="40% - Accent1 14 2 3 2" xfId="21325"/>
    <cellStyle name="40% - Accent1 14 2 4" xfId="8043"/>
    <cellStyle name="40% - Accent1 14 2 4 2" xfId="19331"/>
    <cellStyle name="40% - Accent1 14 2 5" xfId="6049"/>
    <cellStyle name="40% - Accent1 14 2 5 2" xfId="17337"/>
    <cellStyle name="40% - Accent1 14 2 6" xfId="15343"/>
    <cellStyle name="40% - Accent1 14 3" xfId="11034"/>
    <cellStyle name="40% - Accent1 14 3 2" xfId="22322"/>
    <cellStyle name="40% - Accent1 14 4" xfId="9040"/>
    <cellStyle name="40% - Accent1 14 4 2" xfId="20328"/>
    <cellStyle name="40% - Accent1 14 5" xfId="7046"/>
    <cellStyle name="40% - Accent1 14 5 2" xfId="18334"/>
    <cellStyle name="40% - Accent1 14 6" xfId="5052"/>
    <cellStyle name="40% - Accent1 14 6 2" xfId="16340"/>
    <cellStyle name="40% - Accent1 14 7" xfId="14346"/>
    <cellStyle name="40% - Accent1 14 8" xfId="13032"/>
    <cellStyle name="40% - Accent1 15" xfId="1097"/>
    <cellStyle name="40% - Accent1 15 2" xfId="4053"/>
    <cellStyle name="40% - Accent1 15 2 2" xfId="12032"/>
    <cellStyle name="40% - Accent1 15 2 2 2" xfId="23320"/>
    <cellStyle name="40% - Accent1 15 2 3" xfId="10038"/>
    <cellStyle name="40% - Accent1 15 2 3 2" xfId="21326"/>
    <cellStyle name="40% - Accent1 15 2 4" xfId="8044"/>
    <cellStyle name="40% - Accent1 15 2 4 2" xfId="19332"/>
    <cellStyle name="40% - Accent1 15 2 5" xfId="6050"/>
    <cellStyle name="40% - Accent1 15 2 5 2" xfId="17338"/>
    <cellStyle name="40% - Accent1 15 2 6" xfId="15344"/>
    <cellStyle name="40% - Accent1 15 3" xfId="11035"/>
    <cellStyle name="40% - Accent1 15 3 2" xfId="22323"/>
    <cellStyle name="40% - Accent1 15 4" xfId="9041"/>
    <cellStyle name="40% - Accent1 15 4 2" xfId="20329"/>
    <cellStyle name="40% - Accent1 15 5" xfId="7047"/>
    <cellStyle name="40% - Accent1 15 5 2" xfId="18335"/>
    <cellStyle name="40% - Accent1 15 6" xfId="5053"/>
    <cellStyle name="40% - Accent1 15 6 2" xfId="16341"/>
    <cellStyle name="40% - Accent1 15 7" xfId="14347"/>
    <cellStyle name="40% - Accent1 15 8" xfId="13033"/>
    <cellStyle name="40% - Accent1 16" xfId="1098"/>
    <cellStyle name="40% - Accent1 16 2" xfId="4054"/>
    <cellStyle name="40% - Accent1 16 2 2" xfId="12033"/>
    <cellStyle name="40% - Accent1 16 2 2 2" xfId="23321"/>
    <cellStyle name="40% - Accent1 16 2 3" xfId="10039"/>
    <cellStyle name="40% - Accent1 16 2 3 2" xfId="21327"/>
    <cellStyle name="40% - Accent1 16 2 4" xfId="8045"/>
    <cellStyle name="40% - Accent1 16 2 4 2" xfId="19333"/>
    <cellStyle name="40% - Accent1 16 2 5" xfId="6051"/>
    <cellStyle name="40% - Accent1 16 2 5 2" xfId="17339"/>
    <cellStyle name="40% - Accent1 16 2 6" xfId="15345"/>
    <cellStyle name="40% - Accent1 16 3" xfId="11036"/>
    <cellStyle name="40% - Accent1 16 3 2" xfId="22324"/>
    <cellStyle name="40% - Accent1 16 4" xfId="9042"/>
    <cellStyle name="40% - Accent1 16 4 2" xfId="20330"/>
    <cellStyle name="40% - Accent1 16 5" xfId="7048"/>
    <cellStyle name="40% - Accent1 16 5 2" xfId="18336"/>
    <cellStyle name="40% - Accent1 16 6" xfId="5054"/>
    <cellStyle name="40% - Accent1 16 6 2" xfId="16342"/>
    <cellStyle name="40% - Accent1 16 7" xfId="14348"/>
    <cellStyle name="40% - Accent1 16 8" xfId="13034"/>
    <cellStyle name="40% - Accent1 17" xfId="1099"/>
    <cellStyle name="40% - Accent1 17 2" xfId="4055"/>
    <cellStyle name="40% - Accent1 17 2 2" xfId="12034"/>
    <cellStyle name="40% - Accent1 17 2 2 2" xfId="23322"/>
    <cellStyle name="40% - Accent1 17 2 3" xfId="10040"/>
    <cellStyle name="40% - Accent1 17 2 3 2" xfId="21328"/>
    <cellStyle name="40% - Accent1 17 2 4" xfId="8046"/>
    <cellStyle name="40% - Accent1 17 2 4 2" xfId="19334"/>
    <cellStyle name="40% - Accent1 17 2 5" xfId="6052"/>
    <cellStyle name="40% - Accent1 17 2 5 2" xfId="17340"/>
    <cellStyle name="40% - Accent1 17 2 6" xfId="15346"/>
    <cellStyle name="40% - Accent1 17 3" xfId="11037"/>
    <cellStyle name="40% - Accent1 17 3 2" xfId="22325"/>
    <cellStyle name="40% - Accent1 17 4" xfId="9043"/>
    <cellStyle name="40% - Accent1 17 4 2" xfId="20331"/>
    <cellStyle name="40% - Accent1 17 5" xfId="7049"/>
    <cellStyle name="40% - Accent1 17 5 2" xfId="18337"/>
    <cellStyle name="40% - Accent1 17 6" xfId="5055"/>
    <cellStyle name="40% - Accent1 17 6 2" xfId="16343"/>
    <cellStyle name="40% - Accent1 17 7" xfId="14349"/>
    <cellStyle name="40% - Accent1 17 8" xfId="13035"/>
    <cellStyle name="40% - Accent1 18" xfId="1100"/>
    <cellStyle name="40% - Accent1 18 2" xfId="4056"/>
    <cellStyle name="40% - Accent1 18 2 2" xfId="12035"/>
    <cellStyle name="40% - Accent1 18 2 2 2" xfId="23323"/>
    <cellStyle name="40% - Accent1 18 2 3" xfId="10041"/>
    <cellStyle name="40% - Accent1 18 2 3 2" xfId="21329"/>
    <cellStyle name="40% - Accent1 18 2 4" xfId="8047"/>
    <cellStyle name="40% - Accent1 18 2 4 2" xfId="19335"/>
    <cellStyle name="40% - Accent1 18 2 5" xfId="6053"/>
    <cellStyle name="40% - Accent1 18 2 5 2" xfId="17341"/>
    <cellStyle name="40% - Accent1 18 2 6" xfId="15347"/>
    <cellStyle name="40% - Accent1 18 3" xfId="11038"/>
    <cellStyle name="40% - Accent1 18 3 2" xfId="22326"/>
    <cellStyle name="40% - Accent1 18 4" xfId="9044"/>
    <cellStyle name="40% - Accent1 18 4 2" xfId="20332"/>
    <cellStyle name="40% - Accent1 18 5" xfId="7050"/>
    <cellStyle name="40% - Accent1 18 5 2" xfId="18338"/>
    <cellStyle name="40% - Accent1 18 6" xfId="5056"/>
    <cellStyle name="40% - Accent1 18 6 2" xfId="16344"/>
    <cellStyle name="40% - Accent1 18 7" xfId="14350"/>
    <cellStyle name="40% - Accent1 18 8" xfId="13036"/>
    <cellStyle name="40% - Accent1 19" xfId="1101"/>
    <cellStyle name="40% - Accent1 19 2" xfId="4057"/>
    <cellStyle name="40% - Accent1 19 2 2" xfId="12036"/>
    <cellStyle name="40% - Accent1 19 2 2 2" xfId="23324"/>
    <cellStyle name="40% - Accent1 19 2 3" xfId="10042"/>
    <cellStyle name="40% - Accent1 19 2 3 2" xfId="21330"/>
    <cellStyle name="40% - Accent1 19 2 4" xfId="8048"/>
    <cellStyle name="40% - Accent1 19 2 4 2" xfId="19336"/>
    <cellStyle name="40% - Accent1 19 2 5" xfId="6054"/>
    <cellStyle name="40% - Accent1 19 2 5 2" xfId="17342"/>
    <cellStyle name="40% - Accent1 19 2 6" xfId="15348"/>
    <cellStyle name="40% - Accent1 19 3" xfId="11039"/>
    <cellStyle name="40% - Accent1 19 3 2" xfId="22327"/>
    <cellStyle name="40% - Accent1 19 4" xfId="9045"/>
    <cellStyle name="40% - Accent1 19 4 2" xfId="20333"/>
    <cellStyle name="40% - Accent1 19 5" xfId="7051"/>
    <cellStyle name="40% - Accent1 19 5 2" xfId="18339"/>
    <cellStyle name="40% - Accent1 19 6" xfId="5057"/>
    <cellStyle name="40% - Accent1 19 6 2" xfId="16345"/>
    <cellStyle name="40% - Accent1 19 7" xfId="14351"/>
    <cellStyle name="40% - Accent1 19 8" xfId="13037"/>
    <cellStyle name="40% - Accent1 2" xfId="1102"/>
    <cellStyle name="40% - Accent1 2 10" xfId="24595"/>
    <cellStyle name="40% - Accent1 2 11" xfId="24985"/>
    <cellStyle name="40% - Accent1 2 2" xfId="4058"/>
    <cellStyle name="40% - Accent1 2 2 2" xfId="12037"/>
    <cellStyle name="40% - Accent1 2 2 2 2" xfId="23325"/>
    <cellStyle name="40% - Accent1 2 2 3" xfId="10043"/>
    <cellStyle name="40% - Accent1 2 2 3 2" xfId="21331"/>
    <cellStyle name="40% - Accent1 2 2 4" xfId="8049"/>
    <cellStyle name="40% - Accent1 2 2 4 2" xfId="19337"/>
    <cellStyle name="40% - Accent1 2 2 5" xfId="6055"/>
    <cellStyle name="40% - Accent1 2 2 5 2" xfId="17343"/>
    <cellStyle name="40% - Accent1 2 2 6" xfId="15349"/>
    <cellStyle name="40% - Accent1 2 2 7" xfId="24356"/>
    <cellStyle name="40% - Accent1 2 2 8" xfId="24820"/>
    <cellStyle name="40% - Accent1 2 2 9" xfId="25187"/>
    <cellStyle name="40% - Accent1 2 3" xfId="11040"/>
    <cellStyle name="40% - Accent1 2 3 2" xfId="22328"/>
    <cellStyle name="40% - Accent1 2 4" xfId="9046"/>
    <cellStyle name="40% - Accent1 2 4 2" xfId="20334"/>
    <cellStyle name="40% - Accent1 2 5" xfId="7052"/>
    <cellStyle name="40% - Accent1 2 5 2" xfId="18340"/>
    <cellStyle name="40% - Accent1 2 6" xfId="5058"/>
    <cellStyle name="40% - Accent1 2 6 2" xfId="16346"/>
    <cellStyle name="40% - Accent1 2 7" xfId="14352"/>
    <cellStyle name="40% - Accent1 2 8" xfId="13038"/>
    <cellStyle name="40% - Accent1 2 9" xfId="23968"/>
    <cellStyle name="40% - Accent1 20" xfId="1103"/>
    <cellStyle name="40% - Accent1 20 2" xfId="4059"/>
    <cellStyle name="40% - Accent1 20 2 2" xfId="12038"/>
    <cellStyle name="40% - Accent1 20 2 2 2" xfId="23326"/>
    <cellStyle name="40% - Accent1 20 2 3" xfId="10044"/>
    <cellStyle name="40% - Accent1 20 2 3 2" xfId="21332"/>
    <cellStyle name="40% - Accent1 20 2 4" xfId="8050"/>
    <cellStyle name="40% - Accent1 20 2 4 2" xfId="19338"/>
    <cellStyle name="40% - Accent1 20 2 5" xfId="6056"/>
    <cellStyle name="40% - Accent1 20 2 5 2" xfId="17344"/>
    <cellStyle name="40% - Accent1 20 2 6" xfId="15350"/>
    <cellStyle name="40% - Accent1 20 3" xfId="11041"/>
    <cellStyle name="40% - Accent1 20 3 2" xfId="22329"/>
    <cellStyle name="40% - Accent1 20 4" xfId="9047"/>
    <cellStyle name="40% - Accent1 20 4 2" xfId="20335"/>
    <cellStyle name="40% - Accent1 20 5" xfId="7053"/>
    <cellStyle name="40% - Accent1 20 5 2" xfId="18341"/>
    <cellStyle name="40% - Accent1 20 6" xfId="5059"/>
    <cellStyle name="40% - Accent1 20 6 2" xfId="16347"/>
    <cellStyle name="40% - Accent1 20 7" xfId="14353"/>
    <cellStyle name="40% - Accent1 20 8" xfId="13039"/>
    <cellStyle name="40% - Accent1 21" xfId="1104"/>
    <cellStyle name="40% - Accent1 21 2" xfId="4060"/>
    <cellStyle name="40% - Accent1 21 2 2" xfId="12039"/>
    <cellStyle name="40% - Accent1 21 2 2 2" xfId="23327"/>
    <cellStyle name="40% - Accent1 21 2 3" xfId="10045"/>
    <cellStyle name="40% - Accent1 21 2 3 2" xfId="21333"/>
    <cellStyle name="40% - Accent1 21 2 4" xfId="8051"/>
    <cellStyle name="40% - Accent1 21 2 4 2" xfId="19339"/>
    <cellStyle name="40% - Accent1 21 2 5" xfId="6057"/>
    <cellStyle name="40% - Accent1 21 2 5 2" xfId="17345"/>
    <cellStyle name="40% - Accent1 21 2 6" xfId="15351"/>
    <cellStyle name="40% - Accent1 21 3" xfId="11042"/>
    <cellStyle name="40% - Accent1 21 3 2" xfId="22330"/>
    <cellStyle name="40% - Accent1 21 4" xfId="9048"/>
    <cellStyle name="40% - Accent1 21 4 2" xfId="20336"/>
    <cellStyle name="40% - Accent1 21 5" xfId="7054"/>
    <cellStyle name="40% - Accent1 21 5 2" xfId="18342"/>
    <cellStyle name="40% - Accent1 21 6" xfId="5060"/>
    <cellStyle name="40% - Accent1 21 6 2" xfId="16348"/>
    <cellStyle name="40% - Accent1 21 7" xfId="14354"/>
    <cellStyle name="40% - Accent1 21 8" xfId="13040"/>
    <cellStyle name="40% - Accent1 22" xfId="1105"/>
    <cellStyle name="40% - Accent1 22 2" xfId="4061"/>
    <cellStyle name="40% - Accent1 22 2 2" xfId="12040"/>
    <cellStyle name="40% - Accent1 22 2 2 2" xfId="23328"/>
    <cellStyle name="40% - Accent1 22 2 3" xfId="10046"/>
    <cellStyle name="40% - Accent1 22 2 3 2" xfId="21334"/>
    <cellStyle name="40% - Accent1 22 2 4" xfId="8052"/>
    <cellStyle name="40% - Accent1 22 2 4 2" xfId="19340"/>
    <cellStyle name="40% - Accent1 22 2 5" xfId="6058"/>
    <cellStyle name="40% - Accent1 22 2 5 2" xfId="17346"/>
    <cellStyle name="40% - Accent1 22 2 6" xfId="15352"/>
    <cellStyle name="40% - Accent1 22 3" xfId="11043"/>
    <cellStyle name="40% - Accent1 22 3 2" xfId="22331"/>
    <cellStyle name="40% - Accent1 22 4" xfId="9049"/>
    <cellStyle name="40% - Accent1 22 4 2" xfId="20337"/>
    <cellStyle name="40% - Accent1 22 5" xfId="7055"/>
    <cellStyle name="40% - Accent1 22 5 2" xfId="18343"/>
    <cellStyle name="40% - Accent1 22 6" xfId="5061"/>
    <cellStyle name="40% - Accent1 22 6 2" xfId="16349"/>
    <cellStyle name="40% - Accent1 22 7" xfId="14355"/>
    <cellStyle name="40% - Accent1 22 8" xfId="13041"/>
    <cellStyle name="40% - Accent1 23" xfId="1106"/>
    <cellStyle name="40% - Accent1 23 2" xfId="4062"/>
    <cellStyle name="40% - Accent1 23 2 2" xfId="12041"/>
    <cellStyle name="40% - Accent1 23 2 2 2" xfId="23329"/>
    <cellStyle name="40% - Accent1 23 2 3" xfId="10047"/>
    <cellStyle name="40% - Accent1 23 2 3 2" xfId="21335"/>
    <cellStyle name="40% - Accent1 23 2 4" xfId="8053"/>
    <cellStyle name="40% - Accent1 23 2 4 2" xfId="19341"/>
    <cellStyle name="40% - Accent1 23 2 5" xfId="6059"/>
    <cellStyle name="40% - Accent1 23 2 5 2" xfId="17347"/>
    <cellStyle name="40% - Accent1 23 2 6" xfId="15353"/>
    <cellStyle name="40% - Accent1 23 3" xfId="11044"/>
    <cellStyle name="40% - Accent1 23 3 2" xfId="22332"/>
    <cellStyle name="40% - Accent1 23 4" xfId="9050"/>
    <cellStyle name="40% - Accent1 23 4 2" xfId="20338"/>
    <cellStyle name="40% - Accent1 23 5" xfId="7056"/>
    <cellStyle name="40% - Accent1 23 5 2" xfId="18344"/>
    <cellStyle name="40% - Accent1 23 6" xfId="5062"/>
    <cellStyle name="40% - Accent1 23 6 2" xfId="16350"/>
    <cellStyle name="40% - Accent1 23 7" xfId="14356"/>
    <cellStyle name="40% - Accent1 23 8" xfId="13042"/>
    <cellStyle name="40% - Accent1 24" xfId="1107"/>
    <cellStyle name="40% - Accent1 24 2" xfId="4063"/>
    <cellStyle name="40% - Accent1 24 2 2" xfId="12042"/>
    <cellStyle name="40% - Accent1 24 2 2 2" xfId="23330"/>
    <cellStyle name="40% - Accent1 24 2 3" xfId="10048"/>
    <cellStyle name="40% - Accent1 24 2 3 2" xfId="21336"/>
    <cellStyle name="40% - Accent1 24 2 4" xfId="8054"/>
    <cellStyle name="40% - Accent1 24 2 4 2" xfId="19342"/>
    <cellStyle name="40% - Accent1 24 2 5" xfId="6060"/>
    <cellStyle name="40% - Accent1 24 2 5 2" xfId="17348"/>
    <cellStyle name="40% - Accent1 24 2 6" xfId="15354"/>
    <cellStyle name="40% - Accent1 24 3" xfId="11045"/>
    <cellStyle name="40% - Accent1 24 3 2" xfId="22333"/>
    <cellStyle name="40% - Accent1 24 4" xfId="9051"/>
    <cellStyle name="40% - Accent1 24 4 2" xfId="20339"/>
    <cellStyle name="40% - Accent1 24 5" xfId="7057"/>
    <cellStyle name="40% - Accent1 24 5 2" xfId="18345"/>
    <cellStyle name="40% - Accent1 24 6" xfId="5063"/>
    <cellStyle name="40% - Accent1 24 6 2" xfId="16351"/>
    <cellStyle name="40% - Accent1 24 7" xfId="14357"/>
    <cellStyle name="40% - Accent1 24 8" xfId="13043"/>
    <cellStyle name="40% - Accent1 25" xfId="1108"/>
    <cellStyle name="40% - Accent1 25 2" xfId="4064"/>
    <cellStyle name="40% - Accent1 25 2 2" xfId="12043"/>
    <cellStyle name="40% - Accent1 25 2 2 2" xfId="23331"/>
    <cellStyle name="40% - Accent1 25 2 3" xfId="10049"/>
    <cellStyle name="40% - Accent1 25 2 3 2" xfId="21337"/>
    <cellStyle name="40% - Accent1 25 2 4" xfId="8055"/>
    <cellStyle name="40% - Accent1 25 2 4 2" xfId="19343"/>
    <cellStyle name="40% - Accent1 25 2 5" xfId="6061"/>
    <cellStyle name="40% - Accent1 25 2 5 2" xfId="17349"/>
    <cellStyle name="40% - Accent1 25 2 6" xfId="15355"/>
    <cellStyle name="40% - Accent1 25 3" xfId="11046"/>
    <cellStyle name="40% - Accent1 25 3 2" xfId="22334"/>
    <cellStyle name="40% - Accent1 25 4" xfId="9052"/>
    <cellStyle name="40% - Accent1 25 4 2" xfId="20340"/>
    <cellStyle name="40% - Accent1 25 5" xfId="7058"/>
    <cellStyle name="40% - Accent1 25 5 2" xfId="18346"/>
    <cellStyle name="40% - Accent1 25 6" xfId="5064"/>
    <cellStyle name="40% - Accent1 25 6 2" xfId="16352"/>
    <cellStyle name="40% - Accent1 25 7" xfId="14358"/>
    <cellStyle name="40% - Accent1 25 8" xfId="13044"/>
    <cellStyle name="40% - Accent1 26" xfId="1109"/>
    <cellStyle name="40% - Accent1 26 2" xfId="4065"/>
    <cellStyle name="40% - Accent1 26 2 2" xfId="12044"/>
    <cellStyle name="40% - Accent1 26 2 2 2" xfId="23332"/>
    <cellStyle name="40% - Accent1 26 2 3" xfId="10050"/>
    <cellStyle name="40% - Accent1 26 2 3 2" xfId="21338"/>
    <cellStyle name="40% - Accent1 26 2 4" xfId="8056"/>
    <cellStyle name="40% - Accent1 26 2 4 2" xfId="19344"/>
    <cellStyle name="40% - Accent1 26 2 5" xfId="6062"/>
    <cellStyle name="40% - Accent1 26 2 5 2" xfId="17350"/>
    <cellStyle name="40% - Accent1 26 2 6" xfId="15356"/>
    <cellStyle name="40% - Accent1 26 3" xfId="11047"/>
    <cellStyle name="40% - Accent1 26 3 2" xfId="22335"/>
    <cellStyle name="40% - Accent1 26 4" xfId="9053"/>
    <cellStyle name="40% - Accent1 26 4 2" xfId="20341"/>
    <cellStyle name="40% - Accent1 26 5" xfId="7059"/>
    <cellStyle name="40% - Accent1 26 5 2" xfId="18347"/>
    <cellStyle name="40% - Accent1 26 6" xfId="5065"/>
    <cellStyle name="40% - Accent1 26 6 2" xfId="16353"/>
    <cellStyle name="40% - Accent1 26 7" xfId="14359"/>
    <cellStyle name="40% - Accent1 26 8" xfId="13045"/>
    <cellStyle name="40% - Accent1 27" xfId="1110"/>
    <cellStyle name="40% - Accent1 27 2" xfId="4066"/>
    <cellStyle name="40% - Accent1 27 2 2" xfId="12045"/>
    <cellStyle name="40% - Accent1 27 2 2 2" xfId="23333"/>
    <cellStyle name="40% - Accent1 27 2 3" xfId="10051"/>
    <cellStyle name="40% - Accent1 27 2 3 2" xfId="21339"/>
    <cellStyle name="40% - Accent1 27 2 4" xfId="8057"/>
    <cellStyle name="40% - Accent1 27 2 4 2" xfId="19345"/>
    <cellStyle name="40% - Accent1 27 2 5" xfId="6063"/>
    <cellStyle name="40% - Accent1 27 2 5 2" xfId="17351"/>
    <cellStyle name="40% - Accent1 27 2 6" xfId="15357"/>
    <cellStyle name="40% - Accent1 27 3" xfId="11048"/>
    <cellStyle name="40% - Accent1 27 3 2" xfId="22336"/>
    <cellStyle name="40% - Accent1 27 4" xfId="9054"/>
    <cellStyle name="40% - Accent1 27 4 2" xfId="20342"/>
    <cellStyle name="40% - Accent1 27 5" xfId="7060"/>
    <cellStyle name="40% - Accent1 27 5 2" xfId="18348"/>
    <cellStyle name="40% - Accent1 27 6" xfId="5066"/>
    <cellStyle name="40% - Accent1 27 6 2" xfId="16354"/>
    <cellStyle name="40% - Accent1 27 7" xfId="14360"/>
    <cellStyle name="40% - Accent1 27 8" xfId="13046"/>
    <cellStyle name="40% - Accent1 28" xfId="1111"/>
    <cellStyle name="40% - Accent1 28 2" xfId="4067"/>
    <cellStyle name="40% - Accent1 28 2 2" xfId="12046"/>
    <cellStyle name="40% - Accent1 28 2 2 2" xfId="23334"/>
    <cellStyle name="40% - Accent1 28 2 3" xfId="10052"/>
    <cellStyle name="40% - Accent1 28 2 3 2" xfId="21340"/>
    <cellStyle name="40% - Accent1 28 2 4" xfId="8058"/>
    <cellStyle name="40% - Accent1 28 2 4 2" xfId="19346"/>
    <cellStyle name="40% - Accent1 28 2 5" xfId="6064"/>
    <cellStyle name="40% - Accent1 28 2 5 2" xfId="17352"/>
    <cellStyle name="40% - Accent1 28 2 6" xfId="15358"/>
    <cellStyle name="40% - Accent1 28 3" xfId="11049"/>
    <cellStyle name="40% - Accent1 28 3 2" xfId="22337"/>
    <cellStyle name="40% - Accent1 28 4" xfId="9055"/>
    <cellStyle name="40% - Accent1 28 4 2" xfId="20343"/>
    <cellStyle name="40% - Accent1 28 5" xfId="7061"/>
    <cellStyle name="40% - Accent1 28 5 2" xfId="18349"/>
    <cellStyle name="40% - Accent1 28 6" xfId="5067"/>
    <cellStyle name="40% - Accent1 28 6 2" xfId="16355"/>
    <cellStyle name="40% - Accent1 28 7" xfId="14361"/>
    <cellStyle name="40% - Accent1 28 8" xfId="13047"/>
    <cellStyle name="40% - Accent1 29" xfId="1112"/>
    <cellStyle name="40% - Accent1 29 2" xfId="4068"/>
    <cellStyle name="40% - Accent1 29 2 2" xfId="12047"/>
    <cellStyle name="40% - Accent1 29 2 2 2" xfId="23335"/>
    <cellStyle name="40% - Accent1 29 2 3" xfId="10053"/>
    <cellStyle name="40% - Accent1 29 2 3 2" xfId="21341"/>
    <cellStyle name="40% - Accent1 29 2 4" xfId="8059"/>
    <cellStyle name="40% - Accent1 29 2 4 2" xfId="19347"/>
    <cellStyle name="40% - Accent1 29 2 5" xfId="6065"/>
    <cellStyle name="40% - Accent1 29 2 5 2" xfId="17353"/>
    <cellStyle name="40% - Accent1 29 2 6" xfId="15359"/>
    <cellStyle name="40% - Accent1 29 3" xfId="11050"/>
    <cellStyle name="40% - Accent1 29 3 2" xfId="22338"/>
    <cellStyle name="40% - Accent1 29 4" xfId="9056"/>
    <cellStyle name="40% - Accent1 29 4 2" xfId="20344"/>
    <cellStyle name="40% - Accent1 29 5" xfId="7062"/>
    <cellStyle name="40% - Accent1 29 5 2" xfId="18350"/>
    <cellStyle name="40% - Accent1 29 6" xfId="5068"/>
    <cellStyle name="40% - Accent1 29 6 2" xfId="16356"/>
    <cellStyle name="40% - Accent1 29 7" xfId="14362"/>
    <cellStyle name="40% - Accent1 29 8" xfId="13048"/>
    <cellStyle name="40% - Accent1 3" xfId="1113"/>
    <cellStyle name="40% - Accent1 3 10" xfId="24596"/>
    <cellStyle name="40% - Accent1 3 11" xfId="24986"/>
    <cellStyle name="40% - Accent1 3 2" xfId="4069"/>
    <cellStyle name="40% - Accent1 3 2 2" xfId="12048"/>
    <cellStyle name="40% - Accent1 3 2 2 2" xfId="23336"/>
    <cellStyle name="40% - Accent1 3 2 3" xfId="10054"/>
    <cellStyle name="40% - Accent1 3 2 3 2" xfId="21342"/>
    <cellStyle name="40% - Accent1 3 2 4" xfId="8060"/>
    <cellStyle name="40% - Accent1 3 2 4 2" xfId="19348"/>
    <cellStyle name="40% - Accent1 3 2 5" xfId="6066"/>
    <cellStyle name="40% - Accent1 3 2 5 2" xfId="17354"/>
    <cellStyle name="40% - Accent1 3 2 6" xfId="15360"/>
    <cellStyle name="40% - Accent1 3 2 7" xfId="24357"/>
    <cellStyle name="40% - Accent1 3 2 8" xfId="24821"/>
    <cellStyle name="40% - Accent1 3 2 9" xfId="25188"/>
    <cellStyle name="40% - Accent1 3 3" xfId="11051"/>
    <cellStyle name="40% - Accent1 3 3 2" xfId="22339"/>
    <cellStyle name="40% - Accent1 3 4" xfId="9057"/>
    <cellStyle name="40% - Accent1 3 4 2" xfId="20345"/>
    <cellStyle name="40% - Accent1 3 5" xfId="7063"/>
    <cellStyle name="40% - Accent1 3 5 2" xfId="18351"/>
    <cellStyle name="40% - Accent1 3 6" xfId="5069"/>
    <cellStyle name="40% - Accent1 3 6 2" xfId="16357"/>
    <cellStyle name="40% - Accent1 3 7" xfId="14363"/>
    <cellStyle name="40% - Accent1 3 8" xfId="13049"/>
    <cellStyle name="40% - Accent1 3 9" xfId="23969"/>
    <cellStyle name="40% - Accent1 30" xfId="1114"/>
    <cellStyle name="40% - Accent1 30 2" xfId="4070"/>
    <cellStyle name="40% - Accent1 30 2 2" xfId="12049"/>
    <cellStyle name="40% - Accent1 30 2 2 2" xfId="23337"/>
    <cellStyle name="40% - Accent1 30 2 3" xfId="10055"/>
    <cellStyle name="40% - Accent1 30 2 3 2" xfId="21343"/>
    <cellStyle name="40% - Accent1 30 2 4" xfId="8061"/>
    <cellStyle name="40% - Accent1 30 2 4 2" xfId="19349"/>
    <cellStyle name="40% - Accent1 30 2 5" xfId="6067"/>
    <cellStyle name="40% - Accent1 30 2 5 2" xfId="17355"/>
    <cellStyle name="40% - Accent1 30 2 6" xfId="15361"/>
    <cellStyle name="40% - Accent1 30 3" xfId="11052"/>
    <cellStyle name="40% - Accent1 30 3 2" xfId="22340"/>
    <cellStyle name="40% - Accent1 30 4" xfId="9058"/>
    <cellStyle name="40% - Accent1 30 4 2" xfId="20346"/>
    <cellStyle name="40% - Accent1 30 5" xfId="7064"/>
    <cellStyle name="40% - Accent1 30 5 2" xfId="18352"/>
    <cellStyle name="40% - Accent1 30 6" xfId="5070"/>
    <cellStyle name="40% - Accent1 30 6 2" xfId="16358"/>
    <cellStyle name="40% - Accent1 30 7" xfId="14364"/>
    <cellStyle name="40% - Accent1 30 8" xfId="13050"/>
    <cellStyle name="40% - Accent1 31" xfId="1115"/>
    <cellStyle name="40% - Accent1 31 2" xfId="4071"/>
    <cellStyle name="40% - Accent1 31 2 2" xfId="12050"/>
    <cellStyle name="40% - Accent1 31 2 2 2" xfId="23338"/>
    <cellStyle name="40% - Accent1 31 2 3" xfId="10056"/>
    <cellStyle name="40% - Accent1 31 2 3 2" xfId="21344"/>
    <cellStyle name="40% - Accent1 31 2 4" xfId="8062"/>
    <cellStyle name="40% - Accent1 31 2 4 2" xfId="19350"/>
    <cellStyle name="40% - Accent1 31 2 5" xfId="6068"/>
    <cellStyle name="40% - Accent1 31 2 5 2" xfId="17356"/>
    <cellStyle name="40% - Accent1 31 2 6" xfId="15362"/>
    <cellStyle name="40% - Accent1 31 3" xfId="11053"/>
    <cellStyle name="40% - Accent1 31 3 2" xfId="22341"/>
    <cellStyle name="40% - Accent1 31 4" xfId="9059"/>
    <cellStyle name="40% - Accent1 31 4 2" xfId="20347"/>
    <cellStyle name="40% - Accent1 31 5" xfId="7065"/>
    <cellStyle name="40% - Accent1 31 5 2" xfId="18353"/>
    <cellStyle name="40% - Accent1 31 6" xfId="5071"/>
    <cellStyle name="40% - Accent1 31 6 2" xfId="16359"/>
    <cellStyle name="40% - Accent1 31 7" xfId="14365"/>
    <cellStyle name="40% - Accent1 31 8" xfId="13051"/>
    <cellStyle name="40% - Accent1 32" xfId="1116"/>
    <cellStyle name="40% - Accent1 32 2" xfId="4072"/>
    <cellStyle name="40% - Accent1 32 2 2" xfId="12051"/>
    <cellStyle name="40% - Accent1 32 2 2 2" xfId="23339"/>
    <cellStyle name="40% - Accent1 32 2 3" xfId="10057"/>
    <cellStyle name="40% - Accent1 32 2 3 2" xfId="21345"/>
    <cellStyle name="40% - Accent1 32 2 4" xfId="8063"/>
    <cellStyle name="40% - Accent1 32 2 4 2" xfId="19351"/>
    <cellStyle name="40% - Accent1 32 2 5" xfId="6069"/>
    <cellStyle name="40% - Accent1 32 2 5 2" xfId="17357"/>
    <cellStyle name="40% - Accent1 32 2 6" xfId="15363"/>
    <cellStyle name="40% - Accent1 32 3" xfId="11054"/>
    <cellStyle name="40% - Accent1 32 3 2" xfId="22342"/>
    <cellStyle name="40% - Accent1 32 4" xfId="9060"/>
    <cellStyle name="40% - Accent1 32 4 2" xfId="20348"/>
    <cellStyle name="40% - Accent1 32 5" xfId="7066"/>
    <cellStyle name="40% - Accent1 32 5 2" xfId="18354"/>
    <cellStyle name="40% - Accent1 32 6" xfId="5072"/>
    <cellStyle name="40% - Accent1 32 6 2" xfId="16360"/>
    <cellStyle name="40% - Accent1 32 7" xfId="14366"/>
    <cellStyle name="40% - Accent1 32 8" xfId="13052"/>
    <cellStyle name="40% - Accent1 33" xfId="1117"/>
    <cellStyle name="40% - Accent1 33 2" xfId="4073"/>
    <cellStyle name="40% - Accent1 33 2 2" xfId="12052"/>
    <cellStyle name="40% - Accent1 33 2 2 2" xfId="23340"/>
    <cellStyle name="40% - Accent1 33 2 3" xfId="10058"/>
    <cellStyle name="40% - Accent1 33 2 3 2" xfId="21346"/>
    <cellStyle name="40% - Accent1 33 2 4" xfId="8064"/>
    <cellStyle name="40% - Accent1 33 2 4 2" xfId="19352"/>
    <cellStyle name="40% - Accent1 33 2 5" xfId="6070"/>
    <cellStyle name="40% - Accent1 33 2 5 2" xfId="17358"/>
    <cellStyle name="40% - Accent1 33 2 6" xfId="15364"/>
    <cellStyle name="40% - Accent1 33 3" xfId="11055"/>
    <cellStyle name="40% - Accent1 33 3 2" xfId="22343"/>
    <cellStyle name="40% - Accent1 33 4" xfId="9061"/>
    <cellStyle name="40% - Accent1 33 4 2" xfId="20349"/>
    <cellStyle name="40% - Accent1 33 5" xfId="7067"/>
    <cellStyle name="40% - Accent1 33 5 2" xfId="18355"/>
    <cellStyle name="40% - Accent1 33 6" xfId="5073"/>
    <cellStyle name="40% - Accent1 33 6 2" xfId="16361"/>
    <cellStyle name="40% - Accent1 33 7" xfId="14367"/>
    <cellStyle name="40% - Accent1 33 8" xfId="13053"/>
    <cellStyle name="40% - Accent1 34" xfId="1118"/>
    <cellStyle name="40% - Accent1 34 2" xfId="4074"/>
    <cellStyle name="40% - Accent1 34 2 2" xfId="12053"/>
    <cellStyle name="40% - Accent1 34 2 2 2" xfId="23341"/>
    <cellStyle name="40% - Accent1 34 2 3" xfId="10059"/>
    <cellStyle name="40% - Accent1 34 2 3 2" xfId="21347"/>
    <cellStyle name="40% - Accent1 34 2 4" xfId="8065"/>
    <cellStyle name="40% - Accent1 34 2 4 2" xfId="19353"/>
    <cellStyle name="40% - Accent1 34 2 5" xfId="6071"/>
    <cellStyle name="40% - Accent1 34 2 5 2" xfId="17359"/>
    <cellStyle name="40% - Accent1 34 2 6" xfId="15365"/>
    <cellStyle name="40% - Accent1 34 3" xfId="11056"/>
    <cellStyle name="40% - Accent1 34 3 2" xfId="22344"/>
    <cellStyle name="40% - Accent1 34 4" xfId="9062"/>
    <cellStyle name="40% - Accent1 34 4 2" xfId="20350"/>
    <cellStyle name="40% - Accent1 34 5" xfId="7068"/>
    <cellStyle name="40% - Accent1 34 5 2" xfId="18356"/>
    <cellStyle name="40% - Accent1 34 6" xfId="5074"/>
    <cellStyle name="40% - Accent1 34 6 2" xfId="16362"/>
    <cellStyle name="40% - Accent1 34 7" xfId="14368"/>
    <cellStyle name="40% - Accent1 34 8" xfId="13054"/>
    <cellStyle name="40% - Accent1 35" xfId="1119"/>
    <cellStyle name="40% - Accent1 35 2" xfId="4075"/>
    <cellStyle name="40% - Accent1 35 2 2" xfId="12054"/>
    <cellStyle name="40% - Accent1 35 2 2 2" xfId="23342"/>
    <cellStyle name="40% - Accent1 35 2 3" xfId="10060"/>
    <cellStyle name="40% - Accent1 35 2 3 2" xfId="21348"/>
    <cellStyle name="40% - Accent1 35 2 4" xfId="8066"/>
    <cellStyle name="40% - Accent1 35 2 4 2" xfId="19354"/>
    <cellStyle name="40% - Accent1 35 2 5" xfId="6072"/>
    <cellStyle name="40% - Accent1 35 2 5 2" xfId="17360"/>
    <cellStyle name="40% - Accent1 35 2 6" xfId="15366"/>
    <cellStyle name="40% - Accent1 35 3" xfId="11057"/>
    <cellStyle name="40% - Accent1 35 3 2" xfId="22345"/>
    <cellStyle name="40% - Accent1 35 4" xfId="9063"/>
    <cellStyle name="40% - Accent1 35 4 2" xfId="20351"/>
    <cellStyle name="40% - Accent1 35 5" xfId="7069"/>
    <cellStyle name="40% - Accent1 35 5 2" xfId="18357"/>
    <cellStyle name="40% - Accent1 35 6" xfId="5075"/>
    <cellStyle name="40% - Accent1 35 6 2" xfId="16363"/>
    <cellStyle name="40% - Accent1 35 7" xfId="14369"/>
    <cellStyle name="40% - Accent1 35 8" xfId="13055"/>
    <cellStyle name="40% - Accent1 36" xfId="1120"/>
    <cellStyle name="40% - Accent1 36 2" xfId="4076"/>
    <cellStyle name="40% - Accent1 36 2 2" xfId="12055"/>
    <cellStyle name="40% - Accent1 36 2 2 2" xfId="23343"/>
    <cellStyle name="40% - Accent1 36 2 3" xfId="10061"/>
    <cellStyle name="40% - Accent1 36 2 3 2" xfId="21349"/>
    <cellStyle name="40% - Accent1 36 2 4" xfId="8067"/>
    <cellStyle name="40% - Accent1 36 2 4 2" xfId="19355"/>
    <cellStyle name="40% - Accent1 36 2 5" xfId="6073"/>
    <cellStyle name="40% - Accent1 36 2 5 2" xfId="17361"/>
    <cellStyle name="40% - Accent1 36 2 6" xfId="15367"/>
    <cellStyle name="40% - Accent1 36 3" xfId="11058"/>
    <cellStyle name="40% - Accent1 36 3 2" xfId="22346"/>
    <cellStyle name="40% - Accent1 36 4" xfId="9064"/>
    <cellStyle name="40% - Accent1 36 4 2" xfId="20352"/>
    <cellStyle name="40% - Accent1 36 5" xfId="7070"/>
    <cellStyle name="40% - Accent1 36 5 2" xfId="18358"/>
    <cellStyle name="40% - Accent1 36 6" xfId="5076"/>
    <cellStyle name="40% - Accent1 36 6 2" xfId="16364"/>
    <cellStyle name="40% - Accent1 36 7" xfId="14370"/>
    <cellStyle name="40% - Accent1 36 8" xfId="13056"/>
    <cellStyle name="40% - Accent1 37" xfId="1121"/>
    <cellStyle name="40% - Accent1 37 2" xfId="4077"/>
    <cellStyle name="40% - Accent1 37 2 2" xfId="12056"/>
    <cellStyle name="40% - Accent1 37 2 2 2" xfId="23344"/>
    <cellStyle name="40% - Accent1 37 2 3" xfId="10062"/>
    <cellStyle name="40% - Accent1 37 2 3 2" xfId="21350"/>
    <cellStyle name="40% - Accent1 37 2 4" xfId="8068"/>
    <cellStyle name="40% - Accent1 37 2 4 2" xfId="19356"/>
    <cellStyle name="40% - Accent1 37 2 5" xfId="6074"/>
    <cellStyle name="40% - Accent1 37 2 5 2" xfId="17362"/>
    <cellStyle name="40% - Accent1 37 2 6" xfId="15368"/>
    <cellStyle name="40% - Accent1 37 3" xfId="11059"/>
    <cellStyle name="40% - Accent1 37 3 2" xfId="22347"/>
    <cellStyle name="40% - Accent1 37 4" xfId="9065"/>
    <cellStyle name="40% - Accent1 37 4 2" xfId="20353"/>
    <cellStyle name="40% - Accent1 37 5" xfId="7071"/>
    <cellStyle name="40% - Accent1 37 5 2" xfId="18359"/>
    <cellStyle name="40% - Accent1 37 6" xfId="5077"/>
    <cellStyle name="40% - Accent1 37 6 2" xfId="16365"/>
    <cellStyle name="40% - Accent1 37 7" xfId="14371"/>
    <cellStyle name="40% - Accent1 37 8" xfId="13057"/>
    <cellStyle name="40% - Accent1 38" xfId="1122"/>
    <cellStyle name="40% - Accent1 38 2" xfId="4078"/>
    <cellStyle name="40% - Accent1 38 2 2" xfId="12057"/>
    <cellStyle name="40% - Accent1 38 2 2 2" xfId="23345"/>
    <cellStyle name="40% - Accent1 38 2 3" xfId="10063"/>
    <cellStyle name="40% - Accent1 38 2 3 2" xfId="21351"/>
    <cellStyle name="40% - Accent1 38 2 4" xfId="8069"/>
    <cellStyle name="40% - Accent1 38 2 4 2" xfId="19357"/>
    <cellStyle name="40% - Accent1 38 2 5" xfId="6075"/>
    <cellStyle name="40% - Accent1 38 2 5 2" xfId="17363"/>
    <cellStyle name="40% - Accent1 38 2 6" xfId="15369"/>
    <cellStyle name="40% - Accent1 38 3" xfId="11060"/>
    <cellStyle name="40% - Accent1 38 3 2" xfId="22348"/>
    <cellStyle name="40% - Accent1 38 4" xfId="9066"/>
    <cellStyle name="40% - Accent1 38 4 2" xfId="20354"/>
    <cellStyle name="40% - Accent1 38 5" xfId="7072"/>
    <cellStyle name="40% - Accent1 38 5 2" xfId="18360"/>
    <cellStyle name="40% - Accent1 38 6" xfId="5078"/>
    <cellStyle name="40% - Accent1 38 6 2" xfId="16366"/>
    <cellStyle name="40% - Accent1 38 7" xfId="14372"/>
    <cellStyle name="40% - Accent1 38 8" xfId="13058"/>
    <cellStyle name="40% - Accent1 39" xfId="1123"/>
    <cellStyle name="40% - Accent1 39 2" xfId="4079"/>
    <cellStyle name="40% - Accent1 39 2 2" xfId="12058"/>
    <cellStyle name="40% - Accent1 39 2 2 2" xfId="23346"/>
    <cellStyle name="40% - Accent1 39 2 3" xfId="10064"/>
    <cellStyle name="40% - Accent1 39 2 3 2" xfId="21352"/>
    <cellStyle name="40% - Accent1 39 2 4" xfId="8070"/>
    <cellStyle name="40% - Accent1 39 2 4 2" xfId="19358"/>
    <cellStyle name="40% - Accent1 39 2 5" xfId="6076"/>
    <cellStyle name="40% - Accent1 39 2 5 2" xfId="17364"/>
    <cellStyle name="40% - Accent1 39 2 6" xfId="15370"/>
    <cellStyle name="40% - Accent1 39 3" xfId="11061"/>
    <cellStyle name="40% - Accent1 39 3 2" xfId="22349"/>
    <cellStyle name="40% - Accent1 39 4" xfId="9067"/>
    <cellStyle name="40% - Accent1 39 4 2" xfId="20355"/>
    <cellStyle name="40% - Accent1 39 5" xfId="7073"/>
    <cellStyle name="40% - Accent1 39 5 2" xfId="18361"/>
    <cellStyle name="40% - Accent1 39 6" xfId="5079"/>
    <cellStyle name="40% - Accent1 39 6 2" xfId="16367"/>
    <cellStyle name="40% - Accent1 39 7" xfId="14373"/>
    <cellStyle name="40% - Accent1 39 8" xfId="13059"/>
    <cellStyle name="40% - Accent1 4" xfId="1124"/>
    <cellStyle name="40% - Accent1 4 10" xfId="24597"/>
    <cellStyle name="40% - Accent1 4 11" xfId="24987"/>
    <cellStyle name="40% - Accent1 4 2" xfId="4080"/>
    <cellStyle name="40% - Accent1 4 2 2" xfId="12059"/>
    <cellStyle name="40% - Accent1 4 2 2 2" xfId="23347"/>
    <cellStyle name="40% - Accent1 4 2 3" xfId="10065"/>
    <cellStyle name="40% - Accent1 4 2 3 2" xfId="21353"/>
    <cellStyle name="40% - Accent1 4 2 4" xfId="8071"/>
    <cellStyle name="40% - Accent1 4 2 4 2" xfId="19359"/>
    <cellStyle name="40% - Accent1 4 2 5" xfId="6077"/>
    <cellStyle name="40% - Accent1 4 2 5 2" xfId="17365"/>
    <cellStyle name="40% - Accent1 4 2 6" xfId="15371"/>
    <cellStyle name="40% - Accent1 4 2 7" xfId="24358"/>
    <cellStyle name="40% - Accent1 4 2 8" xfId="24822"/>
    <cellStyle name="40% - Accent1 4 2 9" xfId="25189"/>
    <cellStyle name="40% - Accent1 4 3" xfId="11062"/>
    <cellStyle name="40% - Accent1 4 3 2" xfId="22350"/>
    <cellStyle name="40% - Accent1 4 4" xfId="9068"/>
    <cellStyle name="40% - Accent1 4 4 2" xfId="20356"/>
    <cellStyle name="40% - Accent1 4 5" xfId="7074"/>
    <cellStyle name="40% - Accent1 4 5 2" xfId="18362"/>
    <cellStyle name="40% - Accent1 4 6" xfId="5080"/>
    <cellStyle name="40% - Accent1 4 6 2" xfId="16368"/>
    <cellStyle name="40% - Accent1 4 7" xfId="14374"/>
    <cellStyle name="40% - Accent1 4 8" xfId="13060"/>
    <cellStyle name="40% - Accent1 4 9" xfId="23970"/>
    <cellStyle name="40% - Accent1 40" xfId="1125"/>
    <cellStyle name="40% - Accent1 40 2" xfId="4081"/>
    <cellStyle name="40% - Accent1 40 2 2" xfId="12060"/>
    <cellStyle name="40% - Accent1 40 2 2 2" xfId="23348"/>
    <cellStyle name="40% - Accent1 40 2 3" xfId="10066"/>
    <cellStyle name="40% - Accent1 40 2 3 2" xfId="21354"/>
    <cellStyle name="40% - Accent1 40 2 4" xfId="8072"/>
    <cellStyle name="40% - Accent1 40 2 4 2" xfId="19360"/>
    <cellStyle name="40% - Accent1 40 2 5" xfId="6078"/>
    <cellStyle name="40% - Accent1 40 2 5 2" xfId="17366"/>
    <cellStyle name="40% - Accent1 40 2 6" xfId="15372"/>
    <cellStyle name="40% - Accent1 40 3" xfId="11063"/>
    <cellStyle name="40% - Accent1 40 3 2" xfId="22351"/>
    <cellStyle name="40% - Accent1 40 4" xfId="9069"/>
    <cellStyle name="40% - Accent1 40 4 2" xfId="20357"/>
    <cellStyle name="40% - Accent1 40 5" xfId="7075"/>
    <cellStyle name="40% - Accent1 40 5 2" xfId="18363"/>
    <cellStyle name="40% - Accent1 40 6" xfId="5081"/>
    <cellStyle name="40% - Accent1 40 6 2" xfId="16369"/>
    <cellStyle name="40% - Accent1 40 7" xfId="14375"/>
    <cellStyle name="40% - Accent1 40 8" xfId="13061"/>
    <cellStyle name="40% - Accent1 41" xfId="1126"/>
    <cellStyle name="40% - Accent1 41 2" xfId="4082"/>
    <cellStyle name="40% - Accent1 41 2 2" xfId="12061"/>
    <cellStyle name="40% - Accent1 41 2 2 2" xfId="23349"/>
    <cellStyle name="40% - Accent1 41 2 3" xfId="10067"/>
    <cellStyle name="40% - Accent1 41 2 3 2" xfId="21355"/>
    <cellStyle name="40% - Accent1 41 2 4" xfId="8073"/>
    <cellStyle name="40% - Accent1 41 2 4 2" xfId="19361"/>
    <cellStyle name="40% - Accent1 41 2 5" xfId="6079"/>
    <cellStyle name="40% - Accent1 41 2 5 2" xfId="17367"/>
    <cellStyle name="40% - Accent1 41 2 6" xfId="15373"/>
    <cellStyle name="40% - Accent1 41 3" xfId="11064"/>
    <cellStyle name="40% - Accent1 41 3 2" xfId="22352"/>
    <cellStyle name="40% - Accent1 41 4" xfId="9070"/>
    <cellStyle name="40% - Accent1 41 4 2" xfId="20358"/>
    <cellStyle name="40% - Accent1 41 5" xfId="7076"/>
    <cellStyle name="40% - Accent1 41 5 2" xfId="18364"/>
    <cellStyle name="40% - Accent1 41 6" xfId="5082"/>
    <cellStyle name="40% - Accent1 41 6 2" xfId="16370"/>
    <cellStyle name="40% - Accent1 41 7" xfId="14376"/>
    <cellStyle name="40% - Accent1 41 8" xfId="13062"/>
    <cellStyle name="40% - Accent1 42" xfId="1127"/>
    <cellStyle name="40% - Accent1 42 2" xfId="4083"/>
    <cellStyle name="40% - Accent1 42 2 2" xfId="12062"/>
    <cellStyle name="40% - Accent1 42 2 2 2" xfId="23350"/>
    <cellStyle name="40% - Accent1 42 2 3" xfId="10068"/>
    <cellStyle name="40% - Accent1 42 2 3 2" xfId="21356"/>
    <cellStyle name="40% - Accent1 42 2 4" xfId="8074"/>
    <cellStyle name="40% - Accent1 42 2 4 2" xfId="19362"/>
    <cellStyle name="40% - Accent1 42 2 5" xfId="6080"/>
    <cellStyle name="40% - Accent1 42 2 5 2" xfId="17368"/>
    <cellStyle name="40% - Accent1 42 2 6" xfId="15374"/>
    <cellStyle name="40% - Accent1 42 3" xfId="11065"/>
    <cellStyle name="40% - Accent1 42 3 2" xfId="22353"/>
    <cellStyle name="40% - Accent1 42 4" xfId="9071"/>
    <cellStyle name="40% - Accent1 42 4 2" xfId="20359"/>
    <cellStyle name="40% - Accent1 42 5" xfId="7077"/>
    <cellStyle name="40% - Accent1 42 5 2" xfId="18365"/>
    <cellStyle name="40% - Accent1 42 6" xfId="5083"/>
    <cellStyle name="40% - Accent1 42 6 2" xfId="16371"/>
    <cellStyle name="40% - Accent1 42 7" xfId="14377"/>
    <cellStyle name="40% - Accent1 42 8" xfId="13063"/>
    <cellStyle name="40% - Accent1 43" xfId="1128"/>
    <cellStyle name="40% - Accent1 43 2" xfId="4084"/>
    <cellStyle name="40% - Accent1 43 2 2" xfId="12063"/>
    <cellStyle name="40% - Accent1 43 2 2 2" xfId="23351"/>
    <cellStyle name="40% - Accent1 43 2 3" xfId="10069"/>
    <cellStyle name="40% - Accent1 43 2 3 2" xfId="21357"/>
    <cellStyle name="40% - Accent1 43 2 4" xfId="8075"/>
    <cellStyle name="40% - Accent1 43 2 4 2" xfId="19363"/>
    <cellStyle name="40% - Accent1 43 2 5" xfId="6081"/>
    <cellStyle name="40% - Accent1 43 2 5 2" xfId="17369"/>
    <cellStyle name="40% - Accent1 43 2 6" xfId="15375"/>
    <cellStyle name="40% - Accent1 43 3" xfId="11066"/>
    <cellStyle name="40% - Accent1 43 3 2" xfId="22354"/>
    <cellStyle name="40% - Accent1 43 4" xfId="9072"/>
    <cellStyle name="40% - Accent1 43 4 2" xfId="20360"/>
    <cellStyle name="40% - Accent1 43 5" xfId="7078"/>
    <cellStyle name="40% - Accent1 43 5 2" xfId="18366"/>
    <cellStyle name="40% - Accent1 43 6" xfId="5084"/>
    <cellStyle name="40% - Accent1 43 6 2" xfId="16372"/>
    <cellStyle name="40% - Accent1 43 7" xfId="14378"/>
    <cellStyle name="40% - Accent1 43 8" xfId="13064"/>
    <cellStyle name="40% - Accent1 44" xfId="1129"/>
    <cellStyle name="40% - Accent1 44 2" xfId="4085"/>
    <cellStyle name="40% - Accent1 44 2 2" xfId="12064"/>
    <cellStyle name="40% - Accent1 44 2 2 2" xfId="23352"/>
    <cellStyle name="40% - Accent1 44 2 3" xfId="10070"/>
    <cellStyle name="40% - Accent1 44 2 3 2" xfId="21358"/>
    <cellStyle name="40% - Accent1 44 2 4" xfId="8076"/>
    <cellStyle name="40% - Accent1 44 2 4 2" xfId="19364"/>
    <cellStyle name="40% - Accent1 44 2 5" xfId="6082"/>
    <cellStyle name="40% - Accent1 44 2 5 2" xfId="17370"/>
    <cellStyle name="40% - Accent1 44 2 6" xfId="15376"/>
    <cellStyle name="40% - Accent1 44 3" xfId="11067"/>
    <cellStyle name="40% - Accent1 44 3 2" xfId="22355"/>
    <cellStyle name="40% - Accent1 44 4" xfId="9073"/>
    <cellStyle name="40% - Accent1 44 4 2" xfId="20361"/>
    <cellStyle name="40% - Accent1 44 5" xfId="7079"/>
    <cellStyle name="40% - Accent1 44 5 2" xfId="18367"/>
    <cellStyle name="40% - Accent1 44 6" xfId="5085"/>
    <cellStyle name="40% - Accent1 44 6 2" xfId="16373"/>
    <cellStyle name="40% - Accent1 44 7" xfId="14379"/>
    <cellStyle name="40% - Accent1 44 8" xfId="13065"/>
    <cellStyle name="40% - Accent1 45" xfId="1130"/>
    <cellStyle name="40% - Accent1 45 2" xfId="4086"/>
    <cellStyle name="40% - Accent1 45 2 2" xfId="12065"/>
    <cellStyle name="40% - Accent1 45 2 2 2" xfId="23353"/>
    <cellStyle name="40% - Accent1 45 2 3" xfId="10071"/>
    <cellStyle name="40% - Accent1 45 2 3 2" xfId="21359"/>
    <cellStyle name="40% - Accent1 45 2 4" xfId="8077"/>
    <cellStyle name="40% - Accent1 45 2 4 2" xfId="19365"/>
    <cellStyle name="40% - Accent1 45 2 5" xfId="6083"/>
    <cellStyle name="40% - Accent1 45 2 5 2" xfId="17371"/>
    <cellStyle name="40% - Accent1 45 2 6" xfId="15377"/>
    <cellStyle name="40% - Accent1 45 3" xfId="11068"/>
    <cellStyle name="40% - Accent1 45 3 2" xfId="22356"/>
    <cellStyle name="40% - Accent1 45 4" xfId="9074"/>
    <cellStyle name="40% - Accent1 45 4 2" xfId="20362"/>
    <cellStyle name="40% - Accent1 45 5" xfId="7080"/>
    <cellStyle name="40% - Accent1 45 5 2" xfId="18368"/>
    <cellStyle name="40% - Accent1 45 6" xfId="5086"/>
    <cellStyle name="40% - Accent1 45 6 2" xfId="16374"/>
    <cellStyle name="40% - Accent1 45 7" xfId="14380"/>
    <cellStyle name="40% - Accent1 45 8" xfId="13066"/>
    <cellStyle name="40% - Accent1 46" xfId="1131"/>
    <cellStyle name="40% - Accent1 46 2" xfId="4087"/>
    <cellStyle name="40% - Accent1 46 2 2" xfId="12066"/>
    <cellStyle name="40% - Accent1 46 2 2 2" xfId="23354"/>
    <cellStyle name="40% - Accent1 46 2 3" xfId="10072"/>
    <cellStyle name="40% - Accent1 46 2 3 2" xfId="21360"/>
    <cellStyle name="40% - Accent1 46 2 4" xfId="8078"/>
    <cellStyle name="40% - Accent1 46 2 4 2" xfId="19366"/>
    <cellStyle name="40% - Accent1 46 2 5" xfId="6084"/>
    <cellStyle name="40% - Accent1 46 2 5 2" xfId="17372"/>
    <cellStyle name="40% - Accent1 46 2 6" xfId="15378"/>
    <cellStyle name="40% - Accent1 46 3" xfId="11069"/>
    <cellStyle name="40% - Accent1 46 3 2" xfId="22357"/>
    <cellStyle name="40% - Accent1 46 4" xfId="9075"/>
    <cellStyle name="40% - Accent1 46 4 2" xfId="20363"/>
    <cellStyle name="40% - Accent1 46 5" xfId="7081"/>
    <cellStyle name="40% - Accent1 46 5 2" xfId="18369"/>
    <cellStyle name="40% - Accent1 46 6" xfId="5087"/>
    <cellStyle name="40% - Accent1 46 6 2" xfId="16375"/>
    <cellStyle name="40% - Accent1 46 7" xfId="14381"/>
    <cellStyle name="40% - Accent1 46 8" xfId="13067"/>
    <cellStyle name="40% - Accent1 47" xfId="1132"/>
    <cellStyle name="40% - Accent1 47 2" xfId="4088"/>
    <cellStyle name="40% - Accent1 47 2 2" xfId="12067"/>
    <cellStyle name="40% - Accent1 47 2 2 2" xfId="23355"/>
    <cellStyle name="40% - Accent1 47 2 3" xfId="10073"/>
    <cellStyle name="40% - Accent1 47 2 3 2" xfId="21361"/>
    <cellStyle name="40% - Accent1 47 2 4" xfId="8079"/>
    <cellStyle name="40% - Accent1 47 2 4 2" xfId="19367"/>
    <cellStyle name="40% - Accent1 47 2 5" xfId="6085"/>
    <cellStyle name="40% - Accent1 47 2 5 2" xfId="17373"/>
    <cellStyle name="40% - Accent1 47 2 6" xfId="15379"/>
    <cellStyle name="40% - Accent1 47 3" xfId="11070"/>
    <cellStyle name="40% - Accent1 47 3 2" xfId="22358"/>
    <cellStyle name="40% - Accent1 47 4" xfId="9076"/>
    <cellStyle name="40% - Accent1 47 4 2" xfId="20364"/>
    <cellStyle name="40% - Accent1 47 5" xfId="7082"/>
    <cellStyle name="40% - Accent1 47 5 2" xfId="18370"/>
    <cellStyle name="40% - Accent1 47 6" xfId="5088"/>
    <cellStyle name="40% - Accent1 47 6 2" xfId="16376"/>
    <cellStyle name="40% - Accent1 47 7" xfId="14382"/>
    <cellStyle name="40% - Accent1 47 8" xfId="13068"/>
    <cellStyle name="40% - Accent1 48" xfId="1133"/>
    <cellStyle name="40% - Accent1 48 2" xfId="4089"/>
    <cellStyle name="40% - Accent1 48 2 2" xfId="12068"/>
    <cellStyle name="40% - Accent1 48 2 2 2" xfId="23356"/>
    <cellStyle name="40% - Accent1 48 2 3" xfId="10074"/>
    <cellStyle name="40% - Accent1 48 2 3 2" xfId="21362"/>
    <cellStyle name="40% - Accent1 48 2 4" xfId="8080"/>
    <cellStyle name="40% - Accent1 48 2 4 2" xfId="19368"/>
    <cellStyle name="40% - Accent1 48 2 5" xfId="6086"/>
    <cellStyle name="40% - Accent1 48 2 5 2" xfId="17374"/>
    <cellStyle name="40% - Accent1 48 2 6" xfId="15380"/>
    <cellStyle name="40% - Accent1 48 3" xfId="11071"/>
    <cellStyle name="40% - Accent1 48 3 2" xfId="22359"/>
    <cellStyle name="40% - Accent1 48 4" xfId="9077"/>
    <cellStyle name="40% - Accent1 48 4 2" xfId="20365"/>
    <cellStyle name="40% - Accent1 48 5" xfId="7083"/>
    <cellStyle name="40% - Accent1 48 5 2" xfId="18371"/>
    <cellStyle name="40% - Accent1 48 6" xfId="5089"/>
    <cellStyle name="40% - Accent1 48 6 2" xfId="16377"/>
    <cellStyle name="40% - Accent1 48 7" xfId="14383"/>
    <cellStyle name="40% - Accent1 48 8" xfId="13069"/>
    <cellStyle name="40% - Accent1 49" xfId="1134"/>
    <cellStyle name="40% - Accent1 49 2" xfId="4090"/>
    <cellStyle name="40% - Accent1 49 2 2" xfId="12069"/>
    <cellStyle name="40% - Accent1 49 2 2 2" xfId="23357"/>
    <cellStyle name="40% - Accent1 49 2 3" xfId="10075"/>
    <cellStyle name="40% - Accent1 49 2 3 2" xfId="21363"/>
    <cellStyle name="40% - Accent1 49 2 4" xfId="8081"/>
    <cellStyle name="40% - Accent1 49 2 4 2" xfId="19369"/>
    <cellStyle name="40% - Accent1 49 2 5" xfId="6087"/>
    <cellStyle name="40% - Accent1 49 2 5 2" xfId="17375"/>
    <cellStyle name="40% - Accent1 49 2 6" xfId="15381"/>
    <cellStyle name="40% - Accent1 49 3" xfId="11072"/>
    <cellStyle name="40% - Accent1 49 3 2" xfId="22360"/>
    <cellStyle name="40% - Accent1 49 4" xfId="9078"/>
    <cellStyle name="40% - Accent1 49 4 2" xfId="20366"/>
    <cellStyle name="40% - Accent1 49 5" xfId="7084"/>
    <cellStyle name="40% - Accent1 49 5 2" xfId="18372"/>
    <cellStyle name="40% - Accent1 49 6" xfId="5090"/>
    <cellStyle name="40% - Accent1 49 6 2" xfId="16378"/>
    <cellStyle name="40% - Accent1 49 7" xfId="14384"/>
    <cellStyle name="40% - Accent1 49 8" xfId="13070"/>
    <cellStyle name="40% - Accent1 5" xfId="1135"/>
    <cellStyle name="40% - Accent1 5 10" xfId="24598"/>
    <cellStyle name="40% - Accent1 5 11" xfId="24988"/>
    <cellStyle name="40% - Accent1 5 2" xfId="4091"/>
    <cellStyle name="40% - Accent1 5 2 2" xfId="12070"/>
    <cellStyle name="40% - Accent1 5 2 2 2" xfId="23358"/>
    <cellStyle name="40% - Accent1 5 2 3" xfId="10076"/>
    <cellStyle name="40% - Accent1 5 2 3 2" xfId="21364"/>
    <cellStyle name="40% - Accent1 5 2 4" xfId="8082"/>
    <cellStyle name="40% - Accent1 5 2 4 2" xfId="19370"/>
    <cellStyle name="40% - Accent1 5 2 5" xfId="6088"/>
    <cellStyle name="40% - Accent1 5 2 5 2" xfId="17376"/>
    <cellStyle name="40% - Accent1 5 2 6" xfId="15382"/>
    <cellStyle name="40% - Accent1 5 2 7" xfId="24359"/>
    <cellStyle name="40% - Accent1 5 2 8" xfId="24823"/>
    <cellStyle name="40% - Accent1 5 2 9" xfId="25190"/>
    <cellStyle name="40% - Accent1 5 3" xfId="11073"/>
    <cellStyle name="40% - Accent1 5 3 2" xfId="22361"/>
    <cellStyle name="40% - Accent1 5 4" xfId="9079"/>
    <cellStyle name="40% - Accent1 5 4 2" xfId="20367"/>
    <cellStyle name="40% - Accent1 5 5" xfId="7085"/>
    <cellStyle name="40% - Accent1 5 5 2" xfId="18373"/>
    <cellStyle name="40% - Accent1 5 6" xfId="5091"/>
    <cellStyle name="40% - Accent1 5 6 2" xfId="16379"/>
    <cellStyle name="40% - Accent1 5 7" xfId="14385"/>
    <cellStyle name="40% - Accent1 5 8" xfId="13071"/>
    <cellStyle name="40% - Accent1 5 9" xfId="23971"/>
    <cellStyle name="40% - Accent1 50" xfId="1136"/>
    <cellStyle name="40% - Accent1 50 2" xfId="4092"/>
    <cellStyle name="40% - Accent1 50 2 2" xfId="12071"/>
    <cellStyle name="40% - Accent1 50 2 2 2" xfId="23359"/>
    <cellStyle name="40% - Accent1 50 2 3" xfId="10077"/>
    <cellStyle name="40% - Accent1 50 2 3 2" xfId="21365"/>
    <cellStyle name="40% - Accent1 50 2 4" xfId="8083"/>
    <cellStyle name="40% - Accent1 50 2 4 2" xfId="19371"/>
    <cellStyle name="40% - Accent1 50 2 5" xfId="6089"/>
    <cellStyle name="40% - Accent1 50 2 5 2" xfId="17377"/>
    <cellStyle name="40% - Accent1 50 2 6" xfId="15383"/>
    <cellStyle name="40% - Accent1 50 3" xfId="11074"/>
    <cellStyle name="40% - Accent1 50 3 2" xfId="22362"/>
    <cellStyle name="40% - Accent1 50 4" xfId="9080"/>
    <cellStyle name="40% - Accent1 50 4 2" xfId="20368"/>
    <cellStyle name="40% - Accent1 50 5" xfId="7086"/>
    <cellStyle name="40% - Accent1 50 5 2" xfId="18374"/>
    <cellStyle name="40% - Accent1 50 6" xfId="5092"/>
    <cellStyle name="40% - Accent1 50 6 2" xfId="16380"/>
    <cellStyle name="40% - Accent1 50 7" xfId="14386"/>
    <cellStyle name="40% - Accent1 50 8" xfId="13072"/>
    <cellStyle name="40% - Accent1 51" xfId="1137"/>
    <cellStyle name="40% - Accent1 51 2" xfId="4093"/>
    <cellStyle name="40% - Accent1 51 2 2" xfId="12072"/>
    <cellStyle name="40% - Accent1 51 2 2 2" xfId="23360"/>
    <cellStyle name="40% - Accent1 51 2 3" xfId="10078"/>
    <cellStyle name="40% - Accent1 51 2 3 2" xfId="21366"/>
    <cellStyle name="40% - Accent1 51 2 4" xfId="8084"/>
    <cellStyle name="40% - Accent1 51 2 4 2" xfId="19372"/>
    <cellStyle name="40% - Accent1 51 2 5" xfId="6090"/>
    <cellStyle name="40% - Accent1 51 2 5 2" xfId="17378"/>
    <cellStyle name="40% - Accent1 51 2 6" xfId="15384"/>
    <cellStyle name="40% - Accent1 51 3" xfId="11075"/>
    <cellStyle name="40% - Accent1 51 3 2" xfId="22363"/>
    <cellStyle name="40% - Accent1 51 4" xfId="9081"/>
    <cellStyle name="40% - Accent1 51 4 2" xfId="20369"/>
    <cellStyle name="40% - Accent1 51 5" xfId="7087"/>
    <cellStyle name="40% - Accent1 51 5 2" xfId="18375"/>
    <cellStyle name="40% - Accent1 51 6" xfId="5093"/>
    <cellStyle name="40% - Accent1 51 6 2" xfId="16381"/>
    <cellStyle name="40% - Accent1 51 7" xfId="14387"/>
    <cellStyle name="40% - Accent1 51 8" xfId="13073"/>
    <cellStyle name="40% - Accent1 52" xfId="1138"/>
    <cellStyle name="40% - Accent1 52 2" xfId="4094"/>
    <cellStyle name="40% - Accent1 52 2 2" xfId="12073"/>
    <cellStyle name="40% - Accent1 52 2 2 2" xfId="23361"/>
    <cellStyle name="40% - Accent1 52 2 3" xfId="10079"/>
    <cellStyle name="40% - Accent1 52 2 3 2" xfId="21367"/>
    <cellStyle name="40% - Accent1 52 2 4" xfId="8085"/>
    <cellStyle name="40% - Accent1 52 2 4 2" xfId="19373"/>
    <cellStyle name="40% - Accent1 52 2 5" xfId="6091"/>
    <cellStyle name="40% - Accent1 52 2 5 2" xfId="17379"/>
    <cellStyle name="40% - Accent1 52 2 6" xfId="15385"/>
    <cellStyle name="40% - Accent1 52 3" xfId="11076"/>
    <cellStyle name="40% - Accent1 52 3 2" xfId="22364"/>
    <cellStyle name="40% - Accent1 52 4" xfId="9082"/>
    <cellStyle name="40% - Accent1 52 4 2" xfId="20370"/>
    <cellStyle name="40% - Accent1 52 5" xfId="7088"/>
    <cellStyle name="40% - Accent1 52 5 2" xfId="18376"/>
    <cellStyle name="40% - Accent1 52 6" xfId="5094"/>
    <cellStyle name="40% - Accent1 52 6 2" xfId="16382"/>
    <cellStyle name="40% - Accent1 52 7" xfId="14388"/>
    <cellStyle name="40% - Accent1 52 8" xfId="13074"/>
    <cellStyle name="40% - Accent1 53" xfId="1139"/>
    <cellStyle name="40% - Accent1 53 2" xfId="4095"/>
    <cellStyle name="40% - Accent1 53 2 2" xfId="12074"/>
    <cellStyle name="40% - Accent1 53 2 2 2" xfId="23362"/>
    <cellStyle name="40% - Accent1 53 2 3" xfId="10080"/>
    <cellStyle name="40% - Accent1 53 2 3 2" xfId="21368"/>
    <cellStyle name="40% - Accent1 53 2 4" xfId="8086"/>
    <cellStyle name="40% - Accent1 53 2 4 2" xfId="19374"/>
    <cellStyle name="40% - Accent1 53 2 5" xfId="6092"/>
    <cellStyle name="40% - Accent1 53 2 5 2" xfId="17380"/>
    <cellStyle name="40% - Accent1 53 2 6" xfId="15386"/>
    <cellStyle name="40% - Accent1 53 3" xfId="11077"/>
    <cellStyle name="40% - Accent1 53 3 2" xfId="22365"/>
    <cellStyle name="40% - Accent1 53 4" xfId="9083"/>
    <cellStyle name="40% - Accent1 53 4 2" xfId="20371"/>
    <cellStyle name="40% - Accent1 53 5" xfId="7089"/>
    <cellStyle name="40% - Accent1 53 5 2" xfId="18377"/>
    <cellStyle name="40% - Accent1 53 6" xfId="5095"/>
    <cellStyle name="40% - Accent1 53 6 2" xfId="16383"/>
    <cellStyle name="40% - Accent1 53 7" xfId="14389"/>
    <cellStyle name="40% - Accent1 53 8" xfId="13075"/>
    <cellStyle name="40% - Accent1 54" xfId="1140"/>
    <cellStyle name="40% - Accent1 54 2" xfId="4096"/>
    <cellStyle name="40% - Accent1 54 2 2" xfId="12075"/>
    <cellStyle name="40% - Accent1 54 2 2 2" xfId="23363"/>
    <cellStyle name="40% - Accent1 54 2 3" xfId="10081"/>
    <cellStyle name="40% - Accent1 54 2 3 2" xfId="21369"/>
    <cellStyle name="40% - Accent1 54 2 4" xfId="8087"/>
    <cellStyle name="40% - Accent1 54 2 4 2" xfId="19375"/>
    <cellStyle name="40% - Accent1 54 2 5" xfId="6093"/>
    <cellStyle name="40% - Accent1 54 2 5 2" xfId="17381"/>
    <cellStyle name="40% - Accent1 54 2 6" xfId="15387"/>
    <cellStyle name="40% - Accent1 54 3" xfId="11078"/>
    <cellStyle name="40% - Accent1 54 3 2" xfId="22366"/>
    <cellStyle name="40% - Accent1 54 4" xfId="9084"/>
    <cellStyle name="40% - Accent1 54 4 2" xfId="20372"/>
    <cellStyle name="40% - Accent1 54 5" xfId="7090"/>
    <cellStyle name="40% - Accent1 54 5 2" xfId="18378"/>
    <cellStyle name="40% - Accent1 54 6" xfId="5096"/>
    <cellStyle name="40% - Accent1 54 6 2" xfId="16384"/>
    <cellStyle name="40% - Accent1 54 7" xfId="14390"/>
    <cellStyle name="40% - Accent1 54 8" xfId="13076"/>
    <cellStyle name="40% - Accent1 55" xfId="1141"/>
    <cellStyle name="40% - Accent1 55 2" xfId="4097"/>
    <cellStyle name="40% - Accent1 55 2 2" xfId="12076"/>
    <cellStyle name="40% - Accent1 55 2 2 2" xfId="23364"/>
    <cellStyle name="40% - Accent1 55 2 3" xfId="10082"/>
    <cellStyle name="40% - Accent1 55 2 3 2" xfId="21370"/>
    <cellStyle name="40% - Accent1 55 2 4" xfId="8088"/>
    <cellStyle name="40% - Accent1 55 2 4 2" xfId="19376"/>
    <cellStyle name="40% - Accent1 55 2 5" xfId="6094"/>
    <cellStyle name="40% - Accent1 55 2 5 2" xfId="17382"/>
    <cellStyle name="40% - Accent1 55 2 6" xfId="15388"/>
    <cellStyle name="40% - Accent1 55 3" xfId="11079"/>
    <cellStyle name="40% - Accent1 55 3 2" xfId="22367"/>
    <cellStyle name="40% - Accent1 55 4" xfId="9085"/>
    <cellStyle name="40% - Accent1 55 4 2" xfId="20373"/>
    <cellStyle name="40% - Accent1 55 5" xfId="7091"/>
    <cellStyle name="40% - Accent1 55 5 2" xfId="18379"/>
    <cellStyle name="40% - Accent1 55 6" xfId="5097"/>
    <cellStyle name="40% - Accent1 55 6 2" xfId="16385"/>
    <cellStyle name="40% - Accent1 55 7" xfId="14391"/>
    <cellStyle name="40% - Accent1 55 8" xfId="13077"/>
    <cellStyle name="40% - Accent1 56" xfId="1142"/>
    <cellStyle name="40% - Accent1 56 2" xfId="4098"/>
    <cellStyle name="40% - Accent1 56 2 2" xfId="12077"/>
    <cellStyle name="40% - Accent1 56 2 2 2" xfId="23365"/>
    <cellStyle name="40% - Accent1 56 2 3" xfId="10083"/>
    <cellStyle name="40% - Accent1 56 2 3 2" xfId="21371"/>
    <cellStyle name="40% - Accent1 56 2 4" xfId="8089"/>
    <cellStyle name="40% - Accent1 56 2 4 2" xfId="19377"/>
    <cellStyle name="40% - Accent1 56 2 5" xfId="6095"/>
    <cellStyle name="40% - Accent1 56 2 5 2" xfId="17383"/>
    <cellStyle name="40% - Accent1 56 2 6" xfId="15389"/>
    <cellStyle name="40% - Accent1 56 3" xfId="11080"/>
    <cellStyle name="40% - Accent1 56 3 2" xfId="22368"/>
    <cellStyle name="40% - Accent1 56 4" xfId="9086"/>
    <cellStyle name="40% - Accent1 56 4 2" xfId="20374"/>
    <cellStyle name="40% - Accent1 56 5" xfId="7092"/>
    <cellStyle name="40% - Accent1 56 5 2" xfId="18380"/>
    <cellStyle name="40% - Accent1 56 6" xfId="5098"/>
    <cellStyle name="40% - Accent1 56 6 2" xfId="16386"/>
    <cellStyle name="40% - Accent1 56 7" xfId="14392"/>
    <cellStyle name="40% - Accent1 56 8" xfId="13078"/>
    <cellStyle name="40% - Accent1 57" xfId="1143"/>
    <cellStyle name="40% - Accent1 57 2" xfId="4099"/>
    <cellStyle name="40% - Accent1 57 2 2" xfId="12078"/>
    <cellStyle name="40% - Accent1 57 2 2 2" xfId="23366"/>
    <cellStyle name="40% - Accent1 57 2 3" xfId="10084"/>
    <cellStyle name="40% - Accent1 57 2 3 2" xfId="21372"/>
    <cellStyle name="40% - Accent1 57 2 4" xfId="8090"/>
    <cellStyle name="40% - Accent1 57 2 4 2" xfId="19378"/>
    <cellStyle name="40% - Accent1 57 2 5" xfId="6096"/>
    <cellStyle name="40% - Accent1 57 2 5 2" xfId="17384"/>
    <cellStyle name="40% - Accent1 57 2 6" xfId="15390"/>
    <cellStyle name="40% - Accent1 57 3" xfId="11081"/>
    <cellStyle name="40% - Accent1 57 3 2" xfId="22369"/>
    <cellStyle name="40% - Accent1 57 4" xfId="9087"/>
    <cellStyle name="40% - Accent1 57 4 2" xfId="20375"/>
    <cellStyle name="40% - Accent1 57 5" xfId="7093"/>
    <cellStyle name="40% - Accent1 57 5 2" xfId="18381"/>
    <cellStyle name="40% - Accent1 57 6" xfId="5099"/>
    <cellStyle name="40% - Accent1 57 6 2" xfId="16387"/>
    <cellStyle name="40% - Accent1 57 7" xfId="14393"/>
    <cellStyle name="40% - Accent1 57 8" xfId="13079"/>
    <cellStyle name="40% - Accent1 58" xfId="1144"/>
    <cellStyle name="40% - Accent1 58 2" xfId="4100"/>
    <cellStyle name="40% - Accent1 58 2 2" xfId="12079"/>
    <cellStyle name="40% - Accent1 58 2 2 2" xfId="23367"/>
    <cellStyle name="40% - Accent1 58 2 3" xfId="10085"/>
    <cellStyle name="40% - Accent1 58 2 3 2" xfId="21373"/>
    <cellStyle name="40% - Accent1 58 2 4" xfId="8091"/>
    <cellStyle name="40% - Accent1 58 2 4 2" xfId="19379"/>
    <cellStyle name="40% - Accent1 58 2 5" xfId="6097"/>
    <cellStyle name="40% - Accent1 58 2 5 2" xfId="17385"/>
    <cellStyle name="40% - Accent1 58 2 6" xfId="15391"/>
    <cellStyle name="40% - Accent1 58 3" xfId="11082"/>
    <cellStyle name="40% - Accent1 58 3 2" xfId="22370"/>
    <cellStyle name="40% - Accent1 58 4" xfId="9088"/>
    <cellStyle name="40% - Accent1 58 4 2" xfId="20376"/>
    <cellStyle name="40% - Accent1 58 5" xfId="7094"/>
    <cellStyle name="40% - Accent1 58 5 2" xfId="18382"/>
    <cellStyle name="40% - Accent1 58 6" xfId="5100"/>
    <cellStyle name="40% - Accent1 58 6 2" xfId="16388"/>
    <cellStyle name="40% - Accent1 58 7" xfId="14394"/>
    <cellStyle name="40% - Accent1 58 8" xfId="13080"/>
    <cellStyle name="40% - Accent1 59" xfId="1145"/>
    <cellStyle name="40% - Accent1 59 2" xfId="4101"/>
    <cellStyle name="40% - Accent1 59 2 2" xfId="12080"/>
    <cellStyle name="40% - Accent1 59 2 2 2" xfId="23368"/>
    <cellStyle name="40% - Accent1 59 2 3" xfId="10086"/>
    <cellStyle name="40% - Accent1 59 2 3 2" xfId="21374"/>
    <cellStyle name="40% - Accent1 59 2 4" xfId="8092"/>
    <cellStyle name="40% - Accent1 59 2 4 2" xfId="19380"/>
    <cellStyle name="40% - Accent1 59 2 5" xfId="6098"/>
    <cellStyle name="40% - Accent1 59 2 5 2" xfId="17386"/>
    <cellStyle name="40% - Accent1 59 2 6" xfId="15392"/>
    <cellStyle name="40% - Accent1 59 3" xfId="11083"/>
    <cellStyle name="40% - Accent1 59 3 2" xfId="22371"/>
    <cellStyle name="40% - Accent1 59 4" xfId="9089"/>
    <cellStyle name="40% - Accent1 59 4 2" xfId="20377"/>
    <cellStyle name="40% - Accent1 59 5" xfId="7095"/>
    <cellStyle name="40% - Accent1 59 5 2" xfId="18383"/>
    <cellStyle name="40% - Accent1 59 6" xfId="5101"/>
    <cellStyle name="40% - Accent1 59 6 2" xfId="16389"/>
    <cellStyle name="40% - Accent1 59 7" xfId="14395"/>
    <cellStyle name="40% - Accent1 59 8" xfId="13081"/>
    <cellStyle name="40% - Accent1 6" xfId="1146"/>
    <cellStyle name="40% - Accent1 6 10" xfId="24599"/>
    <cellStyle name="40% - Accent1 6 11" xfId="24989"/>
    <cellStyle name="40% - Accent1 6 2" xfId="4102"/>
    <cellStyle name="40% - Accent1 6 2 2" xfId="12081"/>
    <cellStyle name="40% - Accent1 6 2 2 2" xfId="23369"/>
    <cellStyle name="40% - Accent1 6 2 3" xfId="10087"/>
    <cellStyle name="40% - Accent1 6 2 3 2" xfId="21375"/>
    <cellStyle name="40% - Accent1 6 2 4" xfId="8093"/>
    <cellStyle name="40% - Accent1 6 2 4 2" xfId="19381"/>
    <cellStyle name="40% - Accent1 6 2 5" xfId="6099"/>
    <cellStyle name="40% - Accent1 6 2 5 2" xfId="17387"/>
    <cellStyle name="40% - Accent1 6 2 6" xfId="15393"/>
    <cellStyle name="40% - Accent1 6 2 7" xfId="24360"/>
    <cellStyle name="40% - Accent1 6 2 8" xfId="24824"/>
    <cellStyle name="40% - Accent1 6 2 9" xfId="25191"/>
    <cellStyle name="40% - Accent1 6 3" xfId="11084"/>
    <cellStyle name="40% - Accent1 6 3 2" xfId="22372"/>
    <cellStyle name="40% - Accent1 6 4" xfId="9090"/>
    <cellStyle name="40% - Accent1 6 4 2" xfId="20378"/>
    <cellStyle name="40% - Accent1 6 5" xfId="7096"/>
    <cellStyle name="40% - Accent1 6 5 2" xfId="18384"/>
    <cellStyle name="40% - Accent1 6 6" xfId="5102"/>
    <cellStyle name="40% - Accent1 6 6 2" xfId="16390"/>
    <cellStyle name="40% - Accent1 6 7" xfId="14396"/>
    <cellStyle name="40% - Accent1 6 8" xfId="13082"/>
    <cellStyle name="40% - Accent1 6 9" xfId="23972"/>
    <cellStyle name="40% - Accent1 60" xfId="1147"/>
    <cellStyle name="40% - Accent1 60 2" xfId="4103"/>
    <cellStyle name="40% - Accent1 60 2 2" xfId="12082"/>
    <cellStyle name="40% - Accent1 60 2 2 2" xfId="23370"/>
    <cellStyle name="40% - Accent1 60 2 3" xfId="10088"/>
    <cellStyle name="40% - Accent1 60 2 3 2" xfId="21376"/>
    <cellStyle name="40% - Accent1 60 2 4" xfId="8094"/>
    <cellStyle name="40% - Accent1 60 2 4 2" xfId="19382"/>
    <cellStyle name="40% - Accent1 60 2 5" xfId="6100"/>
    <cellStyle name="40% - Accent1 60 2 5 2" xfId="17388"/>
    <cellStyle name="40% - Accent1 60 2 6" xfId="15394"/>
    <cellStyle name="40% - Accent1 60 3" xfId="11085"/>
    <cellStyle name="40% - Accent1 60 3 2" xfId="22373"/>
    <cellStyle name="40% - Accent1 60 4" xfId="9091"/>
    <cellStyle name="40% - Accent1 60 4 2" xfId="20379"/>
    <cellStyle name="40% - Accent1 60 5" xfId="7097"/>
    <cellStyle name="40% - Accent1 60 5 2" xfId="18385"/>
    <cellStyle name="40% - Accent1 60 6" xfId="5103"/>
    <cellStyle name="40% - Accent1 60 6 2" xfId="16391"/>
    <cellStyle name="40% - Accent1 60 7" xfId="14397"/>
    <cellStyle name="40% - Accent1 60 8" xfId="13083"/>
    <cellStyle name="40% - Accent1 61" xfId="1148"/>
    <cellStyle name="40% - Accent1 61 2" xfId="4104"/>
    <cellStyle name="40% - Accent1 61 2 2" xfId="12083"/>
    <cellStyle name="40% - Accent1 61 2 2 2" xfId="23371"/>
    <cellStyle name="40% - Accent1 61 2 3" xfId="10089"/>
    <cellStyle name="40% - Accent1 61 2 3 2" xfId="21377"/>
    <cellStyle name="40% - Accent1 61 2 4" xfId="8095"/>
    <cellStyle name="40% - Accent1 61 2 4 2" xfId="19383"/>
    <cellStyle name="40% - Accent1 61 2 5" xfId="6101"/>
    <cellStyle name="40% - Accent1 61 2 5 2" xfId="17389"/>
    <cellStyle name="40% - Accent1 61 2 6" xfId="15395"/>
    <cellStyle name="40% - Accent1 61 3" xfId="11086"/>
    <cellStyle name="40% - Accent1 61 3 2" xfId="22374"/>
    <cellStyle name="40% - Accent1 61 4" xfId="9092"/>
    <cellStyle name="40% - Accent1 61 4 2" xfId="20380"/>
    <cellStyle name="40% - Accent1 61 5" xfId="7098"/>
    <cellStyle name="40% - Accent1 61 5 2" xfId="18386"/>
    <cellStyle name="40% - Accent1 61 6" xfId="5104"/>
    <cellStyle name="40% - Accent1 61 6 2" xfId="16392"/>
    <cellStyle name="40% - Accent1 61 7" xfId="14398"/>
    <cellStyle name="40% - Accent1 61 8" xfId="13084"/>
    <cellStyle name="40% - Accent1 62" xfId="1149"/>
    <cellStyle name="40% - Accent1 62 2" xfId="4105"/>
    <cellStyle name="40% - Accent1 62 2 2" xfId="12084"/>
    <cellStyle name="40% - Accent1 62 2 2 2" xfId="23372"/>
    <cellStyle name="40% - Accent1 62 2 3" xfId="10090"/>
    <cellStyle name="40% - Accent1 62 2 3 2" xfId="21378"/>
    <cellStyle name="40% - Accent1 62 2 4" xfId="8096"/>
    <cellStyle name="40% - Accent1 62 2 4 2" xfId="19384"/>
    <cellStyle name="40% - Accent1 62 2 5" xfId="6102"/>
    <cellStyle name="40% - Accent1 62 2 5 2" xfId="17390"/>
    <cellStyle name="40% - Accent1 62 2 6" xfId="15396"/>
    <cellStyle name="40% - Accent1 62 3" xfId="11087"/>
    <cellStyle name="40% - Accent1 62 3 2" xfId="22375"/>
    <cellStyle name="40% - Accent1 62 4" xfId="9093"/>
    <cellStyle name="40% - Accent1 62 4 2" xfId="20381"/>
    <cellStyle name="40% - Accent1 62 5" xfId="7099"/>
    <cellStyle name="40% - Accent1 62 5 2" xfId="18387"/>
    <cellStyle name="40% - Accent1 62 6" xfId="5105"/>
    <cellStyle name="40% - Accent1 62 6 2" xfId="16393"/>
    <cellStyle name="40% - Accent1 62 7" xfId="14399"/>
    <cellStyle name="40% - Accent1 62 8" xfId="13085"/>
    <cellStyle name="40% - Accent1 63" xfId="1150"/>
    <cellStyle name="40% - Accent1 63 2" xfId="4106"/>
    <cellStyle name="40% - Accent1 63 2 2" xfId="12085"/>
    <cellStyle name="40% - Accent1 63 2 2 2" xfId="23373"/>
    <cellStyle name="40% - Accent1 63 2 3" xfId="10091"/>
    <cellStyle name="40% - Accent1 63 2 3 2" xfId="21379"/>
    <cellStyle name="40% - Accent1 63 2 4" xfId="8097"/>
    <cellStyle name="40% - Accent1 63 2 4 2" xfId="19385"/>
    <cellStyle name="40% - Accent1 63 2 5" xfId="6103"/>
    <cellStyle name="40% - Accent1 63 2 5 2" xfId="17391"/>
    <cellStyle name="40% - Accent1 63 2 6" xfId="15397"/>
    <cellStyle name="40% - Accent1 63 3" xfId="11088"/>
    <cellStyle name="40% - Accent1 63 3 2" xfId="22376"/>
    <cellStyle name="40% - Accent1 63 4" xfId="9094"/>
    <cellStyle name="40% - Accent1 63 4 2" xfId="20382"/>
    <cellStyle name="40% - Accent1 63 5" xfId="7100"/>
    <cellStyle name="40% - Accent1 63 5 2" xfId="18388"/>
    <cellStyle name="40% - Accent1 63 6" xfId="5106"/>
    <cellStyle name="40% - Accent1 63 6 2" xfId="16394"/>
    <cellStyle name="40% - Accent1 63 7" xfId="14400"/>
    <cellStyle name="40% - Accent1 63 8" xfId="13086"/>
    <cellStyle name="40% - Accent1 64" xfId="1151"/>
    <cellStyle name="40% - Accent1 64 2" xfId="4107"/>
    <cellStyle name="40% - Accent1 64 2 2" xfId="12086"/>
    <cellStyle name="40% - Accent1 64 2 2 2" xfId="23374"/>
    <cellStyle name="40% - Accent1 64 2 3" xfId="10092"/>
    <cellStyle name="40% - Accent1 64 2 3 2" xfId="21380"/>
    <cellStyle name="40% - Accent1 64 2 4" xfId="8098"/>
    <cellStyle name="40% - Accent1 64 2 4 2" xfId="19386"/>
    <cellStyle name="40% - Accent1 64 2 5" xfId="6104"/>
    <cellStyle name="40% - Accent1 64 2 5 2" xfId="17392"/>
    <cellStyle name="40% - Accent1 64 2 6" xfId="15398"/>
    <cellStyle name="40% - Accent1 64 3" xfId="11089"/>
    <cellStyle name="40% - Accent1 64 3 2" xfId="22377"/>
    <cellStyle name="40% - Accent1 64 4" xfId="9095"/>
    <cellStyle name="40% - Accent1 64 4 2" xfId="20383"/>
    <cellStyle name="40% - Accent1 64 5" xfId="7101"/>
    <cellStyle name="40% - Accent1 64 5 2" xfId="18389"/>
    <cellStyle name="40% - Accent1 64 6" xfId="5107"/>
    <cellStyle name="40% - Accent1 64 6 2" xfId="16395"/>
    <cellStyle name="40% - Accent1 64 7" xfId="14401"/>
    <cellStyle name="40% - Accent1 64 8" xfId="13087"/>
    <cellStyle name="40% - Accent1 65" xfId="1152"/>
    <cellStyle name="40% - Accent1 65 2" xfId="4108"/>
    <cellStyle name="40% - Accent1 65 2 2" xfId="12087"/>
    <cellStyle name="40% - Accent1 65 2 2 2" xfId="23375"/>
    <cellStyle name="40% - Accent1 65 2 3" xfId="10093"/>
    <cellStyle name="40% - Accent1 65 2 3 2" xfId="21381"/>
    <cellStyle name="40% - Accent1 65 2 4" xfId="8099"/>
    <cellStyle name="40% - Accent1 65 2 4 2" xfId="19387"/>
    <cellStyle name="40% - Accent1 65 2 5" xfId="6105"/>
    <cellStyle name="40% - Accent1 65 2 5 2" xfId="17393"/>
    <cellStyle name="40% - Accent1 65 2 6" xfId="15399"/>
    <cellStyle name="40% - Accent1 65 3" xfId="11090"/>
    <cellStyle name="40% - Accent1 65 3 2" xfId="22378"/>
    <cellStyle name="40% - Accent1 65 4" xfId="9096"/>
    <cellStyle name="40% - Accent1 65 4 2" xfId="20384"/>
    <cellStyle name="40% - Accent1 65 5" xfId="7102"/>
    <cellStyle name="40% - Accent1 65 5 2" xfId="18390"/>
    <cellStyle name="40% - Accent1 65 6" xfId="5108"/>
    <cellStyle name="40% - Accent1 65 6 2" xfId="16396"/>
    <cellStyle name="40% - Accent1 65 7" xfId="14402"/>
    <cellStyle name="40% - Accent1 65 8" xfId="13088"/>
    <cellStyle name="40% - Accent1 66" xfId="1153"/>
    <cellStyle name="40% - Accent1 66 2" xfId="4109"/>
    <cellStyle name="40% - Accent1 66 2 2" xfId="12088"/>
    <cellStyle name="40% - Accent1 66 2 2 2" xfId="23376"/>
    <cellStyle name="40% - Accent1 66 2 3" xfId="10094"/>
    <cellStyle name="40% - Accent1 66 2 3 2" xfId="21382"/>
    <cellStyle name="40% - Accent1 66 2 4" xfId="8100"/>
    <cellStyle name="40% - Accent1 66 2 4 2" xfId="19388"/>
    <cellStyle name="40% - Accent1 66 2 5" xfId="6106"/>
    <cellStyle name="40% - Accent1 66 2 5 2" xfId="17394"/>
    <cellStyle name="40% - Accent1 66 2 6" xfId="15400"/>
    <cellStyle name="40% - Accent1 66 3" xfId="11091"/>
    <cellStyle name="40% - Accent1 66 3 2" xfId="22379"/>
    <cellStyle name="40% - Accent1 66 4" xfId="9097"/>
    <cellStyle name="40% - Accent1 66 4 2" xfId="20385"/>
    <cellStyle name="40% - Accent1 66 5" xfId="7103"/>
    <cellStyle name="40% - Accent1 66 5 2" xfId="18391"/>
    <cellStyle name="40% - Accent1 66 6" xfId="5109"/>
    <cellStyle name="40% - Accent1 66 6 2" xfId="16397"/>
    <cellStyle name="40% - Accent1 66 7" xfId="14403"/>
    <cellStyle name="40% - Accent1 66 8" xfId="13089"/>
    <cellStyle name="40% - Accent1 67" xfId="1154"/>
    <cellStyle name="40% - Accent1 67 2" xfId="4110"/>
    <cellStyle name="40% - Accent1 67 2 2" xfId="12089"/>
    <cellStyle name="40% - Accent1 67 2 2 2" xfId="23377"/>
    <cellStyle name="40% - Accent1 67 2 3" xfId="10095"/>
    <cellStyle name="40% - Accent1 67 2 3 2" xfId="21383"/>
    <cellStyle name="40% - Accent1 67 2 4" xfId="8101"/>
    <cellStyle name="40% - Accent1 67 2 4 2" xfId="19389"/>
    <cellStyle name="40% - Accent1 67 2 5" xfId="6107"/>
    <cellStyle name="40% - Accent1 67 2 5 2" xfId="17395"/>
    <cellStyle name="40% - Accent1 67 2 6" xfId="15401"/>
    <cellStyle name="40% - Accent1 67 3" xfId="11092"/>
    <cellStyle name="40% - Accent1 67 3 2" xfId="22380"/>
    <cellStyle name="40% - Accent1 67 4" xfId="9098"/>
    <cellStyle name="40% - Accent1 67 4 2" xfId="20386"/>
    <cellStyle name="40% - Accent1 67 5" xfId="7104"/>
    <cellStyle name="40% - Accent1 67 5 2" xfId="18392"/>
    <cellStyle name="40% - Accent1 67 6" xfId="5110"/>
    <cellStyle name="40% - Accent1 67 6 2" xfId="16398"/>
    <cellStyle name="40% - Accent1 67 7" xfId="14404"/>
    <cellStyle name="40% - Accent1 67 8" xfId="13090"/>
    <cellStyle name="40% - Accent1 68" xfId="1155"/>
    <cellStyle name="40% - Accent1 68 2" xfId="4111"/>
    <cellStyle name="40% - Accent1 68 2 2" xfId="12090"/>
    <cellStyle name="40% - Accent1 68 2 2 2" xfId="23378"/>
    <cellStyle name="40% - Accent1 68 2 3" xfId="10096"/>
    <cellStyle name="40% - Accent1 68 2 3 2" xfId="21384"/>
    <cellStyle name="40% - Accent1 68 2 4" xfId="8102"/>
    <cellStyle name="40% - Accent1 68 2 4 2" xfId="19390"/>
    <cellStyle name="40% - Accent1 68 2 5" xfId="6108"/>
    <cellStyle name="40% - Accent1 68 2 5 2" xfId="17396"/>
    <cellStyle name="40% - Accent1 68 2 6" xfId="15402"/>
    <cellStyle name="40% - Accent1 68 3" xfId="11093"/>
    <cellStyle name="40% - Accent1 68 3 2" xfId="22381"/>
    <cellStyle name="40% - Accent1 68 4" xfId="9099"/>
    <cellStyle name="40% - Accent1 68 4 2" xfId="20387"/>
    <cellStyle name="40% - Accent1 68 5" xfId="7105"/>
    <cellStyle name="40% - Accent1 68 5 2" xfId="18393"/>
    <cellStyle name="40% - Accent1 68 6" xfId="5111"/>
    <cellStyle name="40% - Accent1 68 6 2" xfId="16399"/>
    <cellStyle name="40% - Accent1 68 7" xfId="14405"/>
    <cellStyle name="40% - Accent1 68 8" xfId="13091"/>
    <cellStyle name="40% - Accent1 69" xfId="1156"/>
    <cellStyle name="40% - Accent1 69 2" xfId="4112"/>
    <cellStyle name="40% - Accent1 69 2 2" xfId="12091"/>
    <cellStyle name="40% - Accent1 69 2 2 2" xfId="23379"/>
    <cellStyle name="40% - Accent1 69 2 3" xfId="10097"/>
    <cellStyle name="40% - Accent1 69 2 3 2" xfId="21385"/>
    <cellStyle name="40% - Accent1 69 2 4" xfId="8103"/>
    <cellStyle name="40% - Accent1 69 2 4 2" xfId="19391"/>
    <cellStyle name="40% - Accent1 69 2 5" xfId="6109"/>
    <cellStyle name="40% - Accent1 69 2 5 2" xfId="17397"/>
    <cellStyle name="40% - Accent1 69 2 6" xfId="15403"/>
    <cellStyle name="40% - Accent1 69 3" xfId="11094"/>
    <cellStyle name="40% - Accent1 69 3 2" xfId="22382"/>
    <cellStyle name="40% - Accent1 69 4" xfId="9100"/>
    <cellStyle name="40% - Accent1 69 4 2" xfId="20388"/>
    <cellStyle name="40% - Accent1 69 5" xfId="7106"/>
    <cellStyle name="40% - Accent1 69 5 2" xfId="18394"/>
    <cellStyle name="40% - Accent1 69 6" xfId="5112"/>
    <cellStyle name="40% - Accent1 69 6 2" xfId="16400"/>
    <cellStyle name="40% - Accent1 69 7" xfId="14406"/>
    <cellStyle name="40% - Accent1 69 8" xfId="13092"/>
    <cellStyle name="40% - Accent1 7" xfId="1157"/>
    <cellStyle name="40% - Accent1 7 10" xfId="24600"/>
    <cellStyle name="40% - Accent1 7 11" xfId="24990"/>
    <cellStyle name="40% - Accent1 7 2" xfId="4113"/>
    <cellStyle name="40% - Accent1 7 2 2" xfId="12092"/>
    <cellStyle name="40% - Accent1 7 2 2 2" xfId="23380"/>
    <cellStyle name="40% - Accent1 7 2 3" xfId="10098"/>
    <cellStyle name="40% - Accent1 7 2 3 2" xfId="21386"/>
    <cellStyle name="40% - Accent1 7 2 4" xfId="8104"/>
    <cellStyle name="40% - Accent1 7 2 4 2" xfId="19392"/>
    <cellStyle name="40% - Accent1 7 2 5" xfId="6110"/>
    <cellStyle name="40% - Accent1 7 2 5 2" xfId="17398"/>
    <cellStyle name="40% - Accent1 7 2 6" xfId="15404"/>
    <cellStyle name="40% - Accent1 7 2 7" xfId="24361"/>
    <cellStyle name="40% - Accent1 7 2 8" xfId="24825"/>
    <cellStyle name="40% - Accent1 7 2 9" xfId="25192"/>
    <cellStyle name="40% - Accent1 7 3" xfId="11095"/>
    <cellStyle name="40% - Accent1 7 3 2" xfId="22383"/>
    <cellStyle name="40% - Accent1 7 4" xfId="9101"/>
    <cellStyle name="40% - Accent1 7 4 2" xfId="20389"/>
    <cellStyle name="40% - Accent1 7 5" xfId="7107"/>
    <cellStyle name="40% - Accent1 7 5 2" xfId="18395"/>
    <cellStyle name="40% - Accent1 7 6" xfId="5113"/>
    <cellStyle name="40% - Accent1 7 6 2" xfId="16401"/>
    <cellStyle name="40% - Accent1 7 7" xfId="14407"/>
    <cellStyle name="40% - Accent1 7 8" xfId="13093"/>
    <cellStyle name="40% - Accent1 7 9" xfId="23973"/>
    <cellStyle name="40% - Accent1 70" xfId="1158"/>
    <cellStyle name="40% - Accent1 70 2" xfId="4114"/>
    <cellStyle name="40% - Accent1 70 2 2" xfId="12093"/>
    <cellStyle name="40% - Accent1 70 2 2 2" xfId="23381"/>
    <cellStyle name="40% - Accent1 70 2 3" xfId="10099"/>
    <cellStyle name="40% - Accent1 70 2 3 2" xfId="21387"/>
    <cellStyle name="40% - Accent1 70 2 4" xfId="8105"/>
    <cellStyle name="40% - Accent1 70 2 4 2" xfId="19393"/>
    <cellStyle name="40% - Accent1 70 2 5" xfId="6111"/>
    <cellStyle name="40% - Accent1 70 2 5 2" xfId="17399"/>
    <cellStyle name="40% - Accent1 70 2 6" xfId="15405"/>
    <cellStyle name="40% - Accent1 70 3" xfId="11096"/>
    <cellStyle name="40% - Accent1 70 3 2" xfId="22384"/>
    <cellStyle name="40% - Accent1 70 4" xfId="9102"/>
    <cellStyle name="40% - Accent1 70 4 2" xfId="20390"/>
    <cellStyle name="40% - Accent1 70 5" xfId="7108"/>
    <cellStyle name="40% - Accent1 70 5 2" xfId="18396"/>
    <cellStyle name="40% - Accent1 70 6" xfId="5114"/>
    <cellStyle name="40% - Accent1 70 6 2" xfId="16402"/>
    <cellStyle name="40% - Accent1 70 7" xfId="14408"/>
    <cellStyle name="40% - Accent1 70 8" xfId="13094"/>
    <cellStyle name="40% - Accent1 71" xfId="1159"/>
    <cellStyle name="40% - Accent1 71 2" xfId="4115"/>
    <cellStyle name="40% - Accent1 71 2 2" xfId="12094"/>
    <cellStyle name="40% - Accent1 71 2 2 2" xfId="23382"/>
    <cellStyle name="40% - Accent1 71 2 3" xfId="10100"/>
    <cellStyle name="40% - Accent1 71 2 3 2" xfId="21388"/>
    <cellStyle name="40% - Accent1 71 2 4" xfId="8106"/>
    <cellStyle name="40% - Accent1 71 2 4 2" xfId="19394"/>
    <cellStyle name="40% - Accent1 71 2 5" xfId="6112"/>
    <cellStyle name="40% - Accent1 71 2 5 2" xfId="17400"/>
    <cellStyle name="40% - Accent1 71 2 6" xfId="15406"/>
    <cellStyle name="40% - Accent1 71 3" xfId="11097"/>
    <cellStyle name="40% - Accent1 71 3 2" xfId="22385"/>
    <cellStyle name="40% - Accent1 71 4" xfId="9103"/>
    <cellStyle name="40% - Accent1 71 4 2" xfId="20391"/>
    <cellStyle name="40% - Accent1 71 5" xfId="7109"/>
    <cellStyle name="40% - Accent1 71 5 2" xfId="18397"/>
    <cellStyle name="40% - Accent1 71 6" xfId="5115"/>
    <cellStyle name="40% - Accent1 71 6 2" xfId="16403"/>
    <cellStyle name="40% - Accent1 71 7" xfId="14409"/>
    <cellStyle name="40% - Accent1 71 8" xfId="13095"/>
    <cellStyle name="40% - Accent1 72" xfId="1160"/>
    <cellStyle name="40% - Accent1 72 2" xfId="4116"/>
    <cellStyle name="40% - Accent1 72 2 2" xfId="12095"/>
    <cellStyle name="40% - Accent1 72 2 2 2" xfId="23383"/>
    <cellStyle name="40% - Accent1 72 2 3" xfId="10101"/>
    <cellStyle name="40% - Accent1 72 2 3 2" xfId="21389"/>
    <cellStyle name="40% - Accent1 72 2 4" xfId="8107"/>
    <cellStyle name="40% - Accent1 72 2 4 2" xfId="19395"/>
    <cellStyle name="40% - Accent1 72 2 5" xfId="6113"/>
    <cellStyle name="40% - Accent1 72 2 5 2" xfId="17401"/>
    <cellStyle name="40% - Accent1 72 2 6" xfId="15407"/>
    <cellStyle name="40% - Accent1 72 3" xfId="11098"/>
    <cellStyle name="40% - Accent1 72 3 2" xfId="22386"/>
    <cellStyle name="40% - Accent1 72 4" xfId="9104"/>
    <cellStyle name="40% - Accent1 72 4 2" xfId="20392"/>
    <cellStyle name="40% - Accent1 72 5" xfId="7110"/>
    <cellStyle name="40% - Accent1 72 5 2" xfId="18398"/>
    <cellStyle name="40% - Accent1 72 6" xfId="5116"/>
    <cellStyle name="40% - Accent1 72 6 2" xfId="16404"/>
    <cellStyle name="40% - Accent1 72 7" xfId="14410"/>
    <cellStyle name="40% - Accent1 72 8" xfId="13096"/>
    <cellStyle name="40% - Accent1 8" xfId="1161"/>
    <cellStyle name="40% - Accent1 8 2" xfId="4117"/>
    <cellStyle name="40% - Accent1 8 2 2" xfId="12096"/>
    <cellStyle name="40% - Accent1 8 2 2 2" xfId="23384"/>
    <cellStyle name="40% - Accent1 8 2 3" xfId="10102"/>
    <cellStyle name="40% - Accent1 8 2 3 2" xfId="21390"/>
    <cellStyle name="40% - Accent1 8 2 4" xfId="8108"/>
    <cellStyle name="40% - Accent1 8 2 4 2" xfId="19396"/>
    <cellStyle name="40% - Accent1 8 2 5" xfId="6114"/>
    <cellStyle name="40% - Accent1 8 2 5 2" xfId="17402"/>
    <cellStyle name="40% - Accent1 8 2 6" xfId="15408"/>
    <cellStyle name="40% - Accent1 8 3" xfId="11099"/>
    <cellStyle name="40% - Accent1 8 3 2" xfId="22387"/>
    <cellStyle name="40% - Accent1 8 4" xfId="9105"/>
    <cellStyle name="40% - Accent1 8 4 2" xfId="20393"/>
    <cellStyle name="40% - Accent1 8 5" xfId="7111"/>
    <cellStyle name="40% - Accent1 8 5 2" xfId="18399"/>
    <cellStyle name="40% - Accent1 8 6" xfId="5117"/>
    <cellStyle name="40% - Accent1 8 6 2" xfId="16405"/>
    <cellStyle name="40% - Accent1 8 7" xfId="14411"/>
    <cellStyle name="40% - Accent1 8 8" xfId="13097"/>
    <cellStyle name="40% - Accent1 9" xfId="1162"/>
    <cellStyle name="40% - Accent1 9 2" xfId="4118"/>
    <cellStyle name="40% - Accent1 9 2 2" xfId="12097"/>
    <cellStyle name="40% - Accent1 9 2 2 2" xfId="23385"/>
    <cellStyle name="40% - Accent1 9 2 3" xfId="10103"/>
    <cellStyle name="40% - Accent1 9 2 3 2" xfId="21391"/>
    <cellStyle name="40% - Accent1 9 2 4" xfId="8109"/>
    <cellStyle name="40% - Accent1 9 2 4 2" xfId="19397"/>
    <cellStyle name="40% - Accent1 9 2 5" xfId="6115"/>
    <cellStyle name="40% - Accent1 9 2 5 2" xfId="17403"/>
    <cellStyle name="40% - Accent1 9 2 6" xfId="15409"/>
    <cellStyle name="40% - Accent1 9 3" xfId="11100"/>
    <cellStyle name="40% - Accent1 9 3 2" xfId="22388"/>
    <cellStyle name="40% - Accent1 9 4" xfId="9106"/>
    <cellStyle name="40% - Accent1 9 4 2" xfId="20394"/>
    <cellStyle name="40% - Accent1 9 5" xfId="7112"/>
    <cellStyle name="40% - Accent1 9 5 2" xfId="18400"/>
    <cellStyle name="40% - Accent1 9 6" xfId="5118"/>
    <cellStyle name="40% - Accent1 9 6 2" xfId="16406"/>
    <cellStyle name="40% - Accent1 9 7" xfId="14412"/>
    <cellStyle name="40% - Accent1 9 8" xfId="13098"/>
    <cellStyle name="40% - Accent2 10" xfId="1163"/>
    <cellStyle name="40% - Accent2 10 2" xfId="4119"/>
    <cellStyle name="40% - Accent2 10 2 2" xfId="12098"/>
    <cellStyle name="40% - Accent2 10 2 2 2" xfId="23386"/>
    <cellStyle name="40% - Accent2 10 2 3" xfId="10104"/>
    <cellStyle name="40% - Accent2 10 2 3 2" xfId="21392"/>
    <cellStyle name="40% - Accent2 10 2 4" xfId="8110"/>
    <cellStyle name="40% - Accent2 10 2 4 2" xfId="19398"/>
    <cellStyle name="40% - Accent2 10 2 5" xfId="6116"/>
    <cellStyle name="40% - Accent2 10 2 5 2" xfId="17404"/>
    <cellStyle name="40% - Accent2 10 2 6" xfId="15410"/>
    <cellStyle name="40% - Accent2 10 3" xfId="11101"/>
    <cellStyle name="40% - Accent2 10 3 2" xfId="22389"/>
    <cellStyle name="40% - Accent2 10 4" xfId="9107"/>
    <cellStyle name="40% - Accent2 10 4 2" xfId="20395"/>
    <cellStyle name="40% - Accent2 10 5" xfId="7113"/>
    <cellStyle name="40% - Accent2 10 5 2" xfId="18401"/>
    <cellStyle name="40% - Accent2 10 6" xfId="5119"/>
    <cellStyle name="40% - Accent2 10 6 2" xfId="16407"/>
    <cellStyle name="40% - Accent2 10 7" xfId="14413"/>
    <cellStyle name="40% - Accent2 10 8" xfId="13099"/>
    <cellStyle name="40% - Accent2 11" xfId="1164"/>
    <cellStyle name="40% - Accent2 11 2" xfId="4120"/>
    <cellStyle name="40% - Accent2 11 2 2" xfId="12099"/>
    <cellStyle name="40% - Accent2 11 2 2 2" xfId="23387"/>
    <cellStyle name="40% - Accent2 11 2 3" xfId="10105"/>
    <cellStyle name="40% - Accent2 11 2 3 2" xfId="21393"/>
    <cellStyle name="40% - Accent2 11 2 4" xfId="8111"/>
    <cellStyle name="40% - Accent2 11 2 4 2" xfId="19399"/>
    <cellStyle name="40% - Accent2 11 2 5" xfId="6117"/>
    <cellStyle name="40% - Accent2 11 2 5 2" xfId="17405"/>
    <cellStyle name="40% - Accent2 11 2 6" xfId="15411"/>
    <cellStyle name="40% - Accent2 11 3" xfId="11102"/>
    <cellStyle name="40% - Accent2 11 3 2" xfId="22390"/>
    <cellStyle name="40% - Accent2 11 4" xfId="9108"/>
    <cellStyle name="40% - Accent2 11 4 2" xfId="20396"/>
    <cellStyle name="40% - Accent2 11 5" xfId="7114"/>
    <cellStyle name="40% - Accent2 11 5 2" xfId="18402"/>
    <cellStyle name="40% - Accent2 11 6" xfId="5120"/>
    <cellStyle name="40% - Accent2 11 6 2" xfId="16408"/>
    <cellStyle name="40% - Accent2 11 7" xfId="14414"/>
    <cellStyle name="40% - Accent2 11 8" xfId="13100"/>
    <cellStyle name="40% - Accent2 12" xfId="1165"/>
    <cellStyle name="40% - Accent2 12 2" xfId="4121"/>
    <cellStyle name="40% - Accent2 12 2 2" xfId="12100"/>
    <cellStyle name="40% - Accent2 12 2 2 2" xfId="23388"/>
    <cellStyle name="40% - Accent2 12 2 3" xfId="10106"/>
    <cellStyle name="40% - Accent2 12 2 3 2" xfId="21394"/>
    <cellStyle name="40% - Accent2 12 2 4" xfId="8112"/>
    <cellStyle name="40% - Accent2 12 2 4 2" xfId="19400"/>
    <cellStyle name="40% - Accent2 12 2 5" xfId="6118"/>
    <cellStyle name="40% - Accent2 12 2 5 2" xfId="17406"/>
    <cellStyle name="40% - Accent2 12 2 6" xfId="15412"/>
    <cellStyle name="40% - Accent2 12 3" xfId="11103"/>
    <cellStyle name="40% - Accent2 12 3 2" xfId="22391"/>
    <cellStyle name="40% - Accent2 12 4" xfId="9109"/>
    <cellStyle name="40% - Accent2 12 4 2" xfId="20397"/>
    <cellStyle name="40% - Accent2 12 5" xfId="7115"/>
    <cellStyle name="40% - Accent2 12 5 2" xfId="18403"/>
    <cellStyle name="40% - Accent2 12 6" xfId="5121"/>
    <cellStyle name="40% - Accent2 12 6 2" xfId="16409"/>
    <cellStyle name="40% - Accent2 12 7" xfId="14415"/>
    <cellStyle name="40% - Accent2 12 8" xfId="13101"/>
    <cellStyle name="40% - Accent2 13" xfId="1166"/>
    <cellStyle name="40% - Accent2 13 2" xfId="4122"/>
    <cellStyle name="40% - Accent2 13 2 2" xfId="12101"/>
    <cellStyle name="40% - Accent2 13 2 2 2" xfId="23389"/>
    <cellStyle name="40% - Accent2 13 2 3" xfId="10107"/>
    <cellStyle name="40% - Accent2 13 2 3 2" xfId="21395"/>
    <cellStyle name="40% - Accent2 13 2 4" xfId="8113"/>
    <cellStyle name="40% - Accent2 13 2 4 2" xfId="19401"/>
    <cellStyle name="40% - Accent2 13 2 5" xfId="6119"/>
    <cellStyle name="40% - Accent2 13 2 5 2" xfId="17407"/>
    <cellStyle name="40% - Accent2 13 2 6" xfId="15413"/>
    <cellStyle name="40% - Accent2 13 3" xfId="11104"/>
    <cellStyle name="40% - Accent2 13 3 2" xfId="22392"/>
    <cellStyle name="40% - Accent2 13 4" xfId="9110"/>
    <cellStyle name="40% - Accent2 13 4 2" xfId="20398"/>
    <cellStyle name="40% - Accent2 13 5" xfId="7116"/>
    <cellStyle name="40% - Accent2 13 5 2" xfId="18404"/>
    <cellStyle name="40% - Accent2 13 6" xfId="5122"/>
    <cellStyle name="40% - Accent2 13 6 2" xfId="16410"/>
    <cellStyle name="40% - Accent2 13 7" xfId="14416"/>
    <cellStyle name="40% - Accent2 13 8" xfId="13102"/>
    <cellStyle name="40% - Accent2 14" xfId="1167"/>
    <cellStyle name="40% - Accent2 14 2" xfId="4123"/>
    <cellStyle name="40% - Accent2 14 2 2" xfId="12102"/>
    <cellStyle name="40% - Accent2 14 2 2 2" xfId="23390"/>
    <cellStyle name="40% - Accent2 14 2 3" xfId="10108"/>
    <cellStyle name="40% - Accent2 14 2 3 2" xfId="21396"/>
    <cellStyle name="40% - Accent2 14 2 4" xfId="8114"/>
    <cellStyle name="40% - Accent2 14 2 4 2" xfId="19402"/>
    <cellStyle name="40% - Accent2 14 2 5" xfId="6120"/>
    <cellStyle name="40% - Accent2 14 2 5 2" xfId="17408"/>
    <cellStyle name="40% - Accent2 14 2 6" xfId="15414"/>
    <cellStyle name="40% - Accent2 14 3" xfId="11105"/>
    <cellStyle name="40% - Accent2 14 3 2" xfId="22393"/>
    <cellStyle name="40% - Accent2 14 4" xfId="9111"/>
    <cellStyle name="40% - Accent2 14 4 2" xfId="20399"/>
    <cellStyle name="40% - Accent2 14 5" xfId="7117"/>
    <cellStyle name="40% - Accent2 14 5 2" xfId="18405"/>
    <cellStyle name="40% - Accent2 14 6" xfId="5123"/>
    <cellStyle name="40% - Accent2 14 6 2" xfId="16411"/>
    <cellStyle name="40% - Accent2 14 7" xfId="14417"/>
    <cellStyle name="40% - Accent2 14 8" xfId="13103"/>
    <cellStyle name="40% - Accent2 15" xfId="1168"/>
    <cellStyle name="40% - Accent2 15 2" xfId="4124"/>
    <cellStyle name="40% - Accent2 15 2 2" xfId="12103"/>
    <cellStyle name="40% - Accent2 15 2 2 2" xfId="23391"/>
    <cellStyle name="40% - Accent2 15 2 3" xfId="10109"/>
    <cellStyle name="40% - Accent2 15 2 3 2" xfId="21397"/>
    <cellStyle name="40% - Accent2 15 2 4" xfId="8115"/>
    <cellStyle name="40% - Accent2 15 2 4 2" xfId="19403"/>
    <cellStyle name="40% - Accent2 15 2 5" xfId="6121"/>
    <cellStyle name="40% - Accent2 15 2 5 2" xfId="17409"/>
    <cellStyle name="40% - Accent2 15 2 6" xfId="15415"/>
    <cellStyle name="40% - Accent2 15 3" xfId="11106"/>
    <cellStyle name="40% - Accent2 15 3 2" xfId="22394"/>
    <cellStyle name="40% - Accent2 15 4" xfId="9112"/>
    <cellStyle name="40% - Accent2 15 4 2" xfId="20400"/>
    <cellStyle name="40% - Accent2 15 5" xfId="7118"/>
    <cellStyle name="40% - Accent2 15 5 2" xfId="18406"/>
    <cellStyle name="40% - Accent2 15 6" xfId="5124"/>
    <cellStyle name="40% - Accent2 15 6 2" xfId="16412"/>
    <cellStyle name="40% - Accent2 15 7" xfId="14418"/>
    <cellStyle name="40% - Accent2 15 8" xfId="13104"/>
    <cellStyle name="40% - Accent2 16" xfId="1169"/>
    <cellStyle name="40% - Accent2 16 2" xfId="4125"/>
    <cellStyle name="40% - Accent2 16 2 2" xfId="12104"/>
    <cellStyle name="40% - Accent2 16 2 2 2" xfId="23392"/>
    <cellStyle name="40% - Accent2 16 2 3" xfId="10110"/>
    <cellStyle name="40% - Accent2 16 2 3 2" xfId="21398"/>
    <cellStyle name="40% - Accent2 16 2 4" xfId="8116"/>
    <cellStyle name="40% - Accent2 16 2 4 2" xfId="19404"/>
    <cellStyle name="40% - Accent2 16 2 5" xfId="6122"/>
    <cellStyle name="40% - Accent2 16 2 5 2" xfId="17410"/>
    <cellStyle name="40% - Accent2 16 2 6" xfId="15416"/>
    <cellStyle name="40% - Accent2 16 3" xfId="11107"/>
    <cellStyle name="40% - Accent2 16 3 2" xfId="22395"/>
    <cellStyle name="40% - Accent2 16 4" xfId="9113"/>
    <cellStyle name="40% - Accent2 16 4 2" xfId="20401"/>
    <cellStyle name="40% - Accent2 16 5" xfId="7119"/>
    <cellStyle name="40% - Accent2 16 5 2" xfId="18407"/>
    <cellStyle name="40% - Accent2 16 6" xfId="5125"/>
    <cellStyle name="40% - Accent2 16 6 2" xfId="16413"/>
    <cellStyle name="40% - Accent2 16 7" xfId="14419"/>
    <cellStyle name="40% - Accent2 16 8" xfId="13105"/>
    <cellStyle name="40% - Accent2 17" xfId="1170"/>
    <cellStyle name="40% - Accent2 17 2" xfId="4126"/>
    <cellStyle name="40% - Accent2 17 2 2" xfId="12105"/>
    <cellStyle name="40% - Accent2 17 2 2 2" xfId="23393"/>
    <cellStyle name="40% - Accent2 17 2 3" xfId="10111"/>
    <cellStyle name="40% - Accent2 17 2 3 2" xfId="21399"/>
    <cellStyle name="40% - Accent2 17 2 4" xfId="8117"/>
    <cellStyle name="40% - Accent2 17 2 4 2" xfId="19405"/>
    <cellStyle name="40% - Accent2 17 2 5" xfId="6123"/>
    <cellStyle name="40% - Accent2 17 2 5 2" xfId="17411"/>
    <cellStyle name="40% - Accent2 17 2 6" xfId="15417"/>
    <cellStyle name="40% - Accent2 17 3" xfId="11108"/>
    <cellStyle name="40% - Accent2 17 3 2" xfId="22396"/>
    <cellStyle name="40% - Accent2 17 4" xfId="9114"/>
    <cellStyle name="40% - Accent2 17 4 2" xfId="20402"/>
    <cellStyle name="40% - Accent2 17 5" xfId="7120"/>
    <cellStyle name="40% - Accent2 17 5 2" xfId="18408"/>
    <cellStyle name="40% - Accent2 17 6" xfId="5126"/>
    <cellStyle name="40% - Accent2 17 6 2" xfId="16414"/>
    <cellStyle name="40% - Accent2 17 7" xfId="14420"/>
    <cellStyle name="40% - Accent2 17 8" xfId="13106"/>
    <cellStyle name="40% - Accent2 18" xfId="1171"/>
    <cellStyle name="40% - Accent2 18 2" xfId="4127"/>
    <cellStyle name="40% - Accent2 18 2 2" xfId="12106"/>
    <cellStyle name="40% - Accent2 18 2 2 2" xfId="23394"/>
    <cellStyle name="40% - Accent2 18 2 3" xfId="10112"/>
    <cellStyle name="40% - Accent2 18 2 3 2" xfId="21400"/>
    <cellStyle name="40% - Accent2 18 2 4" xfId="8118"/>
    <cellStyle name="40% - Accent2 18 2 4 2" xfId="19406"/>
    <cellStyle name="40% - Accent2 18 2 5" xfId="6124"/>
    <cellStyle name="40% - Accent2 18 2 5 2" xfId="17412"/>
    <cellStyle name="40% - Accent2 18 2 6" xfId="15418"/>
    <cellStyle name="40% - Accent2 18 3" xfId="11109"/>
    <cellStyle name="40% - Accent2 18 3 2" xfId="22397"/>
    <cellStyle name="40% - Accent2 18 4" xfId="9115"/>
    <cellStyle name="40% - Accent2 18 4 2" xfId="20403"/>
    <cellStyle name="40% - Accent2 18 5" xfId="7121"/>
    <cellStyle name="40% - Accent2 18 5 2" xfId="18409"/>
    <cellStyle name="40% - Accent2 18 6" xfId="5127"/>
    <cellStyle name="40% - Accent2 18 6 2" xfId="16415"/>
    <cellStyle name="40% - Accent2 18 7" xfId="14421"/>
    <cellStyle name="40% - Accent2 18 8" xfId="13107"/>
    <cellStyle name="40% - Accent2 19" xfId="1172"/>
    <cellStyle name="40% - Accent2 19 2" xfId="4128"/>
    <cellStyle name="40% - Accent2 19 2 2" xfId="12107"/>
    <cellStyle name="40% - Accent2 19 2 2 2" xfId="23395"/>
    <cellStyle name="40% - Accent2 19 2 3" xfId="10113"/>
    <cellStyle name="40% - Accent2 19 2 3 2" xfId="21401"/>
    <cellStyle name="40% - Accent2 19 2 4" xfId="8119"/>
    <cellStyle name="40% - Accent2 19 2 4 2" xfId="19407"/>
    <cellStyle name="40% - Accent2 19 2 5" xfId="6125"/>
    <cellStyle name="40% - Accent2 19 2 5 2" xfId="17413"/>
    <cellStyle name="40% - Accent2 19 2 6" xfId="15419"/>
    <cellStyle name="40% - Accent2 19 3" xfId="11110"/>
    <cellStyle name="40% - Accent2 19 3 2" xfId="22398"/>
    <cellStyle name="40% - Accent2 19 4" xfId="9116"/>
    <cellStyle name="40% - Accent2 19 4 2" xfId="20404"/>
    <cellStyle name="40% - Accent2 19 5" xfId="7122"/>
    <cellStyle name="40% - Accent2 19 5 2" xfId="18410"/>
    <cellStyle name="40% - Accent2 19 6" xfId="5128"/>
    <cellStyle name="40% - Accent2 19 6 2" xfId="16416"/>
    <cellStyle name="40% - Accent2 19 7" xfId="14422"/>
    <cellStyle name="40% - Accent2 19 8" xfId="13108"/>
    <cellStyle name="40% - Accent2 2" xfId="1173"/>
    <cellStyle name="40% - Accent2 2 10" xfId="24601"/>
    <cellStyle name="40% - Accent2 2 11" xfId="24991"/>
    <cellStyle name="40% - Accent2 2 2" xfId="4129"/>
    <cellStyle name="40% - Accent2 2 2 2" xfId="12108"/>
    <cellStyle name="40% - Accent2 2 2 2 2" xfId="23396"/>
    <cellStyle name="40% - Accent2 2 2 3" xfId="10114"/>
    <cellStyle name="40% - Accent2 2 2 3 2" xfId="21402"/>
    <cellStyle name="40% - Accent2 2 2 4" xfId="8120"/>
    <cellStyle name="40% - Accent2 2 2 4 2" xfId="19408"/>
    <cellStyle name="40% - Accent2 2 2 5" xfId="6126"/>
    <cellStyle name="40% - Accent2 2 2 5 2" xfId="17414"/>
    <cellStyle name="40% - Accent2 2 2 6" xfId="15420"/>
    <cellStyle name="40% - Accent2 2 2 7" xfId="24362"/>
    <cellStyle name="40% - Accent2 2 2 8" xfId="24826"/>
    <cellStyle name="40% - Accent2 2 2 9" xfId="25193"/>
    <cellStyle name="40% - Accent2 2 3" xfId="11111"/>
    <cellStyle name="40% - Accent2 2 3 2" xfId="22399"/>
    <cellStyle name="40% - Accent2 2 4" xfId="9117"/>
    <cellStyle name="40% - Accent2 2 4 2" xfId="20405"/>
    <cellStyle name="40% - Accent2 2 5" xfId="7123"/>
    <cellStyle name="40% - Accent2 2 5 2" xfId="18411"/>
    <cellStyle name="40% - Accent2 2 6" xfId="5129"/>
    <cellStyle name="40% - Accent2 2 6 2" xfId="16417"/>
    <cellStyle name="40% - Accent2 2 7" xfId="14423"/>
    <cellStyle name="40% - Accent2 2 8" xfId="13109"/>
    <cellStyle name="40% - Accent2 2 9" xfId="23974"/>
    <cellStyle name="40% - Accent2 20" xfId="1174"/>
    <cellStyle name="40% - Accent2 20 2" xfId="4130"/>
    <cellStyle name="40% - Accent2 20 2 2" xfId="12109"/>
    <cellStyle name="40% - Accent2 20 2 2 2" xfId="23397"/>
    <cellStyle name="40% - Accent2 20 2 3" xfId="10115"/>
    <cellStyle name="40% - Accent2 20 2 3 2" xfId="21403"/>
    <cellStyle name="40% - Accent2 20 2 4" xfId="8121"/>
    <cellStyle name="40% - Accent2 20 2 4 2" xfId="19409"/>
    <cellStyle name="40% - Accent2 20 2 5" xfId="6127"/>
    <cellStyle name="40% - Accent2 20 2 5 2" xfId="17415"/>
    <cellStyle name="40% - Accent2 20 2 6" xfId="15421"/>
    <cellStyle name="40% - Accent2 20 3" xfId="11112"/>
    <cellStyle name="40% - Accent2 20 3 2" xfId="22400"/>
    <cellStyle name="40% - Accent2 20 4" xfId="9118"/>
    <cellStyle name="40% - Accent2 20 4 2" xfId="20406"/>
    <cellStyle name="40% - Accent2 20 5" xfId="7124"/>
    <cellStyle name="40% - Accent2 20 5 2" xfId="18412"/>
    <cellStyle name="40% - Accent2 20 6" xfId="5130"/>
    <cellStyle name="40% - Accent2 20 6 2" xfId="16418"/>
    <cellStyle name="40% - Accent2 20 7" xfId="14424"/>
    <cellStyle name="40% - Accent2 20 8" xfId="13110"/>
    <cellStyle name="40% - Accent2 21" xfId="1175"/>
    <cellStyle name="40% - Accent2 21 2" xfId="4131"/>
    <cellStyle name="40% - Accent2 21 2 2" xfId="12110"/>
    <cellStyle name="40% - Accent2 21 2 2 2" xfId="23398"/>
    <cellStyle name="40% - Accent2 21 2 3" xfId="10116"/>
    <cellStyle name="40% - Accent2 21 2 3 2" xfId="21404"/>
    <cellStyle name="40% - Accent2 21 2 4" xfId="8122"/>
    <cellStyle name="40% - Accent2 21 2 4 2" xfId="19410"/>
    <cellStyle name="40% - Accent2 21 2 5" xfId="6128"/>
    <cellStyle name="40% - Accent2 21 2 5 2" xfId="17416"/>
    <cellStyle name="40% - Accent2 21 2 6" xfId="15422"/>
    <cellStyle name="40% - Accent2 21 3" xfId="11113"/>
    <cellStyle name="40% - Accent2 21 3 2" xfId="22401"/>
    <cellStyle name="40% - Accent2 21 4" xfId="9119"/>
    <cellStyle name="40% - Accent2 21 4 2" xfId="20407"/>
    <cellStyle name="40% - Accent2 21 5" xfId="7125"/>
    <cellStyle name="40% - Accent2 21 5 2" xfId="18413"/>
    <cellStyle name="40% - Accent2 21 6" xfId="5131"/>
    <cellStyle name="40% - Accent2 21 6 2" xfId="16419"/>
    <cellStyle name="40% - Accent2 21 7" xfId="14425"/>
    <cellStyle name="40% - Accent2 21 8" xfId="13111"/>
    <cellStyle name="40% - Accent2 22" xfId="1176"/>
    <cellStyle name="40% - Accent2 22 2" xfId="4132"/>
    <cellStyle name="40% - Accent2 22 2 2" xfId="12111"/>
    <cellStyle name="40% - Accent2 22 2 2 2" xfId="23399"/>
    <cellStyle name="40% - Accent2 22 2 3" xfId="10117"/>
    <cellStyle name="40% - Accent2 22 2 3 2" xfId="21405"/>
    <cellStyle name="40% - Accent2 22 2 4" xfId="8123"/>
    <cellStyle name="40% - Accent2 22 2 4 2" xfId="19411"/>
    <cellStyle name="40% - Accent2 22 2 5" xfId="6129"/>
    <cellStyle name="40% - Accent2 22 2 5 2" xfId="17417"/>
    <cellStyle name="40% - Accent2 22 2 6" xfId="15423"/>
    <cellStyle name="40% - Accent2 22 3" xfId="11114"/>
    <cellStyle name="40% - Accent2 22 3 2" xfId="22402"/>
    <cellStyle name="40% - Accent2 22 4" xfId="9120"/>
    <cellStyle name="40% - Accent2 22 4 2" xfId="20408"/>
    <cellStyle name="40% - Accent2 22 5" xfId="7126"/>
    <cellStyle name="40% - Accent2 22 5 2" xfId="18414"/>
    <cellStyle name="40% - Accent2 22 6" xfId="5132"/>
    <cellStyle name="40% - Accent2 22 6 2" xfId="16420"/>
    <cellStyle name="40% - Accent2 22 7" xfId="14426"/>
    <cellStyle name="40% - Accent2 22 8" xfId="13112"/>
    <cellStyle name="40% - Accent2 23" xfId="1177"/>
    <cellStyle name="40% - Accent2 23 2" xfId="4133"/>
    <cellStyle name="40% - Accent2 23 2 2" xfId="12112"/>
    <cellStyle name="40% - Accent2 23 2 2 2" xfId="23400"/>
    <cellStyle name="40% - Accent2 23 2 3" xfId="10118"/>
    <cellStyle name="40% - Accent2 23 2 3 2" xfId="21406"/>
    <cellStyle name="40% - Accent2 23 2 4" xfId="8124"/>
    <cellStyle name="40% - Accent2 23 2 4 2" xfId="19412"/>
    <cellStyle name="40% - Accent2 23 2 5" xfId="6130"/>
    <cellStyle name="40% - Accent2 23 2 5 2" xfId="17418"/>
    <cellStyle name="40% - Accent2 23 2 6" xfId="15424"/>
    <cellStyle name="40% - Accent2 23 3" xfId="11115"/>
    <cellStyle name="40% - Accent2 23 3 2" xfId="22403"/>
    <cellStyle name="40% - Accent2 23 4" xfId="9121"/>
    <cellStyle name="40% - Accent2 23 4 2" xfId="20409"/>
    <cellStyle name="40% - Accent2 23 5" xfId="7127"/>
    <cellStyle name="40% - Accent2 23 5 2" xfId="18415"/>
    <cellStyle name="40% - Accent2 23 6" xfId="5133"/>
    <cellStyle name="40% - Accent2 23 6 2" xfId="16421"/>
    <cellStyle name="40% - Accent2 23 7" xfId="14427"/>
    <cellStyle name="40% - Accent2 23 8" xfId="13113"/>
    <cellStyle name="40% - Accent2 24" xfId="1178"/>
    <cellStyle name="40% - Accent2 24 2" xfId="4134"/>
    <cellStyle name="40% - Accent2 24 2 2" xfId="12113"/>
    <cellStyle name="40% - Accent2 24 2 2 2" xfId="23401"/>
    <cellStyle name="40% - Accent2 24 2 3" xfId="10119"/>
    <cellStyle name="40% - Accent2 24 2 3 2" xfId="21407"/>
    <cellStyle name="40% - Accent2 24 2 4" xfId="8125"/>
    <cellStyle name="40% - Accent2 24 2 4 2" xfId="19413"/>
    <cellStyle name="40% - Accent2 24 2 5" xfId="6131"/>
    <cellStyle name="40% - Accent2 24 2 5 2" xfId="17419"/>
    <cellStyle name="40% - Accent2 24 2 6" xfId="15425"/>
    <cellStyle name="40% - Accent2 24 3" xfId="11116"/>
    <cellStyle name="40% - Accent2 24 3 2" xfId="22404"/>
    <cellStyle name="40% - Accent2 24 4" xfId="9122"/>
    <cellStyle name="40% - Accent2 24 4 2" xfId="20410"/>
    <cellStyle name="40% - Accent2 24 5" xfId="7128"/>
    <cellStyle name="40% - Accent2 24 5 2" xfId="18416"/>
    <cellStyle name="40% - Accent2 24 6" xfId="5134"/>
    <cellStyle name="40% - Accent2 24 6 2" xfId="16422"/>
    <cellStyle name="40% - Accent2 24 7" xfId="14428"/>
    <cellStyle name="40% - Accent2 24 8" xfId="13114"/>
    <cellStyle name="40% - Accent2 25" xfId="1179"/>
    <cellStyle name="40% - Accent2 25 2" xfId="4135"/>
    <cellStyle name="40% - Accent2 25 2 2" xfId="12114"/>
    <cellStyle name="40% - Accent2 25 2 2 2" xfId="23402"/>
    <cellStyle name="40% - Accent2 25 2 3" xfId="10120"/>
    <cellStyle name="40% - Accent2 25 2 3 2" xfId="21408"/>
    <cellStyle name="40% - Accent2 25 2 4" xfId="8126"/>
    <cellStyle name="40% - Accent2 25 2 4 2" xfId="19414"/>
    <cellStyle name="40% - Accent2 25 2 5" xfId="6132"/>
    <cellStyle name="40% - Accent2 25 2 5 2" xfId="17420"/>
    <cellStyle name="40% - Accent2 25 2 6" xfId="15426"/>
    <cellStyle name="40% - Accent2 25 3" xfId="11117"/>
    <cellStyle name="40% - Accent2 25 3 2" xfId="22405"/>
    <cellStyle name="40% - Accent2 25 4" xfId="9123"/>
    <cellStyle name="40% - Accent2 25 4 2" xfId="20411"/>
    <cellStyle name="40% - Accent2 25 5" xfId="7129"/>
    <cellStyle name="40% - Accent2 25 5 2" xfId="18417"/>
    <cellStyle name="40% - Accent2 25 6" xfId="5135"/>
    <cellStyle name="40% - Accent2 25 6 2" xfId="16423"/>
    <cellStyle name="40% - Accent2 25 7" xfId="14429"/>
    <cellStyle name="40% - Accent2 25 8" xfId="13115"/>
    <cellStyle name="40% - Accent2 26" xfId="1180"/>
    <cellStyle name="40% - Accent2 26 2" xfId="4136"/>
    <cellStyle name="40% - Accent2 26 2 2" xfId="12115"/>
    <cellStyle name="40% - Accent2 26 2 2 2" xfId="23403"/>
    <cellStyle name="40% - Accent2 26 2 3" xfId="10121"/>
    <cellStyle name="40% - Accent2 26 2 3 2" xfId="21409"/>
    <cellStyle name="40% - Accent2 26 2 4" xfId="8127"/>
    <cellStyle name="40% - Accent2 26 2 4 2" xfId="19415"/>
    <cellStyle name="40% - Accent2 26 2 5" xfId="6133"/>
    <cellStyle name="40% - Accent2 26 2 5 2" xfId="17421"/>
    <cellStyle name="40% - Accent2 26 2 6" xfId="15427"/>
    <cellStyle name="40% - Accent2 26 3" xfId="11118"/>
    <cellStyle name="40% - Accent2 26 3 2" xfId="22406"/>
    <cellStyle name="40% - Accent2 26 4" xfId="9124"/>
    <cellStyle name="40% - Accent2 26 4 2" xfId="20412"/>
    <cellStyle name="40% - Accent2 26 5" xfId="7130"/>
    <cellStyle name="40% - Accent2 26 5 2" xfId="18418"/>
    <cellStyle name="40% - Accent2 26 6" xfId="5136"/>
    <cellStyle name="40% - Accent2 26 6 2" xfId="16424"/>
    <cellStyle name="40% - Accent2 26 7" xfId="14430"/>
    <cellStyle name="40% - Accent2 26 8" xfId="13116"/>
    <cellStyle name="40% - Accent2 27" xfId="1181"/>
    <cellStyle name="40% - Accent2 27 2" xfId="4137"/>
    <cellStyle name="40% - Accent2 27 2 2" xfId="12116"/>
    <cellStyle name="40% - Accent2 27 2 2 2" xfId="23404"/>
    <cellStyle name="40% - Accent2 27 2 3" xfId="10122"/>
    <cellStyle name="40% - Accent2 27 2 3 2" xfId="21410"/>
    <cellStyle name="40% - Accent2 27 2 4" xfId="8128"/>
    <cellStyle name="40% - Accent2 27 2 4 2" xfId="19416"/>
    <cellStyle name="40% - Accent2 27 2 5" xfId="6134"/>
    <cellStyle name="40% - Accent2 27 2 5 2" xfId="17422"/>
    <cellStyle name="40% - Accent2 27 2 6" xfId="15428"/>
    <cellStyle name="40% - Accent2 27 3" xfId="11119"/>
    <cellStyle name="40% - Accent2 27 3 2" xfId="22407"/>
    <cellStyle name="40% - Accent2 27 4" xfId="9125"/>
    <cellStyle name="40% - Accent2 27 4 2" xfId="20413"/>
    <cellStyle name="40% - Accent2 27 5" xfId="7131"/>
    <cellStyle name="40% - Accent2 27 5 2" xfId="18419"/>
    <cellStyle name="40% - Accent2 27 6" xfId="5137"/>
    <cellStyle name="40% - Accent2 27 6 2" xfId="16425"/>
    <cellStyle name="40% - Accent2 27 7" xfId="14431"/>
    <cellStyle name="40% - Accent2 27 8" xfId="13117"/>
    <cellStyle name="40% - Accent2 28" xfId="1182"/>
    <cellStyle name="40% - Accent2 28 2" xfId="4138"/>
    <cellStyle name="40% - Accent2 28 2 2" xfId="12117"/>
    <cellStyle name="40% - Accent2 28 2 2 2" xfId="23405"/>
    <cellStyle name="40% - Accent2 28 2 3" xfId="10123"/>
    <cellStyle name="40% - Accent2 28 2 3 2" xfId="21411"/>
    <cellStyle name="40% - Accent2 28 2 4" xfId="8129"/>
    <cellStyle name="40% - Accent2 28 2 4 2" xfId="19417"/>
    <cellStyle name="40% - Accent2 28 2 5" xfId="6135"/>
    <cellStyle name="40% - Accent2 28 2 5 2" xfId="17423"/>
    <cellStyle name="40% - Accent2 28 2 6" xfId="15429"/>
    <cellStyle name="40% - Accent2 28 3" xfId="11120"/>
    <cellStyle name="40% - Accent2 28 3 2" xfId="22408"/>
    <cellStyle name="40% - Accent2 28 4" xfId="9126"/>
    <cellStyle name="40% - Accent2 28 4 2" xfId="20414"/>
    <cellStyle name="40% - Accent2 28 5" xfId="7132"/>
    <cellStyle name="40% - Accent2 28 5 2" xfId="18420"/>
    <cellStyle name="40% - Accent2 28 6" xfId="5138"/>
    <cellStyle name="40% - Accent2 28 6 2" xfId="16426"/>
    <cellStyle name="40% - Accent2 28 7" xfId="14432"/>
    <cellStyle name="40% - Accent2 28 8" xfId="13118"/>
    <cellStyle name="40% - Accent2 29" xfId="1183"/>
    <cellStyle name="40% - Accent2 29 2" xfId="4139"/>
    <cellStyle name="40% - Accent2 29 2 2" xfId="12118"/>
    <cellStyle name="40% - Accent2 29 2 2 2" xfId="23406"/>
    <cellStyle name="40% - Accent2 29 2 3" xfId="10124"/>
    <cellStyle name="40% - Accent2 29 2 3 2" xfId="21412"/>
    <cellStyle name="40% - Accent2 29 2 4" xfId="8130"/>
    <cellStyle name="40% - Accent2 29 2 4 2" xfId="19418"/>
    <cellStyle name="40% - Accent2 29 2 5" xfId="6136"/>
    <cellStyle name="40% - Accent2 29 2 5 2" xfId="17424"/>
    <cellStyle name="40% - Accent2 29 2 6" xfId="15430"/>
    <cellStyle name="40% - Accent2 29 3" xfId="11121"/>
    <cellStyle name="40% - Accent2 29 3 2" xfId="22409"/>
    <cellStyle name="40% - Accent2 29 4" xfId="9127"/>
    <cellStyle name="40% - Accent2 29 4 2" xfId="20415"/>
    <cellStyle name="40% - Accent2 29 5" xfId="7133"/>
    <cellStyle name="40% - Accent2 29 5 2" xfId="18421"/>
    <cellStyle name="40% - Accent2 29 6" xfId="5139"/>
    <cellStyle name="40% - Accent2 29 6 2" xfId="16427"/>
    <cellStyle name="40% - Accent2 29 7" xfId="14433"/>
    <cellStyle name="40% - Accent2 29 8" xfId="13119"/>
    <cellStyle name="40% - Accent2 3" xfId="1184"/>
    <cellStyle name="40% - Accent2 3 10" xfId="24602"/>
    <cellStyle name="40% - Accent2 3 11" xfId="24992"/>
    <cellStyle name="40% - Accent2 3 2" xfId="4140"/>
    <cellStyle name="40% - Accent2 3 2 2" xfId="12119"/>
    <cellStyle name="40% - Accent2 3 2 2 2" xfId="23407"/>
    <cellStyle name="40% - Accent2 3 2 3" xfId="10125"/>
    <cellStyle name="40% - Accent2 3 2 3 2" xfId="21413"/>
    <cellStyle name="40% - Accent2 3 2 4" xfId="8131"/>
    <cellStyle name="40% - Accent2 3 2 4 2" xfId="19419"/>
    <cellStyle name="40% - Accent2 3 2 5" xfId="6137"/>
    <cellStyle name="40% - Accent2 3 2 5 2" xfId="17425"/>
    <cellStyle name="40% - Accent2 3 2 6" xfId="15431"/>
    <cellStyle name="40% - Accent2 3 2 7" xfId="24363"/>
    <cellStyle name="40% - Accent2 3 2 8" xfId="24827"/>
    <cellStyle name="40% - Accent2 3 2 9" xfId="25194"/>
    <cellStyle name="40% - Accent2 3 3" xfId="11122"/>
    <cellStyle name="40% - Accent2 3 3 2" xfId="22410"/>
    <cellStyle name="40% - Accent2 3 4" xfId="9128"/>
    <cellStyle name="40% - Accent2 3 4 2" xfId="20416"/>
    <cellStyle name="40% - Accent2 3 5" xfId="7134"/>
    <cellStyle name="40% - Accent2 3 5 2" xfId="18422"/>
    <cellStyle name="40% - Accent2 3 6" xfId="5140"/>
    <cellStyle name="40% - Accent2 3 6 2" xfId="16428"/>
    <cellStyle name="40% - Accent2 3 7" xfId="14434"/>
    <cellStyle name="40% - Accent2 3 8" xfId="13120"/>
    <cellStyle name="40% - Accent2 3 9" xfId="23975"/>
    <cellStyle name="40% - Accent2 30" xfId="1185"/>
    <cellStyle name="40% - Accent2 30 2" xfId="4141"/>
    <cellStyle name="40% - Accent2 30 2 2" xfId="12120"/>
    <cellStyle name="40% - Accent2 30 2 2 2" xfId="23408"/>
    <cellStyle name="40% - Accent2 30 2 3" xfId="10126"/>
    <cellStyle name="40% - Accent2 30 2 3 2" xfId="21414"/>
    <cellStyle name="40% - Accent2 30 2 4" xfId="8132"/>
    <cellStyle name="40% - Accent2 30 2 4 2" xfId="19420"/>
    <cellStyle name="40% - Accent2 30 2 5" xfId="6138"/>
    <cellStyle name="40% - Accent2 30 2 5 2" xfId="17426"/>
    <cellStyle name="40% - Accent2 30 2 6" xfId="15432"/>
    <cellStyle name="40% - Accent2 30 3" xfId="11123"/>
    <cellStyle name="40% - Accent2 30 3 2" xfId="22411"/>
    <cellStyle name="40% - Accent2 30 4" xfId="9129"/>
    <cellStyle name="40% - Accent2 30 4 2" xfId="20417"/>
    <cellStyle name="40% - Accent2 30 5" xfId="7135"/>
    <cellStyle name="40% - Accent2 30 5 2" xfId="18423"/>
    <cellStyle name="40% - Accent2 30 6" xfId="5141"/>
    <cellStyle name="40% - Accent2 30 6 2" xfId="16429"/>
    <cellStyle name="40% - Accent2 30 7" xfId="14435"/>
    <cellStyle name="40% - Accent2 30 8" xfId="13121"/>
    <cellStyle name="40% - Accent2 31" xfId="1186"/>
    <cellStyle name="40% - Accent2 31 2" xfId="4142"/>
    <cellStyle name="40% - Accent2 31 2 2" xfId="12121"/>
    <cellStyle name="40% - Accent2 31 2 2 2" xfId="23409"/>
    <cellStyle name="40% - Accent2 31 2 3" xfId="10127"/>
    <cellStyle name="40% - Accent2 31 2 3 2" xfId="21415"/>
    <cellStyle name="40% - Accent2 31 2 4" xfId="8133"/>
    <cellStyle name="40% - Accent2 31 2 4 2" xfId="19421"/>
    <cellStyle name="40% - Accent2 31 2 5" xfId="6139"/>
    <cellStyle name="40% - Accent2 31 2 5 2" xfId="17427"/>
    <cellStyle name="40% - Accent2 31 2 6" xfId="15433"/>
    <cellStyle name="40% - Accent2 31 3" xfId="11124"/>
    <cellStyle name="40% - Accent2 31 3 2" xfId="22412"/>
    <cellStyle name="40% - Accent2 31 4" xfId="9130"/>
    <cellStyle name="40% - Accent2 31 4 2" xfId="20418"/>
    <cellStyle name="40% - Accent2 31 5" xfId="7136"/>
    <cellStyle name="40% - Accent2 31 5 2" xfId="18424"/>
    <cellStyle name="40% - Accent2 31 6" xfId="5142"/>
    <cellStyle name="40% - Accent2 31 6 2" xfId="16430"/>
    <cellStyle name="40% - Accent2 31 7" xfId="14436"/>
    <cellStyle name="40% - Accent2 31 8" xfId="13122"/>
    <cellStyle name="40% - Accent2 32" xfId="1187"/>
    <cellStyle name="40% - Accent2 32 2" xfId="4143"/>
    <cellStyle name="40% - Accent2 32 2 2" xfId="12122"/>
    <cellStyle name="40% - Accent2 32 2 2 2" xfId="23410"/>
    <cellStyle name="40% - Accent2 32 2 3" xfId="10128"/>
    <cellStyle name="40% - Accent2 32 2 3 2" xfId="21416"/>
    <cellStyle name="40% - Accent2 32 2 4" xfId="8134"/>
    <cellStyle name="40% - Accent2 32 2 4 2" xfId="19422"/>
    <cellStyle name="40% - Accent2 32 2 5" xfId="6140"/>
    <cellStyle name="40% - Accent2 32 2 5 2" xfId="17428"/>
    <cellStyle name="40% - Accent2 32 2 6" xfId="15434"/>
    <cellStyle name="40% - Accent2 32 3" xfId="11125"/>
    <cellStyle name="40% - Accent2 32 3 2" xfId="22413"/>
    <cellStyle name="40% - Accent2 32 4" xfId="9131"/>
    <cellStyle name="40% - Accent2 32 4 2" xfId="20419"/>
    <cellStyle name="40% - Accent2 32 5" xfId="7137"/>
    <cellStyle name="40% - Accent2 32 5 2" xfId="18425"/>
    <cellStyle name="40% - Accent2 32 6" xfId="5143"/>
    <cellStyle name="40% - Accent2 32 6 2" xfId="16431"/>
    <cellStyle name="40% - Accent2 32 7" xfId="14437"/>
    <cellStyle name="40% - Accent2 32 8" xfId="13123"/>
    <cellStyle name="40% - Accent2 33" xfId="1188"/>
    <cellStyle name="40% - Accent2 33 2" xfId="4144"/>
    <cellStyle name="40% - Accent2 33 2 2" xfId="12123"/>
    <cellStyle name="40% - Accent2 33 2 2 2" xfId="23411"/>
    <cellStyle name="40% - Accent2 33 2 3" xfId="10129"/>
    <cellStyle name="40% - Accent2 33 2 3 2" xfId="21417"/>
    <cellStyle name="40% - Accent2 33 2 4" xfId="8135"/>
    <cellStyle name="40% - Accent2 33 2 4 2" xfId="19423"/>
    <cellStyle name="40% - Accent2 33 2 5" xfId="6141"/>
    <cellStyle name="40% - Accent2 33 2 5 2" xfId="17429"/>
    <cellStyle name="40% - Accent2 33 2 6" xfId="15435"/>
    <cellStyle name="40% - Accent2 33 3" xfId="11126"/>
    <cellStyle name="40% - Accent2 33 3 2" xfId="22414"/>
    <cellStyle name="40% - Accent2 33 4" xfId="9132"/>
    <cellStyle name="40% - Accent2 33 4 2" xfId="20420"/>
    <cellStyle name="40% - Accent2 33 5" xfId="7138"/>
    <cellStyle name="40% - Accent2 33 5 2" xfId="18426"/>
    <cellStyle name="40% - Accent2 33 6" xfId="5144"/>
    <cellStyle name="40% - Accent2 33 6 2" xfId="16432"/>
    <cellStyle name="40% - Accent2 33 7" xfId="14438"/>
    <cellStyle name="40% - Accent2 33 8" xfId="13124"/>
    <cellStyle name="40% - Accent2 34" xfId="1189"/>
    <cellStyle name="40% - Accent2 34 2" xfId="4145"/>
    <cellStyle name="40% - Accent2 34 2 2" xfId="12124"/>
    <cellStyle name="40% - Accent2 34 2 2 2" xfId="23412"/>
    <cellStyle name="40% - Accent2 34 2 3" xfId="10130"/>
    <cellStyle name="40% - Accent2 34 2 3 2" xfId="21418"/>
    <cellStyle name="40% - Accent2 34 2 4" xfId="8136"/>
    <cellStyle name="40% - Accent2 34 2 4 2" xfId="19424"/>
    <cellStyle name="40% - Accent2 34 2 5" xfId="6142"/>
    <cellStyle name="40% - Accent2 34 2 5 2" xfId="17430"/>
    <cellStyle name="40% - Accent2 34 2 6" xfId="15436"/>
    <cellStyle name="40% - Accent2 34 3" xfId="11127"/>
    <cellStyle name="40% - Accent2 34 3 2" xfId="22415"/>
    <cellStyle name="40% - Accent2 34 4" xfId="9133"/>
    <cellStyle name="40% - Accent2 34 4 2" xfId="20421"/>
    <cellStyle name="40% - Accent2 34 5" xfId="7139"/>
    <cellStyle name="40% - Accent2 34 5 2" xfId="18427"/>
    <cellStyle name="40% - Accent2 34 6" xfId="5145"/>
    <cellStyle name="40% - Accent2 34 6 2" xfId="16433"/>
    <cellStyle name="40% - Accent2 34 7" xfId="14439"/>
    <cellStyle name="40% - Accent2 34 8" xfId="13125"/>
    <cellStyle name="40% - Accent2 35" xfId="1190"/>
    <cellStyle name="40% - Accent2 35 2" xfId="4146"/>
    <cellStyle name="40% - Accent2 35 2 2" xfId="12125"/>
    <cellStyle name="40% - Accent2 35 2 2 2" xfId="23413"/>
    <cellStyle name="40% - Accent2 35 2 3" xfId="10131"/>
    <cellStyle name="40% - Accent2 35 2 3 2" xfId="21419"/>
    <cellStyle name="40% - Accent2 35 2 4" xfId="8137"/>
    <cellStyle name="40% - Accent2 35 2 4 2" xfId="19425"/>
    <cellStyle name="40% - Accent2 35 2 5" xfId="6143"/>
    <cellStyle name="40% - Accent2 35 2 5 2" xfId="17431"/>
    <cellStyle name="40% - Accent2 35 2 6" xfId="15437"/>
    <cellStyle name="40% - Accent2 35 3" xfId="11128"/>
    <cellStyle name="40% - Accent2 35 3 2" xfId="22416"/>
    <cellStyle name="40% - Accent2 35 4" xfId="9134"/>
    <cellStyle name="40% - Accent2 35 4 2" xfId="20422"/>
    <cellStyle name="40% - Accent2 35 5" xfId="7140"/>
    <cellStyle name="40% - Accent2 35 5 2" xfId="18428"/>
    <cellStyle name="40% - Accent2 35 6" xfId="5146"/>
    <cellStyle name="40% - Accent2 35 6 2" xfId="16434"/>
    <cellStyle name="40% - Accent2 35 7" xfId="14440"/>
    <cellStyle name="40% - Accent2 35 8" xfId="13126"/>
    <cellStyle name="40% - Accent2 36" xfId="1191"/>
    <cellStyle name="40% - Accent2 36 2" xfId="4147"/>
    <cellStyle name="40% - Accent2 36 2 2" xfId="12126"/>
    <cellStyle name="40% - Accent2 36 2 2 2" xfId="23414"/>
    <cellStyle name="40% - Accent2 36 2 3" xfId="10132"/>
    <cellStyle name="40% - Accent2 36 2 3 2" xfId="21420"/>
    <cellStyle name="40% - Accent2 36 2 4" xfId="8138"/>
    <cellStyle name="40% - Accent2 36 2 4 2" xfId="19426"/>
    <cellStyle name="40% - Accent2 36 2 5" xfId="6144"/>
    <cellStyle name="40% - Accent2 36 2 5 2" xfId="17432"/>
    <cellStyle name="40% - Accent2 36 2 6" xfId="15438"/>
    <cellStyle name="40% - Accent2 36 3" xfId="11129"/>
    <cellStyle name="40% - Accent2 36 3 2" xfId="22417"/>
    <cellStyle name="40% - Accent2 36 4" xfId="9135"/>
    <cellStyle name="40% - Accent2 36 4 2" xfId="20423"/>
    <cellStyle name="40% - Accent2 36 5" xfId="7141"/>
    <cellStyle name="40% - Accent2 36 5 2" xfId="18429"/>
    <cellStyle name="40% - Accent2 36 6" xfId="5147"/>
    <cellStyle name="40% - Accent2 36 6 2" xfId="16435"/>
    <cellStyle name="40% - Accent2 36 7" xfId="14441"/>
    <cellStyle name="40% - Accent2 36 8" xfId="13127"/>
    <cellStyle name="40% - Accent2 37" xfId="1192"/>
    <cellStyle name="40% - Accent2 37 2" xfId="4148"/>
    <cellStyle name="40% - Accent2 37 2 2" xfId="12127"/>
    <cellStyle name="40% - Accent2 37 2 2 2" xfId="23415"/>
    <cellStyle name="40% - Accent2 37 2 3" xfId="10133"/>
    <cellStyle name="40% - Accent2 37 2 3 2" xfId="21421"/>
    <cellStyle name="40% - Accent2 37 2 4" xfId="8139"/>
    <cellStyle name="40% - Accent2 37 2 4 2" xfId="19427"/>
    <cellStyle name="40% - Accent2 37 2 5" xfId="6145"/>
    <cellStyle name="40% - Accent2 37 2 5 2" xfId="17433"/>
    <cellStyle name="40% - Accent2 37 2 6" xfId="15439"/>
    <cellStyle name="40% - Accent2 37 3" xfId="11130"/>
    <cellStyle name="40% - Accent2 37 3 2" xfId="22418"/>
    <cellStyle name="40% - Accent2 37 4" xfId="9136"/>
    <cellStyle name="40% - Accent2 37 4 2" xfId="20424"/>
    <cellStyle name="40% - Accent2 37 5" xfId="7142"/>
    <cellStyle name="40% - Accent2 37 5 2" xfId="18430"/>
    <cellStyle name="40% - Accent2 37 6" xfId="5148"/>
    <cellStyle name="40% - Accent2 37 6 2" xfId="16436"/>
    <cellStyle name="40% - Accent2 37 7" xfId="14442"/>
    <cellStyle name="40% - Accent2 37 8" xfId="13128"/>
    <cellStyle name="40% - Accent2 38" xfId="1193"/>
    <cellStyle name="40% - Accent2 38 2" xfId="4149"/>
    <cellStyle name="40% - Accent2 38 2 2" xfId="12128"/>
    <cellStyle name="40% - Accent2 38 2 2 2" xfId="23416"/>
    <cellStyle name="40% - Accent2 38 2 3" xfId="10134"/>
    <cellStyle name="40% - Accent2 38 2 3 2" xfId="21422"/>
    <cellStyle name="40% - Accent2 38 2 4" xfId="8140"/>
    <cellStyle name="40% - Accent2 38 2 4 2" xfId="19428"/>
    <cellStyle name="40% - Accent2 38 2 5" xfId="6146"/>
    <cellStyle name="40% - Accent2 38 2 5 2" xfId="17434"/>
    <cellStyle name="40% - Accent2 38 2 6" xfId="15440"/>
    <cellStyle name="40% - Accent2 38 3" xfId="11131"/>
    <cellStyle name="40% - Accent2 38 3 2" xfId="22419"/>
    <cellStyle name="40% - Accent2 38 4" xfId="9137"/>
    <cellStyle name="40% - Accent2 38 4 2" xfId="20425"/>
    <cellStyle name="40% - Accent2 38 5" xfId="7143"/>
    <cellStyle name="40% - Accent2 38 5 2" xfId="18431"/>
    <cellStyle name="40% - Accent2 38 6" xfId="5149"/>
    <cellStyle name="40% - Accent2 38 6 2" xfId="16437"/>
    <cellStyle name="40% - Accent2 38 7" xfId="14443"/>
    <cellStyle name="40% - Accent2 38 8" xfId="13129"/>
    <cellStyle name="40% - Accent2 39" xfId="1194"/>
    <cellStyle name="40% - Accent2 39 2" xfId="4150"/>
    <cellStyle name="40% - Accent2 39 2 2" xfId="12129"/>
    <cellStyle name="40% - Accent2 39 2 2 2" xfId="23417"/>
    <cellStyle name="40% - Accent2 39 2 3" xfId="10135"/>
    <cellStyle name="40% - Accent2 39 2 3 2" xfId="21423"/>
    <cellStyle name="40% - Accent2 39 2 4" xfId="8141"/>
    <cellStyle name="40% - Accent2 39 2 4 2" xfId="19429"/>
    <cellStyle name="40% - Accent2 39 2 5" xfId="6147"/>
    <cellStyle name="40% - Accent2 39 2 5 2" xfId="17435"/>
    <cellStyle name="40% - Accent2 39 2 6" xfId="15441"/>
    <cellStyle name="40% - Accent2 39 3" xfId="11132"/>
    <cellStyle name="40% - Accent2 39 3 2" xfId="22420"/>
    <cellStyle name="40% - Accent2 39 4" xfId="9138"/>
    <cellStyle name="40% - Accent2 39 4 2" xfId="20426"/>
    <cellStyle name="40% - Accent2 39 5" xfId="7144"/>
    <cellStyle name="40% - Accent2 39 5 2" xfId="18432"/>
    <cellStyle name="40% - Accent2 39 6" xfId="5150"/>
    <cellStyle name="40% - Accent2 39 6 2" xfId="16438"/>
    <cellStyle name="40% - Accent2 39 7" xfId="14444"/>
    <cellStyle name="40% - Accent2 39 8" xfId="13130"/>
    <cellStyle name="40% - Accent2 4" xfId="1195"/>
    <cellStyle name="40% - Accent2 4 10" xfId="24603"/>
    <cellStyle name="40% - Accent2 4 11" xfId="24993"/>
    <cellStyle name="40% - Accent2 4 2" xfId="4151"/>
    <cellStyle name="40% - Accent2 4 2 2" xfId="12130"/>
    <cellStyle name="40% - Accent2 4 2 2 2" xfId="23418"/>
    <cellStyle name="40% - Accent2 4 2 3" xfId="10136"/>
    <cellStyle name="40% - Accent2 4 2 3 2" xfId="21424"/>
    <cellStyle name="40% - Accent2 4 2 4" xfId="8142"/>
    <cellStyle name="40% - Accent2 4 2 4 2" xfId="19430"/>
    <cellStyle name="40% - Accent2 4 2 5" xfId="6148"/>
    <cellStyle name="40% - Accent2 4 2 5 2" xfId="17436"/>
    <cellStyle name="40% - Accent2 4 2 6" xfId="15442"/>
    <cellStyle name="40% - Accent2 4 2 7" xfId="24364"/>
    <cellStyle name="40% - Accent2 4 2 8" xfId="24828"/>
    <cellStyle name="40% - Accent2 4 2 9" xfId="25195"/>
    <cellStyle name="40% - Accent2 4 3" xfId="11133"/>
    <cellStyle name="40% - Accent2 4 3 2" xfId="22421"/>
    <cellStyle name="40% - Accent2 4 4" xfId="9139"/>
    <cellStyle name="40% - Accent2 4 4 2" xfId="20427"/>
    <cellStyle name="40% - Accent2 4 5" xfId="7145"/>
    <cellStyle name="40% - Accent2 4 5 2" xfId="18433"/>
    <cellStyle name="40% - Accent2 4 6" xfId="5151"/>
    <cellStyle name="40% - Accent2 4 6 2" xfId="16439"/>
    <cellStyle name="40% - Accent2 4 7" xfId="14445"/>
    <cellStyle name="40% - Accent2 4 8" xfId="13131"/>
    <cellStyle name="40% - Accent2 4 9" xfId="23976"/>
    <cellStyle name="40% - Accent2 40" xfId="1196"/>
    <cellStyle name="40% - Accent2 40 2" xfId="4152"/>
    <cellStyle name="40% - Accent2 40 2 2" xfId="12131"/>
    <cellStyle name="40% - Accent2 40 2 2 2" xfId="23419"/>
    <cellStyle name="40% - Accent2 40 2 3" xfId="10137"/>
    <cellStyle name="40% - Accent2 40 2 3 2" xfId="21425"/>
    <cellStyle name="40% - Accent2 40 2 4" xfId="8143"/>
    <cellStyle name="40% - Accent2 40 2 4 2" xfId="19431"/>
    <cellStyle name="40% - Accent2 40 2 5" xfId="6149"/>
    <cellStyle name="40% - Accent2 40 2 5 2" xfId="17437"/>
    <cellStyle name="40% - Accent2 40 2 6" xfId="15443"/>
    <cellStyle name="40% - Accent2 40 3" xfId="11134"/>
    <cellStyle name="40% - Accent2 40 3 2" xfId="22422"/>
    <cellStyle name="40% - Accent2 40 4" xfId="9140"/>
    <cellStyle name="40% - Accent2 40 4 2" xfId="20428"/>
    <cellStyle name="40% - Accent2 40 5" xfId="7146"/>
    <cellStyle name="40% - Accent2 40 5 2" xfId="18434"/>
    <cellStyle name="40% - Accent2 40 6" xfId="5152"/>
    <cellStyle name="40% - Accent2 40 6 2" xfId="16440"/>
    <cellStyle name="40% - Accent2 40 7" xfId="14446"/>
    <cellStyle name="40% - Accent2 40 8" xfId="13132"/>
    <cellStyle name="40% - Accent2 41" xfId="1197"/>
    <cellStyle name="40% - Accent2 41 2" xfId="4153"/>
    <cellStyle name="40% - Accent2 41 2 2" xfId="12132"/>
    <cellStyle name="40% - Accent2 41 2 2 2" xfId="23420"/>
    <cellStyle name="40% - Accent2 41 2 3" xfId="10138"/>
    <cellStyle name="40% - Accent2 41 2 3 2" xfId="21426"/>
    <cellStyle name="40% - Accent2 41 2 4" xfId="8144"/>
    <cellStyle name="40% - Accent2 41 2 4 2" xfId="19432"/>
    <cellStyle name="40% - Accent2 41 2 5" xfId="6150"/>
    <cellStyle name="40% - Accent2 41 2 5 2" xfId="17438"/>
    <cellStyle name="40% - Accent2 41 2 6" xfId="15444"/>
    <cellStyle name="40% - Accent2 41 3" xfId="11135"/>
    <cellStyle name="40% - Accent2 41 3 2" xfId="22423"/>
    <cellStyle name="40% - Accent2 41 4" xfId="9141"/>
    <cellStyle name="40% - Accent2 41 4 2" xfId="20429"/>
    <cellStyle name="40% - Accent2 41 5" xfId="7147"/>
    <cellStyle name="40% - Accent2 41 5 2" xfId="18435"/>
    <cellStyle name="40% - Accent2 41 6" xfId="5153"/>
    <cellStyle name="40% - Accent2 41 6 2" xfId="16441"/>
    <cellStyle name="40% - Accent2 41 7" xfId="14447"/>
    <cellStyle name="40% - Accent2 41 8" xfId="13133"/>
    <cellStyle name="40% - Accent2 42" xfId="1198"/>
    <cellStyle name="40% - Accent2 42 2" xfId="4154"/>
    <cellStyle name="40% - Accent2 42 2 2" xfId="12133"/>
    <cellStyle name="40% - Accent2 42 2 2 2" xfId="23421"/>
    <cellStyle name="40% - Accent2 42 2 3" xfId="10139"/>
    <cellStyle name="40% - Accent2 42 2 3 2" xfId="21427"/>
    <cellStyle name="40% - Accent2 42 2 4" xfId="8145"/>
    <cellStyle name="40% - Accent2 42 2 4 2" xfId="19433"/>
    <cellStyle name="40% - Accent2 42 2 5" xfId="6151"/>
    <cellStyle name="40% - Accent2 42 2 5 2" xfId="17439"/>
    <cellStyle name="40% - Accent2 42 2 6" xfId="15445"/>
    <cellStyle name="40% - Accent2 42 3" xfId="11136"/>
    <cellStyle name="40% - Accent2 42 3 2" xfId="22424"/>
    <cellStyle name="40% - Accent2 42 4" xfId="9142"/>
    <cellStyle name="40% - Accent2 42 4 2" xfId="20430"/>
    <cellStyle name="40% - Accent2 42 5" xfId="7148"/>
    <cellStyle name="40% - Accent2 42 5 2" xfId="18436"/>
    <cellStyle name="40% - Accent2 42 6" xfId="5154"/>
    <cellStyle name="40% - Accent2 42 6 2" xfId="16442"/>
    <cellStyle name="40% - Accent2 42 7" xfId="14448"/>
    <cellStyle name="40% - Accent2 42 8" xfId="13134"/>
    <cellStyle name="40% - Accent2 43" xfId="1199"/>
    <cellStyle name="40% - Accent2 43 2" xfId="4155"/>
    <cellStyle name="40% - Accent2 43 2 2" xfId="12134"/>
    <cellStyle name="40% - Accent2 43 2 2 2" xfId="23422"/>
    <cellStyle name="40% - Accent2 43 2 3" xfId="10140"/>
    <cellStyle name="40% - Accent2 43 2 3 2" xfId="21428"/>
    <cellStyle name="40% - Accent2 43 2 4" xfId="8146"/>
    <cellStyle name="40% - Accent2 43 2 4 2" xfId="19434"/>
    <cellStyle name="40% - Accent2 43 2 5" xfId="6152"/>
    <cellStyle name="40% - Accent2 43 2 5 2" xfId="17440"/>
    <cellStyle name="40% - Accent2 43 2 6" xfId="15446"/>
    <cellStyle name="40% - Accent2 43 3" xfId="11137"/>
    <cellStyle name="40% - Accent2 43 3 2" xfId="22425"/>
    <cellStyle name="40% - Accent2 43 4" xfId="9143"/>
    <cellStyle name="40% - Accent2 43 4 2" xfId="20431"/>
    <cellStyle name="40% - Accent2 43 5" xfId="7149"/>
    <cellStyle name="40% - Accent2 43 5 2" xfId="18437"/>
    <cellStyle name="40% - Accent2 43 6" xfId="5155"/>
    <cellStyle name="40% - Accent2 43 6 2" xfId="16443"/>
    <cellStyle name="40% - Accent2 43 7" xfId="14449"/>
    <cellStyle name="40% - Accent2 43 8" xfId="13135"/>
    <cellStyle name="40% - Accent2 44" xfId="1200"/>
    <cellStyle name="40% - Accent2 44 2" xfId="4156"/>
    <cellStyle name="40% - Accent2 44 2 2" xfId="12135"/>
    <cellStyle name="40% - Accent2 44 2 2 2" xfId="23423"/>
    <cellStyle name="40% - Accent2 44 2 3" xfId="10141"/>
    <cellStyle name="40% - Accent2 44 2 3 2" xfId="21429"/>
    <cellStyle name="40% - Accent2 44 2 4" xfId="8147"/>
    <cellStyle name="40% - Accent2 44 2 4 2" xfId="19435"/>
    <cellStyle name="40% - Accent2 44 2 5" xfId="6153"/>
    <cellStyle name="40% - Accent2 44 2 5 2" xfId="17441"/>
    <cellStyle name="40% - Accent2 44 2 6" xfId="15447"/>
    <cellStyle name="40% - Accent2 44 3" xfId="11138"/>
    <cellStyle name="40% - Accent2 44 3 2" xfId="22426"/>
    <cellStyle name="40% - Accent2 44 4" xfId="9144"/>
    <cellStyle name="40% - Accent2 44 4 2" xfId="20432"/>
    <cellStyle name="40% - Accent2 44 5" xfId="7150"/>
    <cellStyle name="40% - Accent2 44 5 2" xfId="18438"/>
    <cellStyle name="40% - Accent2 44 6" xfId="5156"/>
    <cellStyle name="40% - Accent2 44 6 2" xfId="16444"/>
    <cellStyle name="40% - Accent2 44 7" xfId="14450"/>
    <cellStyle name="40% - Accent2 44 8" xfId="13136"/>
    <cellStyle name="40% - Accent2 45" xfId="1201"/>
    <cellStyle name="40% - Accent2 45 2" xfId="4157"/>
    <cellStyle name="40% - Accent2 45 2 2" xfId="12136"/>
    <cellStyle name="40% - Accent2 45 2 2 2" xfId="23424"/>
    <cellStyle name="40% - Accent2 45 2 3" xfId="10142"/>
    <cellStyle name="40% - Accent2 45 2 3 2" xfId="21430"/>
    <cellStyle name="40% - Accent2 45 2 4" xfId="8148"/>
    <cellStyle name="40% - Accent2 45 2 4 2" xfId="19436"/>
    <cellStyle name="40% - Accent2 45 2 5" xfId="6154"/>
    <cellStyle name="40% - Accent2 45 2 5 2" xfId="17442"/>
    <cellStyle name="40% - Accent2 45 2 6" xfId="15448"/>
    <cellStyle name="40% - Accent2 45 3" xfId="11139"/>
    <cellStyle name="40% - Accent2 45 3 2" xfId="22427"/>
    <cellStyle name="40% - Accent2 45 4" xfId="9145"/>
    <cellStyle name="40% - Accent2 45 4 2" xfId="20433"/>
    <cellStyle name="40% - Accent2 45 5" xfId="7151"/>
    <cellStyle name="40% - Accent2 45 5 2" xfId="18439"/>
    <cellStyle name="40% - Accent2 45 6" xfId="5157"/>
    <cellStyle name="40% - Accent2 45 6 2" xfId="16445"/>
    <cellStyle name="40% - Accent2 45 7" xfId="14451"/>
    <cellStyle name="40% - Accent2 45 8" xfId="13137"/>
    <cellStyle name="40% - Accent2 46" xfId="1202"/>
    <cellStyle name="40% - Accent2 46 2" xfId="4158"/>
    <cellStyle name="40% - Accent2 46 2 2" xfId="12137"/>
    <cellStyle name="40% - Accent2 46 2 2 2" xfId="23425"/>
    <cellStyle name="40% - Accent2 46 2 3" xfId="10143"/>
    <cellStyle name="40% - Accent2 46 2 3 2" xfId="21431"/>
    <cellStyle name="40% - Accent2 46 2 4" xfId="8149"/>
    <cellStyle name="40% - Accent2 46 2 4 2" xfId="19437"/>
    <cellStyle name="40% - Accent2 46 2 5" xfId="6155"/>
    <cellStyle name="40% - Accent2 46 2 5 2" xfId="17443"/>
    <cellStyle name="40% - Accent2 46 2 6" xfId="15449"/>
    <cellStyle name="40% - Accent2 46 3" xfId="11140"/>
    <cellStyle name="40% - Accent2 46 3 2" xfId="22428"/>
    <cellStyle name="40% - Accent2 46 4" xfId="9146"/>
    <cellStyle name="40% - Accent2 46 4 2" xfId="20434"/>
    <cellStyle name="40% - Accent2 46 5" xfId="7152"/>
    <cellStyle name="40% - Accent2 46 5 2" xfId="18440"/>
    <cellStyle name="40% - Accent2 46 6" xfId="5158"/>
    <cellStyle name="40% - Accent2 46 6 2" xfId="16446"/>
    <cellStyle name="40% - Accent2 46 7" xfId="14452"/>
    <cellStyle name="40% - Accent2 46 8" xfId="13138"/>
    <cellStyle name="40% - Accent2 47" xfId="1203"/>
    <cellStyle name="40% - Accent2 47 2" xfId="4159"/>
    <cellStyle name="40% - Accent2 47 2 2" xfId="12138"/>
    <cellStyle name="40% - Accent2 47 2 2 2" xfId="23426"/>
    <cellStyle name="40% - Accent2 47 2 3" xfId="10144"/>
    <cellStyle name="40% - Accent2 47 2 3 2" xfId="21432"/>
    <cellStyle name="40% - Accent2 47 2 4" xfId="8150"/>
    <cellStyle name="40% - Accent2 47 2 4 2" xfId="19438"/>
    <cellStyle name="40% - Accent2 47 2 5" xfId="6156"/>
    <cellStyle name="40% - Accent2 47 2 5 2" xfId="17444"/>
    <cellStyle name="40% - Accent2 47 2 6" xfId="15450"/>
    <cellStyle name="40% - Accent2 47 3" xfId="11141"/>
    <cellStyle name="40% - Accent2 47 3 2" xfId="22429"/>
    <cellStyle name="40% - Accent2 47 4" xfId="9147"/>
    <cellStyle name="40% - Accent2 47 4 2" xfId="20435"/>
    <cellStyle name="40% - Accent2 47 5" xfId="7153"/>
    <cellStyle name="40% - Accent2 47 5 2" xfId="18441"/>
    <cellStyle name="40% - Accent2 47 6" xfId="5159"/>
    <cellStyle name="40% - Accent2 47 6 2" xfId="16447"/>
    <cellStyle name="40% - Accent2 47 7" xfId="14453"/>
    <cellStyle name="40% - Accent2 47 8" xfId="13139"/>
    <cellStyle name="40% - Accent2 48" xfId="1204"/>
    <cellStyle name="40% - Accent2 48 2" xfId="4160"/>
    <cellStyle name="40% - Accent2 48 2 2" xfId="12139"/>
    <cellStyle name="40% - Accent2 48 2 2 2" xfId="23427"/>
    <cellStyle name="40% - Accent2 48 2 3" xfId="10145"/>
    <cellStyle name="40% - Accent2 48 2 3 2" xfId="21433"/>
    <cellStyle name="40% - Accent2 48 2 4" xfId="8151"/>
    <cellStyle name="40% - Accent2 48 2 4 2" xfId="19439"/>
    <cellStyle name="40% - Accent2 48 2 5" xfId="6157"/>
    <cellStyle name="40% - Accent2 48 2 5 2" xfId="17445"/>
    <cellStyle name="40% - Accent2 48 2 6" xfId="15451"/>
    <cellStyle name="40% - Accent2 48 3" xfId="11142"/>
    <cellStyle name="40% - Accent2 48 3 2" xfId="22430"/>
    <cellStyle name="40% - Accent2 48 4" xfId="9148"/>
    <cellStyle name="40% - Accent2 48 4 2" xfId="20436"/>
    <cellStyle name="40% - Accent2 48 5" xfId="7154"/>
    <cellStyle name="40% - Accent2 48 5 2" xfId="18442"/>
    <cellStyle name="40% - Accent2 48 6" xfId="5160"/>
    <cellStyle name="40% - Accent2 48 6 2" xfId="16448"/>
    <cellStyle name="40% - Accent2 48 7" xfId="14454"/>
    <cellStyle name="40% - Accent2 48 8" xfId="13140"/>
    <cellStyle name="40% - Accent2 49" xfId="1205"/>
    <cellStyle name="40% - Accent2 49 2" xfId="4161"/>
    <cellStyle name="40% - Accent2 49 2 2" xfId="12140"/>
    <cellStyle name="40% - Accent2 49 2 2 2" xfId="23428"/>
    <cellStyle name="40% - Accent2 49 2 3" xfId="10146"/>
    <cellStyle name="40% - Accent2 49 2 3 2" xfId="21434"/>
    <cellStyle name="40% - Accent2 49 2 4" xfId="8152"/>
    <cellStyle name="40% - Accent2 49 2 4 2" xfId="19440"/>
    <cellStyle name="40% - Accent2 49 2 5" xfId="6158"/>
    <cellStyle name="40% - Accent2 49 2 5 2" xfId="17446"/>
    <cellStyle name="40% - Accent2 49 2 6" xfId="15452"/>
    <cellStyle name="40% - Accent2 49 3" xfId="11143"/>
    <cellStyle name="40% - Accent2 49 3 2" xfId="22431"/>
    <cellStyle name="40% - Accent2 49 4" xfId="9149"/>
    <cellStyle name="40% - Accent2 49 4 2" xfId="20437"/>
    <cellStyle name="40% - Accent2 49 5" xfId="7155"/>
    <cellStyle name="40% - Accent2 49 5 2" xfId="18443"/>
    <cellStyle name="40% - Accent2 49 6" xfId="5161"/>
    <cellStyle name="40% - Accent2 49 6 2" xfId="16449"/>
    <cellStyle name="40% - Accent2 49 7" xfId="14455"/>
    <cellStyle name="40% - Accent2 49 8" xfId="13141"/>
    <cellStyle name="40% - Accent2 5" xfId="1206"/>
    <cellStyle name="40% - Accent2 5 10" xfId="24604"/>
    <cellStyle name="40% - Accent2 5 11" xfId="24994"/>
    <cellStyle name="40% - Accent2 5 2" xfId="4162"/>
    <cellStyle name="40% - Accent2 5 2 2" xfId="12141"/>
    <cellStyle name="40% - Accent2 5 2 2 2" xfId="23429"/>
    <cellStyle name="40% - Accent2 5 2 3" xfId="10147"/>
    <cellStyle name="40% - Accent2 5 2 3 2" xfId="21435"/>
    <cellStyle name="40% - Accent2 5 2 4" xfId="8153"/>
    <cellStyle name="40% - Accent2 5 2 4 2" xfId="19441"/>
    <cellStyle name="40% - Accent2 5 2 5" xfId="6159"/>
    <cellStyle name="40% - Accent2 5 2 5 2" xfId="17447"/>
    <cellStyle name="40% - Accent2 5 2 6" xfId="15453"/>
    <cellStyle name="40% - Accent2 5 2 7" xfId="24365"/>
    <cellStyle name="40% - Accent2 5 2 8" xfId="24829"/>
    <cellStyle name="40% - Accent2 5 2 9" xfId="25196"/>
    <cellStyle name="40% - Accent2 5 3" xfId="11144"/>
    <cellStyle name="40% - Accent2 5 3 2" xfId="22432"/>
    <cellStyle name="40% - Accent2 5 4" xfId="9150"/>
    <cellStyle name="40% - Accent2 5 4 2" xfId="20438"/>
    <cellStyle name="40% - Accent2 5 5" xfId="7156"/>
    <cellStyle name="40% - Accent2 5 5 2" xfId="18444"/>
    <cellStyle name="40% - Accent2 5 6" xfId="5162"/>
    <cellStyle name="40% - Accent2 5 6 2" xfId="16450"/>
    <cellStyle name="40% - Accent2 5 7" xfId="14456"/>
    <cellStyle name="40% - Accent2 5 8" xfId="13142"/>
    <cellStyle name="40% - Accent2 5 9" xfId="23977"/>
    <cellStyle name="40% - Accent2 50" xfId="1207"/>
    <cellStyle name="40% - Accent2 50 2" xfId="4163"/>
    <cellStyle name="40% - Accent2 50 2 2" xfId="12142"/>
    <cellStyle name="40% - Accent2 50 2 2 2" xfId="23430"/>
    <cellStyle name="40% - Accent2 50 2 3" xfId="10148"/>
    <cellStyle name="40% - Accent2 50 2 3 2" xfId="21436"/>
    <cellStyle name="40% - Accent2 50 2 4" xfId="8154"/>
    <cellStyle name="40% - Accent2 50 2 4 2" xfId="19442"/>
    <cellStyle name="40% - Accent2 50 2 5" xfId="6160"/>
    <cellStyle name="40% - Accent2 50 2 5 2" xfId="17448"/>
    <cellStyle name="40% - Accent2 50 2 6" xfId="15454"/>
    <cellStyle name="40% - Accent2 50 3" xfId="11145"/>
    <cellStyle name="40% - Accent2 50 3 2" xfId="22433"/>
    <cellStyle name="40% - Accent2 50 4" xfId="9151"/>
    <cellStyle name="40% - Accent2 50 4 2" xfId="20439"/>
    <cellStyle name="40% - Accent2 50 5" xfId="7157"/>
    <cellStyle name="40% - Accent2 50 5 2" xfId="18445"/>
    <cellStyle name="40% - Accent2 50 6" xfId="5163"/>
    <cellStyle name="40% - Accent2 50 6 2" xfId="16451"/>
    <cellStyle name="40% - Accent2 50 7" xfId="14457"/>
    <cellStyle name="40% - Accent2 50 8" xfId="13143"/>
    <cellStyle name="40% - Accent2 51" xfId="1208"/>
    <cellStyle name="40% - Accent2 51 2" xfId="4164"/>
    <cellStyle name="40% - Accent2 51 2 2" xfId="12143"/>
    <cellStyle name="40% - Accent2 51 2 2 2" xfId="23431"/>
    <cellStyle name="40% - Accent2 51 2 3" xfId="10149"/>
    <cellStyle name="40% - Accent2 51 2 3 2" xfId="21437"/>
    <cellStyle name="40% - Accent2 51 2 4" xfId="8155"/>
    <cellStyle name="40% - Accent2 51 2 4 2" xfId="19443"/>
    <cellStyle name="40% - Accent2 51 2 5" xfId="6161"/>
    <cellStyle name="40% - Accent2 51 2 5 2" xfId="17449"/>
    <cellStyle name="40% - Accent2 51 2 6" xfId="15455"/>
    <cellStyle name="40% - Accent2 51 3" xfId="11146"/>
    <cellStyle name="40% - Accent2 51 3 2" xfId="22434"/>
    <cellStyle name="40% - Accent2 51 4" xfId="9152"/>
    <cellStyle name="40% - Accent2 51 4 2" xfId="20440"/>
    <cellStyle name="40% - Accent2 51 5" xfId="7158"/>
    <cellStyle name="40% - Accent2 51 5 2" xfId="18446"/>
    <cellStyle name="40% - Accent2 51 6" xfId="5164"/>
    <cellStyle name="40% - Accent2 51 6 2" xfId="16452"/>
    <cellStyle name="40% - Accent2 51 7" xfId="14458"/>
    <cellStyle name="40% - Accent2 51 8" xfId="13144"/>
    <cellStyle name="40% - Accent2 52" xfId="1209"/>
    <cellStyle name="40% - Accent2 52 2" xfId="4165"/>
    <cellStyle name="40% - Accent2 52 2 2" xfId="12144"/>
    <cellStyle name="40% - Accent2 52 2 2 2" xfId="23432"/>
    <cellStyle name="40% - Accent2 52 2 3" xfId="10150"/>
    <cellStyle name="40% - Accent2 52 2 3 2" xfId="21438"/>
    <cellStyle name="40% - Accent2 52 2 4" xfId="8156"/>
    <cellStyle name="40% - Accent2 52 2 4 2" xfId="19444"/>
    <cellStyle name="40% - Accent2 52 2 5" xfId="6162"/>
    <cellStyle name="40% - Accent2 52 2 5 2" xfId="17450"/>
    <cellStyle name="40% - Accent2 52 2 6" xfId="15456"/>
    <cellStyle name="40% - Accent2 52 3" xfId="11147"/>
    <cellStyle name="40% - Accent2 52 3 2" xfId="22435"/>
    <cellStyle name="40% - Accent2 52 4" xfId="9153"/>
    <cellStyle name="40% - Accent2 52 4 2" xfId="20441"/>
    <cellStyle name="40% - Accent2 52 5" xfId="7159"/>
    <cellStyle name="40% - Accent2 52 5 2" xfId="18447"/>
    <cellStyle name="40% - Accent2 52 6" xfId="5165"/>
    <cellStyle name="40% - Accent2 52 6 2" xfId="16453"/>
    <cellStyle name="40% - Accent2 52 7" xfId="14459"/>
    <cellStyle name="40% - Accent2 52 8" xfId="13145"/>
    <cellStyle name="40% - Accent2 53" xfId="1210"/>
    <cellStyle name="40% - Accent2 53 2" xfId="4166"/>
    <cellStyle name="40% - Accent2 53 2 2" xfId="12145"/>
    <cellStyle name="40% - Accent2 53 2 2 2" xfId="23433"/>
    <cellStyle name="40% - Accent2 53 2 3" xfId="10151"/>
    <cellStyle name="40% - Accent2 53 2 3 2" xfId="21439"/>
    <cellStyle name="40% - Accent2 53 2 4" xfId="8157"/>
    <cellStyle name="40% - Accent2 53 2 4 2" xfId="19445"/>
    <cellStyle name="40% - Accent2 53 2 5" xfId="6163"/>
    <cellStyle name="40% - Accent2 53 2 5 2" xfId="17451"/>
    <cellStyle name="40% - Accent2 53 2 6" xfId="15457"/>
    <cellStyle name="40% - Accent2 53 3" xfId="11148"/>
    <cellStyle name="40% - Accent2 53 3 2" xfId="22436"/>
    <cellStyle name="40% - Accent2 53 4" xfId="9154"/>
    <cellStyle name="40% - Accent2 53 4 2" xfId="20442"/>
    <cellStyle name="40% - Accent2 53 5" xfId="7160"/>
    <cellStyle name="40% - Accent2 53 5 2" xfId="18448"/>
    <cellStyle name="40% - Accent2 53 6" xfId="5166"/>
    <cellStyle name="40% - Accent2 53 6 2" xfId="16454"/>
    <cellStyle name="40% - Accent2 53 7" xfId="14460"/>
    <cellStyle name="40% - Accent2 53 8" xfId="13146"/>
    <cellStyle name="40% - Accent2 54" xfId="1211"/>
    <cellStyle name="40% - Accent2 54 2" xfId="4167"/>
    <cellStyle name="40% - Accent2 54 2 2" xfId="12146"/>
    <cellStyle name="40% - Accent2 54 2 2 2" xfId="23434"/>
    <cellStyle name="40% - Accent2 54 2 3" xfId="10152"/>
    <cellStyle name="40% - Accent2 54 2 3 2" xfId="21440"/>
    <cellStyle name="40% - Accent2 54 2 4" xfId="8158"/>
    <cellStyle name="40% - Accent2 54 2 4 2" xfId="19446"/>
    <cellStyle name="40% - Accent2 54 2 5" xfId="6164"/>
    <cellStyle name="40% - Accent2 54 2 5 2" xfId="17452"/>
    <cellStyle name="40% - Accent2 54 2 6" xfId="15458"/>
    <cellStyle name="40% - Accent2 54 3" xfId="11149"/>
    <cellStyle name="40% - Accent2 54 3 2" xfId="22437"/>
    <cellStyle name="40% - Accent2 54 4" xfId="9155"/>
    <cellStyle name="40% - Accent2 54 4 2" xfId="20443"/>
    <cellStyle name="40% - Accent2 54 5" xfId="7161"/>
    <cellStyle name="40% - Accent2 54 5 2" xfId="18449"/>
    <cellStyle name="40% - Accent2 54 6" xfId="5167"/>
    <cellStyle name="40% - Accent2 54 6 2" xfId="16455"/>
    <cellStyle name="40% - Accent2 54 7" xfId="14461"/>
    <cellStyle name="40% - Accent2 54 8" xfId="13147"/>
    <cellStyle name="40% - Accent2 55" xfId="1212"/>
    <cellStyle name="40% - Accent2 55 2" xfId="4168"/>
    <cellStyle name="40% - Accent2 55 2 2" xfId="12147"/>
    <cellStyle name="40% - Accent2 55 2 2 2" xfId="23435"/>
    <cellStyle name="40% - Accent2 55 2 3" xfId="10153"/>
    <cellStyle name="40% - Accent2 55 2 3 2" xfId="21441"/>
    <cellStyle name="40% - Accent2 55 2 4" xfId="8159"/>
    <cellStyle name="40% - Accent2 55 2 4 2" xfId="19447"/>
    <cellStyle name="40% - Accent2 55 2 5" xfId="6165"/>
    <cellStyle name="40% - Accent2 55 2 5 2" xfId="17453"/>
    <cellStyle name="40% - Accent2 55 2 6" xfId="15459"/>
    <cellStyle name="40% - Accent2 55 3" xfId="11150"/>
    <cellStyle name="40% - Accent2 55 3 2" xfId="22438"/>
    <cellStyle name="40% - Accent2 55 4" xfId="9156"/>
    <cellStyle name="40% - Accent2 55 4 2" xfId="20444"/>
    <cellStyle name="40% - Accent2 55 5" xfId="7162"/>
    <cellStyle name="40% - Accent2 55 5 2" xfId="18450"/>
    <cellStyle name="40% - Accent2 55 6" xfId="5168"/>
    <cellStyle name="40% - Accent2 55 6 2" xfId="16456"/>
    <cellStyle name="40% - Accent2 55 7" xfId="14462"/>
    <cellStyle name="40% - Accent2 55 8" xfId="13148"/>
    <cellStyle name="40% - Accent2 56" xfId="1213"/>
    <cellStyle name="40% - Accent2 56 2" xfId="4169"/>
    <cellStyle name="40% - Accent2 56 2 2" xfId="12148"/>
    <cellStyle name="40% - Accent2 56 2 2 2" xfId="23436"/>
    <cellStyle name="40% - Accent2 56 2 3" xfId="10154"/>
    <cellStyle name="40% - Accent2 56 2 3 2" xfId="21442"/>
    <cellStyle name="40% - Accent2 56 2 4" xfId="8160"/>
    <cellStyle name="40% - Accent2 56 2 4 2" xfId="19448"/>
    <cellStyle name="40% - Accent2 56 2 5" xfId="6166"/>
    <cellStyle name="40% - Accent2 56 2 5 2" xfId="17454"/>
    <cellStyle name="40% - Accent2 56 2 6" xfId="15460"/>
    <cellStyle name="40% - Accent2 56 3" xfId="11151"/>
    <cellStyle name="40% - Accent2 56 3 2" xfId="22439"/>
    <cellStyle name="40% - Accent2 56 4" xfId="9157"/>
    <cellStyle name="40% - Accent2 56 4 2" xfId="20445"/>
    <cellStyle name="40% - Accent2 56 5" xfId="7163"/>
    <cellStyle name="40% - Accent2 56 5 2" xfId="18451"/>
    <cellStyle name="40% - Accent2 56 6" xfId="5169"/>
    <cellStyle name="40% - Accent2 56 6 2" xfId="16457"/>
    <cellStyle name="40% - Accent2 56 7" xfId="14463"/>
    <cellStyle name="40% - Accent2 56 8" xfId="13149"/>
    <cellStyle name="40% - Accent2 57" xfId="1214"/>
    <cellStyle name="40% - Accent2 57 2" xfId="4170"/>
    <cellStyle name="40% - Accent2 57 2 2" xfId="12149"/>
    <cellStyle name="40% - Accent2 57 2 2 2" xfId="23437"/>
    <cellStyle name="40% - Accent2 57 2 3" xfId="10155"/>
    <cellStyle name="40% - Accent2 57 2 3 2" xfId="21443"/>
    <cellStyle name="40% - Accent2 57 2 4" xfId="8161"/>
    <cellStyle name="40% - Accent2 57 2 4 2" xfId="19449"/>
    <cellStyle name="40% - Accent2 57 2 5" xfId="6167"/>
    <cellStyle name="40% - Accent2 57 2 5 2" xfId="17455"/>
    <cellStyle name="40% - Accent2 57 2 6" xfId="15461"/>
    <cellStyle name="40% - Accent2 57 3" xfId="11152"/>
    <cellStyle name="40% - Accent2 57 3 2" xfId="22440"/>
    <cellStyle name="40% - Accent2 57 4" xfId="9158"/>
    <cellStyle name="40% - Accent2 57 4 2" xfId="20446"/>
    <cellStyle name="40% - Accent2 57 5" xfId="7164"/>
    <cellStyle name="40% - Accent2 57 5 2" xfId="18452"/>
    <cellStyle name="40% - Accent2 57 6" xfId="5170"/>
    <cellStyle name="40% - Accent2 57 6 2" xfId="16458"/>
    <cellStyle name="40% - Accent2 57 7" xfId="14464"/>
    <cellStyle name="40% - Accent2 57 8" xfId="13150"/>
    <cellStyle name="40% - Accent2 58" xfId="1215"/>
    <cellStyle name="40% - Accent2 58 2" xfId="4171"/>
    <cellStyle name="40% - Accent2 58 2 2" xfId="12150"/>
    <cellStyle name="40% - Accent2 58 2 2 2" xfId="23438"/>
    <cellStyle name="40% - Accent2 58 2 3" xfId="10156"/>
    <cellStyle name="40% - Accent2 58 2 3 2" xfId="21444"/>
    <cellStyle name="40% - Accent2 58 2 4" xfId="8162"/>
    <cellStyle name="40% - Accent2 58 2 4 2" xfId="19450"/>
    <cellStyle name="40% - Accent2 58 2 5" xfId="6168"/>
    <cellStyle name="40% - Accent2 58 2 5 2" xfId="17456"/>
    <cellStyle name="40% - Accent2 58 2 6" xfId="15462"/>
    <cellStyle name="40% - Accent2 58 3" xfId="11153"/>
    <cellStyle name="40% - Accent2 58 3 2" xfId="22441"/>
    <cellStyle name="40% - Accent2 58 4" xfId="9159"/>
    <cellStyle name="40% - Accent2 58 4 2" xfId="20447"/>
    <cellStyle name="40% - Accent2 58 5" xfId="7165"/>
    <cellStyle name="40% - Accent2 58 5 2" xfId="18453"/>
    <cellStyle name="40% - Accent2 58 6" xfId="5171"/>
    <cellStyle name="40% - Accent2 58 6 2" xfId="16459"/>
    <cellStyle name="40% - Accent2 58 7" xfId="14465"/>
    <cellStyle name="40% - Accent2 58 8" xfId="13151"/>
    <cellStyle name="40% - Accent2 59" xfId="1216"/>
    <cellStyle name="40% - Accent2 59 2" xfId="4172"/>
    <cellStyle name="40% - Accent2 59 2 2" xfId="12151"/>
    <cellStyle name="40% - Accent2 59 2 2 2" xfId="23439"/>
    <cellStyle name="40% - Accent2 59 2 3" xfId="10157"/>
    <cellStyle name="40% - Accent2 59 2 3 2" xfId="21445"/>
    <cellStyle name="40% - Accent2 59 2 4" xfId="8163"/>
    <cellStyle name="40% - Accent2 59 2 4 2" xfId="19451"/>
    <cellStyle name="40% - Accent2 59 2 5" xfId="6169"/>
    <cellStyle name="40% - Accent2 59 2 5 2" xfId="17457"/>
    <cellStyle name="40% - Accent2 59 2 6" xfId="15463"/>
    <cellStyle name="40% - Accent2 59 3" xfId="11154"/>
    <cellStyle name="40% - Accent2 59 3 2" xfId="22442"/>
    <cellStyle name="40% - Accent2 59 4" xfId="9160"/>
    <cellStyle name="40% - Accent2 59 4 2" xfId="20448"/>
    <cellStyle name="40% - Accent2 59 5" xfId="7166"/>
    <cellStyle name="40% - Accent2 59 5 2" xfId="18454"/>
    <cellStyle name="40% - Accent2 59 6" xfId="5172"/>
    <cellStyle name="40% - Accent2 59 6 2" xfId="16460"/>
    <cellStyle name="40% - Accent2 59 7" xfId="14466"/>
    <cellStyle name="40% - Accent2 59 8" xfId="13152"/>
    <cellStyle name="40% - Accent2 6" xfId="1217"/>
    <cellStyle name="40% - Accent2 6 10" xfId="24605"/>
    <cellStyle name="40% - Accent2 6 11" xfId="24995"/>
    <cellStyle name="40% - Accent2 6 2" xfId="4173"/>
    <cellStyle name="40% - Accent2 6 2 2" xfId="12152"/>
    <cellStyle name="40% - Accent2 6 2 2 2" xfId="23440"/>
    <cellStyle name="40% - Accent2 6 2 3" xfId="10158"/>
    <cellStyle name="40% - Accent2 6 2 3 2" xfId="21446"/>
    <cellStyle name="40% - Accent2 6 2 4" xfId="8164"/>
    <cellStyle name="40% - Accent2 6 2 4 2" xfId="19452"/>
    <cellStyle name="40% - Accent2 6 2 5" xfId="6170"/>
    <cellStyle name="40% - Accent2 6 2 5 2" xfId="17458"/>
    <cellStyle name="40% - Accent2 6 2 6" xfId="15464"/>
    <cellStyle name="40% - Accent2 6 2 7" xfId="24366"/>
    <cellStyle name="40% - Accent2 6 2 8" xfId="24830"/>
    <cellStyle name="40% - Accent2 6 2 9" xfId="25197"/>
    <cellStyle name="40% - Accent2 6 3" xfId="11155"/>
    <cellStyle name="40% - Accent2 6 3 2" xfId="22443"/>
    <cellStyle name="40% - Accent2 6 4" xfId="9161"/>
    <cellStyle name="40% - Accent2 6 4 2" xfId="20449"/>
    <cellStyle name="40% - Accent2 6 5" xfId="7167"/>
    <cellStyle name="40% - Accent2 6 5 2" xfId="18455"/>
    <cellStyle name="40% - Accent2 6 6" xfId="5173"/>
    <cellStyle name="40% - Accent2 6 6 2" xfId="16461"/>
    <cellStyle name="40% - Accent2 6 7" xfId="14467"/>
    <cellStyle name="40% - Accent2 6 8" xfId="13153"/>
    <cellStyle name="40% - Accent2 6 9" xfId="23978"/>
    <cellStyle name="40% - Accent2 60" xfId="1218"/>
    <cellStyle name="40% - Accent2 60 2" xfId="4174"/>
    <cellStyle name="40% - Accent2 60 2 2" xfId="12153"/>
    <cellStyle name="40% - Accent2 60 2 2 2" xfId="23441"/>
    <cellStyle name="40% - Accent2 60 2 3" xfId="10159"/>
    <cellStyle name="40% - Accent2 60 2 3 2" xfId="21447"/>
    <cellStyle name="40% - Accent2 60 2 4" xfId="8165"/>
    <cellStyle name="40% - Accent2 60 2 4 2" xfId="19453"/>
    <cellStyle name="40% - Accent2 60 2 5" xfId="6171"/>
    <cellStyle name="40% - Accent2 60 2 5 2" xfId="17459"/>
    <cellStyle name="40% - Accent2 60 2 6" xfId="15465"/>
    <cellStyle name="40% - Accent2 60 3" xfId="11156"/>
    <cellStyle name="40% - Accent2 60 3 2" xfId="22444"/>
    <cellStyle name="40% - Accent2 60 4" xfId="9162"/>
    <cellStyle name="40% - Accent2 60 4 2" xfId="20450"/>
    <cellStyle name="40% - Accent2 60 5" xfId="7168"/>
    <cellStyle name="40% - Accent2 60 5 2" xfId="18456"/>
    <cellStyle name="40% - Accent2 60 6" xfId="5174"/>
    <cellStyle name="40% - Accent2 60 6 2" xfId="16462"/>
    <cellStyle name="40% - Accent2 60 7" xfId="14468"/>
    <cellStyle name="40% - Accent2 60 8" xfId="13154"/>
    <cellStyle name="40% - Accent2 61" xfId="1219"/>
    <cellStyle name="40% - Accent2 61 2" xfId="4175"/>
    <cellStyle name="40% - Accent2 61 2 2" xfId="12154"/>
    <cellStyle name="40% - Accent2 61 2 2 2" xfId="23442"/>
    <cellStyle name="40% - Accent2 61 2 3" xfId="10160"/>
    <cellStyle name="40% - Accent2 61 2 3 2" xfId="21448"/>
    <cellStyle name="40% - Accent2 61 2 4" xfId="8166"/>
    <cellStyle name="40% - Accent2 61 2 4 2" xfId="19454"/>
    <cellStyle name="40% - Accent2 61 2 5" xfId="6172"/>
    <cellStyle name="40% - Accent2 61 2 5 2" xfId="17460"/>
    <cellStyle name="40% - Accent2 61 2 6" xfId="15466"/>
    <cellStyle name="40% - Accent2 61 3" xfId="11157"/>
    <cellStyle name="40% - Accent2 61 3 2" xfId="22445"/>
    <cellStyle name="40% - Accent2 61 4" xfId="9163"/>
    <cellStyle name="40% - Accent2 61 4 2" xfId="20451"/>
    <cellStyle name="40% - Accent2 61 5" xfId="7169"/>
    <cellStyle name="40% - Accent2 61 5 2" xfId="18457"/>
    <cellStyle name="40% - Accent2 61 6" xfId="5175"/>
    <cellStyle name="40% - Accent2 61 6 2" xfId="16463"/>
    <cellStyle name="40% - Accent2 61 7" xfId="14469"/>
    <cellStyle name="40% - Accent2 61 8" xfId="13155"/>
    <cellStyle name="40% - Accent2 62" xfId="1220"/>
    <cellStyle name="40% - Accent2 62 2" xfId="4176"/>
    <cellStyle name="40% - Accent2 62 2 2" xfId="12155"/>
    <cellStyle name="40% - Accent2 62 2 2 2" xfId="23443"/>
    <cellStyle name="40% - Accent2 62 2 3" xfId="10161"/>
    <cellStyle name="40% - Accent2 62 2 3 2" xfId="21449"/>
    <cellStyle name="40% - Accent2 62 2 4" xfId="8167"/>
    <cellStyle name="40% - Accent2 62 2 4 2" xfId="19455"/>
    <cellStyle name="40% - Accent2 62 2 5" xfId="6173"/>
    <cellStyle name="40% - Accent2 62 2 5 2" xfId="17461"/>
    <cellStyle name="40% - Accent2 62 2 6" xfId="15467"/>
    <cellStyle name="40% - Accent2 62 3" xfId="11158"/>
    <cellStyle name="40% - Accent2 62 3 2" xfId="22446"/>
    <cellStyle name="40% - Accent2 62 4" xfId="9164"/>
    <cellStyle name="40% - Accent2 62 4 2" xfId="20452"/>
    <cellStyle name="40% - Accent2 62 5" xfId="7170"/>
    <cellStyle name="40% - Accent2 62 5 2" xfId="18458"/>
    <cellStyle name="40% - Accent2 62 6" xfId="5176"/>
    <cellStyle name="40% - Accent2 62 6 2" xfId="16464"/>
    <cellStyle name="40% - Accent2 62 7" xfId="14470"/>
    <cellStyle name="40% - Accent2 62 8" xfId="13156"/>
    <cellStyle name="40% - Accent2 63" xfId="1221"/>
    <cellStyle name="40% - Accent2 63 2" xfId="4177"/>
    <cellStyle name="40% - Accent2 63 2 2" xfId="12156"/>
    <cellStyle name="40% - Accent2 63 2 2 2" xfId="23444"/>
    <cellStyle name="40% - Accent2 63 2 3" xfId="10162"/>
    <cellStyle name="40% - Accent2 63 2 3 2" xfId="21450"/>
    <cellStyle name="40% - Accent2 63 2 4" xfId="8168"/>
    <cellStyle name="40% - Accent2 63 2 4 2" xfId="19456"/>
    <cellStyle name="40% - Accent2 63 2 5" xfId="6174"/>
    <cellStyle name="40% - Accent2 63 2 5 2" xfId="17462"/>
    <cellStyle name="40% - Accent2 63 2 6" xfId="15468"/>
    <cellStyle name="40% - Accent2 63 3" xfId="11159"/>
    <cellStyle name="40% - Accent2 63 3 2" xfId="22447"/>
    <cellStyle name="40% - Accent2 63 4" xfId="9165"/>
    <cellStyle name="40% - Accent2 63 4 2" xfId="20453"/>
    <cellStyle name="40% - Accent2 63 5" xfId="7171"/>
    <cellStyle name="40% - Accent2 63 5 2" xfId="18459"/>
    <cellStyle name="40% - Accent2 63 6" xfId="5177"/>
    <cellStyle name="40% - Accent2 63 6 2" xfId="16465"/>
    <cellStyle name="40% - Accent2 63 7" xfId="14471"/>
    <cellStyle name="40% - Accent2 63 8" xfId="13157"/>
    <cellStyle name="40% - Accent2 64" xfId="1222"/>
    <cellStyle name="40% - Accent2 64 2" xfId="4178"/>
    <cellStyle name="40% - Accent2 64 2 2" xfId="12157"/>
    <cellStyle name="40% - Accent2 64 2 2 2" xfId="23445"/>
    <cellStyle name="40% - Accent2 64 2 3" xfId="10163"/>
    <cellStyle name="40% - Accent2 64 2 3 2" xfId="21451"/>
    <cellStyle name="40% - Accent2 64 2 4" xfId="8169"/>
    <cellStyle name="40% - Accent2 64 2 4 2" xfId="19457"/>
    <cellStyle name="40% - Accent2 64 2 5" xfId="6175"/>
    <cellStyle name="40% - Accent2 64 2 5 2" xfId="17463"/>
    <cellStyle name="40% - Accent2 64 2 6" xfId="15469"/>
    <cellStyle name="40% - Accent2 64 3" xfId="11160"/>
    <cellStyle name="40% - Accent2 64 3 2" xfId="22448"/>
    <cellStyle name="40% - Accent2 64 4" xfId="9166"/>
    <cellStyle name="40% - Accent2 64 4 2" xfId="20454"/>
    <cellStyle name="40% - Accent2 64 5" xfId="7172"/>
    <cellStyle name="40% - Accent2 64 5 2" xfId="18460"/>
    <cellStyle name="40% - Accent2 64 6" xfId="5178"/>
    <cellStyle name="40% - Accent2 64 6 2" xfId="16466"/>
    <cellStyle name="40% - Accent2 64 7" xfId="14472"/>
    <cellStyle name="40% - Accent2 64 8" xfId="13158"/>
    <cellStyle name="40% - Accent2 65" xfId="1223"/>
    <cellStyle name="40% - Accent2 65 2" xfId="4179"/>
    <cellStyle name="40% - Accent2 65 2 2" xfId="12158"/>
    <cellStyle name="40% - Accent2 65 2 2 2" xfId="23446"/>
    <cellStyle name="40% - Accent2 65 2 3" xfId="10164"/>
    <cellStyle name="40% - Accent2 65 2 3 2" xfId="21452"/>
    <cellStyle name="40% - Accent2 65 2 4" xfId="8170"/>
    <cellStyle name="40% - Accent2 65 2 4 2" xfId="19458"/>
    <cellStyle name="40% - Accent2 65 2 5" xfId="6176"/>
    <cellStyle name="40% - Accent2 65 2 5 2" xfId="17464"/>
    <cellStyle name="40% - Accent2 65 2 6" xfId="15470"/>
    <cellStyle name="40% - Accent2 65 3" xfId="11161"/>
    <cellStyle name="40% - Accent2 65 3 2" xfId="22449"/>
    <cellStyle name="40% - Accent2 65 4" xfId="9167"/>
    <cellStyle name="40% - Accent2 65 4 2" xfId="20455"/>
    <cellStyle name="40% - Accent2 65 5" xfId="7173"/>
    <cellStyle name="40% - Accent2 65 5 2" xfId="18461"/>
    <cellStyle name="40% - Accent2 65 6" xfId="5179"/>
    <cellStyle name="40% - Accent2 65 6 2" xfId="16467"/>
    <cellStyle name="40% - Accent2 65 7" xfId="14473"/>
    <cellStyle name="40% - Accent2 65 8" xfId="13159"/>
    <cellStyle name="40% - Accent2 66" xfId="1224"/>
    <cellStyle name="40% - Accent2 66 2" xfId="4180"/>
    <cellStyle name="40% - Accent2 66 2 2" xfId="12159"/>
    <cellStyle name="40% - Accent2 66 2 2 2" xfId="23447"/>
    <cellStyle name="40% - Accent2 66 2 3" xfId="10165"/>
    <cellStyle name="40% - Accent2 66 2 3 2" xfId="21453"/>
    <cellStyle name="40% - Accent2 66 2 4" xfId="8171"/>
    <cellStyle name="40% - Accent2 66 2 4 2" xfId="19459"/>
    <cellStyle name="40% - Accent2 66 2 5" xfId="6177"/>
    <cellStyle name="40% - Accent2 66 2 5 2" xfId="17465"/>
    <cellStyle name="40% - Accent2 66 2 6" xfId="15471"/>
    <cellStyle name="40% - Accent2 66 3" xfId="11162"/>
    <cellStyle name="40% - Accent2 66 3 2" xfId="22450"/>
    <cellStyle name="40% - Accent2 66 4" xfId="9168"/>
    <cellStyle name="40% - Accent2 66 4 2" xfId="20456"/>
    <cellStyle name="40% - Accent2 66 5" xfId="7174"/>
    <cellStyle name="40% - Accent2 66 5 2" xfId="18462"/>
    <cellStyle name="40% - Accent2 66 6" xfId="5180"/>
    <cellStyle name="40% - Accent2 66 6 2" xfId="16468"/>
    <cellStyle name="40% - Accent2 66 7" xfId="14474"/>
    <cellStyle name="40% - Accent2 66 8" xfId="13160"/>
    <cellStyle name="40% - Accent2 67" xfId="1225"/>
    <cellStyle name="40% - Accent2 67 2" xfId="4181"/>
    <cellStyle name="40% - Accent2 67 2 2" xfId="12160"/>
    <cellStyle name="40% - Accent2 67 2 2 2" xfId="23448"/>
    <cellStyle name="40% - Accent2 67 2 3" xfId="10166"/>
    <cellStyle name="40% - Accent2 67 2 3 2" xfId="21454"/>
    <cellStyle name="40% - Accent2 67 2 4" xfId="8172"/>
    <cellStyle name="40% - Accent2 67 2 4 2" xfId="19460"/>
    <cellStyle name="40% - Accent2 67 2 5" xfId="6178"/>
    <cellStyle name="40% - Accent2 67 2 5 2" xfId="17466"/>
    <cellStyle name="40% - Accent2 67 2 6" xfId="15472"/>
    <cellStyle name="40% - Accent2 67 3" xfId="11163"/>
    <cellStyle name="40% - Accent2 67 3 2" xfId="22451"/>
    <cellStyle name="40% - Accent2 67 4" xfId="9169"/>
    <cellStyle name="40% - Accent2 67 4 2" xfId="20457"/>
    <cellStyle name="40% - Accent2 67 5" xfId="7175"/>
    <cellStyle name="40% - Accent2 67 5 2" xfId="18463"/>
    <cellStyle name="40% - Accent2 67 6" xfId="5181"/>
    <cellStyle name="40% - Accent2 67 6 2" xfId="16469"/>
    <cellStyle name="40% - Accent2 67 7" xfId="14475"/>
    <cellStyle name="40% - Accent2 67 8" xfId="13161"/>
    <cellStyle name="40% - Accent2 68" xfId="1226"/>
    <cellStyle name="40% - Accent2 68 2" xfId="4182"/>
    <cellStyle name="40% - Accent2 68 2 2" xfId="12161"/>
    <cellStyle name="40% - Accent2 68 2 2 2" xfId="23449"/>
    <cellStyle name="40% - Accent2 68 2 3" xfId="10167"/>
    <cellStyle name="40% - Accent2 68 2 3 2" xfId="21455"/>
    <cellStyle name="40% - Accent2 68 2 4" xfId="8173"/>
    <cellStyle name="40% - Accent2 68 2 4 2" xfId="19461"/>
    <cellStyle name="40% - Accent2 68 2 5" xfId="6179"/>
    <cellStyle name="40% - Accent2 68 2 5 2" xfId="17467"/>
    <cellStyle name="40% - Accent2 68 2 6" xfId="15473"/>
    <cellStyle name="40% - Accent2 68 3" xfId="11164"/>
    <cellStyle name="40% - Accent2 68 3 2" xfId="22452"/>
    <cellStyle name="40% - Accent2 68 4" xfId="9170"/>
    <cellStyle name="40% - Accent2 68 4 2" xfId="20458"/>
    <cellStyle name="40% - Accent2 68 5" xfId="7176"/>
    <cellStyle name="40% - Accent2 68 5 2" xfId="18464"/>
    <cellStyle name="40% - Accent2 68 6" xfId="5182"/>
    <cellStyle name="40% - Accent2 68 6 2" xfId="16470"/>
    <cellStyle name="40% - Accent2 68 7" xfId="14476"/>
    <cellStyle name="40% - Accent2 68 8" xfId="13162"/>
    <cellStyle name="40% - Accent2 69" xfId="1227"/>
    <cellStyle name="40% - Accent2 69 2" xfId="4183"/>
    <cellStyle name="40% - Accent2 69 2 2" xfId="12162"/>
    <cellStyle name="40% - Accent2 69 2 2 2" xfId="23450"/>
    <cellStyle name="40% - Accent2 69 2 3" xfId="10168"/>
    <cellStyle name="40% - Accent2 69 2 3 2" xfId="21456"/>
    <cellStyle name="40% - Accent2 69 2 4" xfId="8174"/>
    <cellStyle name="40% - Accent2 69 2 4 2" xfId="19462"/>
    <cellStyle name="40% - Accent2 69 2 5" xfId="6180"/>
    <cellStyle name="40% - Accent2 69 2 5 2" xfId="17468"/>
    <cellStyle name="40% - Accent2 69 2 6" xfId="15474"/>
    <cellStyle name="40% - Accent2 69 3" xfId="11165"/>
    <cellStyle name="40% - Accent2 69 3 2" xfId="22453"/>
    <cellStyle name="40% - Accent2 69 4" xfId="9171"/>
    <cellStyle name="40% - Accent2 69 4 2" xfId="20459"/>
    <cellStyle name="40% - Accent2 69 5" xfId="7177"/>
    <cellStyle name="40% - Accent2 69 5 2" xfId="18465"/>
    <cellStyle name="40% - Accent2 69 6" xfId="5183"/>
    <cellStyle name="40% - Accent2 69 6 2" xfId="16471"/>
    <cellStyle name="40% - Accent2 69 7" xfId="14477"/>
    <cellStyle name="40% - Accent2 69 8" xfId="13163"/>
    <cellStyle name="40% - Accent2 7" xfId="1228"/>
    <cellStyle name="40% - Accent2 7 10" xfId="24606"/>
    <cellStyle name="40% - Accent2 7 11" xfId="24996"/>
    <cellStyle name="40% - Accent2 7 2" xfId="4184"/>
    <cellStyle name="40% - Accent2 7 2 2" xfId="12163"/>
    <cellStyle name="40% - Accent2 7 2 2 2" xfId="23451"/>
    <cellStyle name="40% - Accent2 7 2 3" xfId="10169"/>
    <cellStyle name="40% - Accent2 7 2 3 2" xfId="21457"/>
    <cellStyle name="40% - Accent2 7 2 4" xfId="8175"/>
    <cellStyle name="40% - Accent2 7 2 4 2" xfId="19463"/>
    <cellStyle name="40% - Accent2 7 2 5" xfId="6181"/>
    <cellStyle name="40% - Accent2 7 2 5 2" xfId="17469"/>
    <cellStyle name="40% - Accent2 7 2 6" xfId="15475"/>
    <cellStyle name="40% - Accent2 7 2 7" xfId="24367"/>
    <cellStyle name="40% - Accent2 7 2 8" xfId="24831"/>
    <cellStyle name="40% - Accent2 7 2 9" xfId="25198"/>
    <cellStyle name="40% - Accent2 7 3" xfId="11166"/>
    <cellStyle name="40% - Accent2 7 3 2" xfId="22454"/>
    <cellStyle name="40% - Accent2 7 4" xfId="9172"/>
    <cellStyle name="40% - Accent2 7 4 2" xfId="20460"/>
    <cellStyle name="40% - Accent2 7 5" xfId="7178"/>
    <cellStyle name="40% - Accent2 7 5 2" xfId="18466"/>
    <cellStyle name="40% - Accent2 7 6" xfId="5184"/>
    <cellStyle name="40% - Accent2 7 6 2" xfId="16472"/>
    <cellStyle name="40% - Accent2 7 7" xfId="14478"/>
    <cellStyle name="40% - Accent2 7 8" xfId="13164"/>
    <cellStyle name="40% - Accent2 7 9" xfId="23979"/>
    <cellStyle name="40% - Accent2 70" xfId="1229"/>
    <cellStyle name="40% - Accent2 70 2" xfId="4185"/>
    <cellStyle name="40% - Accent2 70 2 2" xfId="12164"/>
    <cellStyle name="40% - Accent2 70 2 2 2" xfId="23452"/>
    <cellStyle name="40% - Accent2 70 2 3" xfId="10170"/>
    <cellStyle name="40% - Accent2 70 2 3 2" xfId="21458"/>
    <cellStyle name="40% - Accent2 70 2 4" xfId="8176"/>
    <cellStyle name="40% - Accent2 70 2 4 2" xfId="19464"/>
    <cellStyle name="40% - Accent2 70 2 5" xfId="6182"/>
    <cellStyle name="40% - Accent2 70 2 5 2" xfId="17470"/>
    <cellStyle name="40% - Accent2 70 2 6" xfId="15476"/>
    <cellStyle name="40% - Accent2 70 3" xfId="11167"/>
    <cellStyle name="40% - Accent2 70 3 2" xfId="22455"/>
    <cellStyle name="40% - Accent2 70 4" xfId="9173"/>
    <cellStyle name="40% - Accent2 70 4 2" xfId="20461"/>
    <cellStyle name="40% - Accent2 70 5" xfId="7179"/>
    <cellStyle name="40% - Accent2 70 5 2" xfId="18467"/>
    <cellStyle name="40% - Accent2 70 6" xfId="5185"/>
    <cellStyle name="40% - Accent2 70 6 2" xfId="16473"/>
    <cellStyle name="40% - Accent2 70 7" xfId="14479"/>
    <cellStyle name="40% - Accent2 70 8" xfId="13165"/>
    <cellStyle name="40% - Accent2 71" xfId="1230"/>
    <cellStyle name="40% - Accent2 71 2" xfId="4186"/>
    <cellStyle name="40% - Accent2 71 2 2" xfId="12165"/>
    <cellStyle name="40% - Accent2 71 2 2 2" xfId="23453"/>
    <cellStyle name="40% - Accent2 71 2 3" xfId="10171"/>
    <cellStyle name="40% - Accent2 71 2 3 2" xfId="21459"/>
    <cellStyle name="40% - Accent2 71 2 4" xfId="8177"/>
    <cellStyle name="40% - Accent2 71 2 4 2" xfId="19465"/>
    <cellStyle name="40% - Accent2 71 2 5" xfId="6183"/>
    <cellStyle name="40% - Accent2 71 2 5 2" xfId="17471"/>
    <cellStyle name="40% - Accent2 71 2 6" xfId="15477"/>
    <cellStyle name="40% - Accent2 71 3" xfId="11168"/>
    <cellStyle name="40% - Accent2 71 3 2" xfId="22456"/>
    <cellStyle name="40% - Accent2 71 4" xfId="9174"/>
    <cellStyle name="40% - Accent2 71 4 2" xfId="20462"/>
    <cellStyle name="40% - Accent2 71 5" xfId="7180"/>
    <cellStyle name="40% - Accent2 71 5 2" xfId="18468"/>
    <cellStyle name="40% - Accent2 71 6" xfId="5186"/>
    <cellStyle name="40% - Accent2 71 6 2" xfId="16474"/>
    <cellStyle name="40% - Accent2 71 7" xfId="14480"/>
    <cellStyle name="40% - Accent2 71 8" xfId="13166"/>
    <cellStyle name="40% - Accent2 72" xfId="1231"/>
    <cellStyle name="40% - Accent2 72 2" xfId="4187"/>
    <cellStyle name="40% - Accent2 72 2 2" xfId="12166"/>
    <cellStyle name="40% - Accent2 72 2 2 2" xfId="23454"/>
    <cellStyle name="40% - Accent2 72 2 3" xfId="10172"/>
    <cellStyle name="40% - Accent2 72 2 3 2" xfId="21460"/>
    <cellStyle name="40% - Accent2 72 2 4" xfId="8178"/>
    <cellStyle name="40% - Accent2 72 2 4 2" xfId="19466"/>
    <cellStyle name="40% - Accent2 72 2 5" xfId="6184"/>
    <cellStyle name="40% - Accent2 72 2 5 2" xfId="17472"/>
    <cellStyle name="40% - Accent2 72 2 6" xfId="15478"/>
    <cellStyle name="40% - Accent2 72 3" xfId="11169"/>
    <cellStyle name="40% - Accent2 72 3 2" xfId="22457"/>
    <cellStyle name="40% - Accent2 72 4" xfId="9175"/>
    <cellStyle name="40% - Accent2 72 4 2" xfId="20463"/>
    <cellStyle name="40% - Accent2 72 5" xfId="7181"/>
    <cellStyle name="40% - Accent2 72 5 2" xfId="18469"/>
    <cellStyle name="40% - Accent2 72 6" xfId="5187"/>
    <cellStyle name="40% - Accent2 72 6 2" xfId="16475"/>
    <cellStyle name="40% - Accent2 72 7" xfId="14481"/>
    <cellStyle name="40% - Accent2 72 8" xfId="13167"/>
    <cellStyle name="40% - Accent2 8" xfId="1232"/>
    <cellStyle name="40% - Accent2 8 2" xfId="4188"/>
    <cellStyle name="40% - Accent2 8 2 2" xfId="12167"/>
    <cellStyle name="40% - Accent2 8 2 2 2" xfId="23455"/>
    <cellStyle name="40% - Accent2 8 2 3" xfId="10173"/>
    <cellStyle name="40% - Accent2 8 2 3 2" xfId="21461"/>
    <cellStyle name="40% - Accent2 8 2 4" xfId="8179"/>
    <cellStyle name="40% - Accent2 8 2 4 2" xfId="19467"/>
    <cellStyle name="40% - Accent2 8 2 5" xfId="6185"/>
    <cellStyle name="40% - Accent2 8 2 5 2" xfId="17473"/>
    <cellStyle name="40% - Accent2 8 2 6" xfId="15479"/>
    <cellStyle name="40% - Accent2 8 3" xfId="11170"/>
    <cellStyle name="40% - Accent2 8 3 2" xfId="22458"/>
    <cellStyle name="40% - Accent2 8 4" xfId="9176"/>
    <cellStyle name="40% - Accent2 8 4 2" xfId="20464"/>
    <cellStyle name="40% - Accent2 8 5" xfId="7182"/>
    <cellStyle name="40% - Accent2 8 5 2" xfId="18470"/>
    <cellStyle name="40% - Accent2 8 6" xfId="5188"/>
    <cellStyle name="40% - Accent2 8 6 2" xfId="16476"/>
    <cellStyle name="40% - Accent2 8 7" xfId="14482"/>
    <cellStyle name="40% - Accent2 8 8" xfId="13168"/>
    <cellStyle name="40% - Accent2 9" xfId="1233"/>
    <cellStyle name="40% - Accent2 9 2" xfId="4189"/>
    <cellStyle name="40% - Accent2 9 2 2" xfId="12168"/>
    <cellStyle name="40% - Accent2 9 2 2 2" xfId="23456"/>
    <cellStyle name="40% - Accent2 9 2 3" xfId="10174"/>
    <cellStyle name="40% - Accent2 9 2 3 2" xfId="21462"/>
    <cellStyle name="40% - Accent2 9 2 4" xfId="8180"/>
    <cellStyle name="40% - Accent2 9 2 4 2" xfId="19468"/>
    <cellStyle name="40% - Accent2 9 2 5" xfId="6186"/>
    <cellStyle name="40% - Accent2 9 2 5 2" xfId="17474"/>
    <cellStyle name="40% - Accent2 9 2 6" xfId="15480"/>
    <cellStyle name="40% - Accent2 9 3" xfId="11171"/>
    <cellStyle name="40% - Accent2 9 3 2" xfId="22459"/>
    <cellStyle name="40% - Accent2 9 4" xfId="9177"/>
    <cellStyle name="40% - Accent2 9 4 2" xfId="20465"/>
    <cellStyle name="40% - Accent2 9 5" xfId="7183"/>
    <cellStyle name="40% - Accent2 9 5 2" xfId="18471"/>
    <cellStyle name="40% - Accent2 9 6" xfId="5189"/>
    <cellStyle name="40% - Accent2 9 6 2" xfId="16477"/>
    <cellStyle name="40% - Accent2 9 7" xfId="14483"/>
    <cellStyle name="40% - Accent2 9 8" xfId="13169"/>
    <cellStyle name="40% - Accent3 10" xfId="1234"/>
    <cellStyle name="40% - Accent3 10 2" xfId="4190"/>
    <cellStyle name="40% - Accent3 10 2 2" xfId="12169"/>
    <cellStyle name="40% - Accent3 10 2 2 2" xfId="23457"/>
    <cellStyle name="40% - Accent3 10 2 3" xfId="10175"/>
    <cellStyle name="40% - Accent3 10 2 3 2" xfId="21463"/>
    <cellStyle name="40% - Accent3 10 2 4" xfId="8181"/>
    <cellStyle name="40% - Accent3 10 2 4 2" xfId="19469"/>
    <cellStyle name="40% - Accent3 10 2 5" xfId="6187"/>
    <cellStyle name="40% - Accent3 10 2 5 2" xfId="17475"/>
    <cellStyle name="40% - Accent3 10 2 6" xfId="15481"/>
    <cellStyle name="40% - Accent3 10 3" xfId="11172"/>
    <cellStyle name="40% - Accent3 10 3 2" xfId="22460"/>
    <cellStyle name="40% - Accent3 10 4" xfId="9178"/>
    <cellStyle name="40% - Accent3 10 4 2" xfId="20466"/>
    <cellStyle name="40% - Accent3 10 5" xfId="7184"/>
    <cellStyle name="40% - Accent3 10 5 2" xfId="18472"/>
    <cellStyle name="40% - Accent3 10 6" xfId="5190"/>
    <cellStyle name="40% - Accent3 10 6 2" xfId="16478"/>
    <cellStyle name="40% - Accent3 10 7" xfId="14484"/>
    <cellStyle name="40% - Accent3 10 8" xfId="13170"/>
    <cellStyle name="40% - Accent3 11" xfId="1235"/>
    <cellStyle name="40% - Accent3 11 2" xfId="4191"/>
    <cellStyle name="40% - Accent3 11 2 2" xfId="12170"/>
    <cellStyle name="40% - Accent3 11 2 2 2" xfId="23458"/>
    <cellStyle name="40% - Accent3 11 2 3" xfId="10176"/>
    <cellStyle name="40% - Accent3 11 2 3 2" xfId="21464"/>
    <cellStyle name="40% - Accent3 11 2 4" xfId="8182"/>
    <cellStyle name="40% - Accent3 11 2 4 2" xfId="19470"/>
    <cellStyle name="40% - Accent3 11 2 5" xfId="6188"/>
    <cellStyle name="40% - Accent3 11 2 5 2" xfId="17476"/>
    <cellStyle name="40% - Accent3 11 2 6" xfId="15482"/>
    <cellStyle name="40% - Accent3 11 3" xfId="11173"/>
    <cellStyle name="40% - Accent3 11 3 2" xfId="22461"/>
    <cellStyle name="40% - Accent3 11 4" xfId="9179"/>
    <cellStyle name="40% - Accent3 11 4 2" xfId="20467"/>
    <cellStyle name="40% - Accent3 11 5" xfId="7185"/>
    <cellStyle name="40% - Accent3 11 5 2" xfId="18473"/>
    <cellStyle name="40% - Accent3 11 6" xfId="5191"/>
    <cellStyle name="40% - Accent3 11 6 2" xfId="16479"/>
    <cellStyle name="40% - Accent3 11 7" xfId="14485"/>
    <cellStyle name="40% - Accent3 11 8" xfId="13171"/>
    <cellStyle name="40% - Accent3 12" xfId="1236"/>
    <cellStyle name="40% - Accent3 12 2" xfId="4192"/>
    <cellStyle name="40% - Accent3 12 2 2" xfId="12171"/>
    <cellStyle name="40% - Accent3 12 2 2 2" xfId="23459"/>
    <cellStyle name="40% - Accent3 12 2 3" xfId="10177"/>
    <cellStyle name="40% - Accent3 12 2 3 2" xfId="21465"/>
    <cellStyle name="40% - Accent3 12 2 4" xfId="8183"/>
    <cellStyle name="40% - Accent3 12 2 4 2" xfId="19471"/>
    <cellStyle name="40% - Accent3 12 2 5" xfId="6189"/>
    <cellStyle name="40% - Accent3 12 2 5 2" xfId="17477"/>
    <cellStyle name="40% - Accent3 12 2 6" xfId="15483"/>
    <cellStyle name="40% - Accent3 12 3" xfId="11174"/>
    <cellStyle name="40% - Accent3 12 3 2" xfId="22462"/>
    <cellStyle name="40% - Accent3 12 4" xfId="9180"/>
    <cellStyle name="40% - Accent3 12 4 2" xfId="20468"/>
    <cellStyle name="40% - Accent3 12 5" xfId="7186"/>
    <cellStyle name="40% - Accent3 12 5 2" xfId="18474"/>
    <cellStyle name="40% - Accent3 12 6" xfId="5192"/>
    <cellStyle name="40% - Accent3 12 6 2" xfId="16480"/>
    <cellStyle name="40% - Accent3 12 7" xfId="14486"/>
    <cellStyle name="40% - Accent3 12 8" xfId="13172"/>
    <cellStyle name="40% - Accent3 13" xfId="1237"/>
    <cellStyle name="40% - Accent3 13 2" xfId="4193"/>
    <cellStyle name="40% - Accent3 13 2 2" xfId="12172"/>
    <cellStyle name="40% - Accent3 13 2 2 2" xfId="23460"/>
    <cellStyle name="40% - Accent3 13 2 3" xfId="10178"/>
    <cellStyle name="40% - Accent3 13 2 3 2" xfId="21466"/>
    <cellStyle name="40% - Accent3 13 2 4" xfId="8184"/>
    <cellStyle name="40% - Accent3 13 2 4 2" xfId="19472"/>
    <cellStyle name="40% - Accent3 13 2 5" xfId="6190"/>
    <cellStyle name="40% - Accent3 13 2 5 2" xfId="17478"/>
    <cellStyle name="40% - Accent3 13 2 6" xfId="15484"/>
    <cellStyle name="40% - Accent3 13 3" xfId="11175"/>
    <cellStyle name="40% - Accent3 13 3 2" xfId="22463"/>
    <cellStyle name="40% - Accent3 13 4" xfId="9181"/>
    <cellStyle name="40% - Accent3 13 4 2" xfId="20469"/>
    <cellStyle name="40% - Accent3 13 5" xfId="7187"/>
    <cellStyle name="40% - Accent3 13 5 2" xfId="18475"/>
    <cellStyle name="40% - Accent3 13 6" xfId="5193"/>
    <cellStyle name="40% - Accent3 13 6 2" xfId="16481"/>
    <cellStyle name="40% - Accent3 13 7" xfId="14487"/>
    <cellStyle name="40% - Accent3 13 8" xfId="13173"/>
    <cellStyle name="40% - Accent3 14" xfId="1238"/>
    <cellStyle name="40% - Accent3 14 2" xfId="4194"/>
    <cellStyle name="40% - Accent3 14 2 2" xfId="12173"/>
    <cellStyle name="40% - Accent3 14 2 2 2" xfId="23461"/>
    <cellStyle name="40% - Accent3 14 2 3" xfId="10179"/>
    <cellStyle name="40% - Accent3 14 2 3 2" xfId="21467"/>
    <cellStyle name="40% - Accent3 14 2 4" xfId="8185"/>
    <cellStyle name="40% - Accent3 14 2 4 2" xfId="19473"/>
    <cellStyle name="40% - Accent3 14 2 5" xfId="6191"/>
    <cellStyle name="40% - Accent3 14 2 5 2" xfId="17479"/>
    <cellStyle name="40% - Accent3 14 2 6" xfId="15485"/>
    <cellStyle name="40% - Accent3 14 3" xfId="11176"/>
    <cellStyle name="40% - Accent3 14 3 2" xfId="22464"/>
    <cellStyle name="40% - Accent3 14 4" xfId="9182"/>
    <cellStyle name="40% - Accent3 14 4 2" xfId="20470"/>
    <cellStyle name="40% - Accent3 14 5" xfId="7188"/>
    <cellStyle name="40% - Accent3 14 5 2" xfId="18476"/>
    <cellStyle name="40% - Accent3 14 6" xfId="5194"/>
    <cellStyle name="40% - Accent3 14 6 2" xfId="16482"/>
    <cellStyle name="40% - Accent3 14 7" xfId="14488"/>
    <cellStyle name="40% - Accent3 14 8" xfId="13174"/>
    <cellStyle name="40% - Accent3 15" xfId="1239"/>
    <cellStyle name="40% - Accent3 15 2" xfId="4195"/>
    <cellStyle name="40% - Accent3 15 2 2" xfId="12174"/>
    <cellStyle name="40% - Accent3 15 2 2 2" xfId="23462"/>
    <cellStyle name="40% - Accent3 15 2 3" xfId="10180"/>
    <cellStyle name="40% - Accent3 15 2 3 2" xfId="21468"/>
    <cellStyle name="40% - Accent3 15 2 4" xfId="8186"/>
    <cellStyle name="40% - Accent3 15 2 4 2" xfId="19474"/>
    <cellStyle name="40% - Accent3 15 2 5" xfId="6192"/>
    <cellStyle name="40% - Accent3 15 2 5 2" xfId="17480"/>
    <cellStyle name="40% - Accent3 15 2 6" xfId="15486"/>
    <cellStyle name="40% - Accent3 15 3" xfId="11177"/>
    <cellStyle name="40% - Accent3 15 3 2" xfId="22465"/>
    <cellStyle name="40% - Accent3 15 4" xfId="9183"/>
    <cellStyle name="40% - Accent3 15 4 2" xfId="20471"/>
    <cellStyle name="40% - Accent3 15 5" xfId="7189"/>
    <cellStyle name="40% - Accent3 15 5 2" xfId="18477"/>
    <cellStyle name="40% - Accent3 15 6" xfId="5195"/>
    <cellStyle name="40% - Accent3 15 6 2" xfId="16483"/>
    <cellStyle name="40% - Accent3 15 7" xfId="14489"/>
    <cellStyle name="40% - Accent3 15 8" xfId="13175"/>
    <cellStyle name="40% - Accent3 16" xfId="1240"/>
    <cellStyle name="40% - Accent3 16 2" xfId="4196"/>
    <cellStyle name="40% - Accent3 16 2 2" xfId="12175"/>
    <cellStyle name="40% - Accent3 16 2 2 2" xfId="23463"/>
    <cellStyle name="40% - Accent3 16 2 3" xfId="10181"/>
    <cellStyle name="40% - Accent3 16 2 3 2" xfId="21469"/>
    <cellStyle name="40% - Accent3 16 2 4" xfId="8187"/>
    <cellStyle name="40% - Accent3 16 2 4 2" xfId="19475"/>
    <cellStyle name="40% - Accent3 16 2 5" xfId="6193"/>
    <cellStyle name="40% - Accent3 16 2 5 2" xfId="17481"/>
    <cellStyle name="40% - Accent3 16 2 6" xfId="15487"/>
    <cellStyle name="40% - Accent3 16 3" xfId="11178"/>
    <cellStyle name="40% - Accent3 16 3 2" xfId="22466"/>
    <cellStyle name="40% - Accent3 16 4" xfId="9184"/>
    <cellStyle name="40% - Accent3 16 4 2" xfId="20472"/>
    <cellStyle name="40% - Accent3 16 5" xfId="7190"/>
    <cellStyle name="40% - Accent3 16 5 2" xfId="18478"/>
    <cellStyle name="40% - Accent3 16 6" xfId="5196"/>
    <cellStyle name="40% - Accent3 16 6 2" xfId="16484"/>
    <cellStyle name="40% - Accent3 16 7" xfId="14490"/>
    <cellStyle name="40% - Accent3 16 8" xfId="13176"/>
    <cellStyle name="40% - Accent3 17" xfId="1241"/>
    <cellStyle name="40% - Accent3 17 2" xfId="4197"/>
    <cellStyle name="40% - Accent3 17 2 2" xfId="12176"/>
    <cellStyle name="40% - Accent3 17 2 2 2" xfId="23464"/>
    <cellStyle name="40% - Accent3 17 2 3" xfId="10182"/>
    <cellStyle name="40% - Accent3 17 2 3 2" xfId="21470"/>
    <cellStyle name="40% - Accent3 17 2 4" xfId="8188"/>
    <cellStyle name="40% - Accent3 17 2 4 2" xfId="19476"/>
    <cellStyle name="40% - Accent3 17 2 5" xfId="6194"/>
    <cellStyle name="40% - Accent3 17 2 5 2" xfId="17482"/>
    <cellStyle name="40% - Accent3 17 2 6" xfId="15488"/>
    <cellStyle name="40% - Accent3 17 3" xfId="11179"/>
    <cellStyle name="40% - Accent3 17 3 2" xfId="22467"/>
    <cellStyle name="40% - Accent3 17 4" xfId="9185"/>
    <cellStyle name="40% - Accent3 17 4 2" xfId="20473"/>
    <cellStyle name="40% - Accent3 17 5" xfId="7191"/>
    <cellStyle name="40% - Accent3 17 5 2" xfId="18479"/>
    <cellStyle name="40% - Accent3 17 6" xfId="5197"/>
    <cellStyle name="40% - Accent3 17 6 2" xfId="16485"/>
    <cellStyle name="40% - Accent3 17 7" xfId="14491"/>
    <cellStyle name="40% - Accent3 17 8" xfId="13177"/>
    <cellStyle name="40% - Accent3 18" xfId="1242"/>
    <cellStyle name="40% - Accent3 18 2" xfId="4198"/>
    <cellStyle name="40% - Accent3 18 2 2" xfId="12177"/>
    <cellStyle name="40% - Accent3 18 2 2 2" xfId="23465"/>
    <cellStyle name="40% - Accent3 18 2 3" xfId="10183"/>
    <cellStyle name="40% - Accent3 18 2 3 2" xfId="21471"/>
    <cellStyle name="40% - Accent3 18 2 4" xfId="8189"/>
    <cellStyle name="40% - Accent3 18 2 4 2" xfId="19477"/>
    <cellStyle name="40% - Accent3 18 2 5" xfId="6195"/>
    <cellStyle name="40% - Accent3 18 2 5 2" xfId="17483"/>
    <cellStyle name="40% - Accent3 18 2 6" xfId="15489"/>
    <cellStyle name="40% - Accent3 18 3" xfId="11180"/>
    <cellStyle name="40% - Accent3 18 3 2" xfId="22468"/>
    <cellStyle name="40% - Accent3 18 4" xfId="9186"/>
    <cellStyle name="40% - Accent3 18 4 2" xfId="20474"/>
    <cellStyle name="40% - Accent3 18 5" xfId="7192"/>
    <cellStyle name="40% - Accent3 18 5 2" xfId="18480"/>
    <cellStyle name="40% - Accent3 18 6" xfId="5198"/>
    <cellStyle name="40% - Accent3 18 6 2" xfId="16486"/>
    <cellStyle name="40% - Accent3 18 7" xfId="14492"/>
    <cellStyle name="40% - Accent3 18 8" xfId="13178"/>
    <cellStyle name="40% - Accent3 19" xfId="1243"/>
    <cellStyle name="40% - Accent3 19 2" xfId="4199"/>
    <cellStyle name="40% - Accent3 19 2 2" xfId="12178"/>
    <cellStyle name="40% - Accent3 19 2 2 2" xfId="23466"/>
    <cellStyle name="40% - Accent3 19 2 3" xfId="10184"/>
    <cellStyle name="40% - Accent3 19 2 3 2" xfId="21472"/>
    <cellStyle name="40% - Accent3 19 2 4" xfId="8190"/>
    <cellStyle name="40% - Accent3 19 2 4 2" xfId="19478"/>
    <cellStyle name="40% - Accent3 19 2 5" xfId="6196"/>
    <cellStyle name="40% - Accent3 19 2 5 2" xfId="17484"/>
    <cellStyle name="40% - Accent3 19 2 6" xfId="15490"/>
    <cellStyle name="40% - Accent3 19 3" xfId="11181"/>
    <cellStyle name="40% - Accent3 19 3 2" xfId="22469"/>
    <cellStyle name="40% - Accent3 19 4" xfId="9187"/>
    <cellStyle name="40% - Accent3 19 4 2" xfId="20475"/>
    <cellStyle name="40% - Accent3 19 5" xfId="7193"/>
    <cellStyle name="40% - Accent3 19 5 2" xfId="18481"/>
    <cellStyle name="40% - Accent3 19 6" xfId="5199"/>
    <cellStyle name="40% - Accent3 19 6 2" xfId="16487"/>
    <cellStyle name="40% - Accent3 19 7" xfId="14493"/>
    <cellStyle name="40% - Accent3 19 8" xfId="13179"/>
    <cellStyle name="40% - Accent3 2" xfId="1244"/>
    <cellStyle name="40% - Accent3 2 10" xfId="24607"/>
    <cellStyle name="40% - Accent3 2 11" xfId="24997"/>
    <cellStyle name="40% - Accent3 2 2" xfId="4200"/>
    <cellStyle name="40% - Accent3 2 2 2" xfId="12179"/>
    <cellStyle name="40% - Accent3 2 2 2 2" xfId="23467"/>
    <cellStyle name="40% - Accent3 2 2 3" xfId="10185"/>
    <cellStyle name="40% - Accent3 2 2 3 2" xfId="21473"/>
    <cellStyle name="40% - Accent3 2 2 4" xfId="8191"/>
    <cellStyle name="40% - Accent3 2 2 4 2" xfId="19479"/>
    <cellStyle name="40% - Accent3 2 2 5" xfId="6197"/>
    <cellStyle name="40% - Accent3 2 2 5 2" xfId="17485"/>
    <cellStyle name="40% - Accent3 2 2 6" xfId="15491"/>
    <cellStyle name="40% - Accent3 2 2 7" xfId="24368"/>
    <cellStyle name="40% - Accent3 2 2 8" xfId="24832"/>
    <cellStyle name="40% - Accent3 2 2 9" xfId="25199"/>
    <cellStyle name="40% - Accent3 2 3" xfId="11182"/>
    <cellStyle name="40% - Accent3 2 3 2" xfId="22470"/>
    <cellStyle name="40% - Accent3 2 4" xfId="9188"/>
    <cellStyle name="40% - Accent3 2 4 2" xfId="20476"/>
    <cellStyle name="40% - Accent3 2 5" xfId="7194"/>
    <cellStyle name="40% - Accent3 2 5 2" xfId="18482"/>
    <cellStyle name="40% - Accent3 2 6" xfId="5200"/>
    <cellStyle name="40% - Accent3 2 6 2" xfId="16488"/>
    <cellStyle name="40% - Accent3 2 7" xfId="14494"/>
    <cellStyle name="40% - Accent3 2 8" xfId="13180"/>
    <cellStyle name="40% - Accent3 2 9" xfId="23980"/>
    <cellStyle name="40% - Accent3 20" xfId="1245"/>
    <cellStyle name="40% - Accent3 20 2" xfId="4201"/>
    <cellStyle name="40% - Accent3 20 2 2" xfId="12180"/>
    <cellStyle name="40% - Accent3 20 2 2 2" xfId="23468"/>
    <cellStyle name="40% - Accent3 20 2 3" xfId="10186"/>
    <cellStyle name="40% - Accent3 20 2 3 2" xfId="21474"/>
    <cellStyle name="40% - Accent3 20 2 4" xfId="8192"/>
    <cellStyle name="40% - Accent3 20 2 4 2" xfId="19480"/>
    <cellStyle name="40% - Accent3 20 2 5" xfId="6198"/>
    <cellStyle name="40% - Accent3 20 2 5 2" xfId="17486"/>
    <cellStyle name="40% - Accent3 20 2 6" xfId="15492"/>
    <cellStyle name="40% - Accent3 20 3" xfId="11183"/>
    <cellStyle name="40% - Accent3 20 3 2" xfId="22471"/>
    <cellStyle name="40% - Accent3 20 4" xfId="9189"/>
    <cellStyle name="40% - Accent3 20 4 2" xfId="20477"/>
    <cellStyle name="40% - Accent3 20 5" xfId="7195"/>
    <cellStyle name="40% - Accent3 20 5 2" xfId="18483"/>
    <cellStyle name="40% - Accent3 20 6" xfId="5201"/>
    <cellStyle name="40% - Accent3 20 6 2" xfId="16489"/>
    <cellStyle name="40% - Accent3 20 7" xfId="14495"/>
    <cellStyle name="40% - Accent3 20 8" xfId="13181"/>
    <cellStyle name="40% - Accent3 21" xfId="1246"/>
    <cellStyle name="40% - Accent3 21 2" xfId="4202"/>
    <cellStyle name="40% - Accent3 21 2 2" xfId="12181"/>
    <cellStyle name="40% - Accent3 21 2 2 2" xfId="23469"/>
    <cellStyle name="40% - Accent3 21 2 3" xfId="10187"/>
    <cellStyle name="40% - Accent3 21 2 3 2" xfId="21475"/>
    <cellStyle name="40% - Accent3 21 2 4" xfId="8193"/>
    <cellStyle name="40% - Accent3 21 2 4 2" xfId="19481"/>
    <cellStyle name="40% - Accent3 21 2 5" xfId="6199"/>
    <cellStyle name="40% - Accent3 21 2 5 2" xfId="17487"/>
    <cellStyle name="40% - Accent3 21 2 6" xfId="15493"/>
    <cellStyle name="40% - Accent3 21 3" xfId="11184"/>
    <cellStyle name="40% - Accent3 21 3 2" xfId="22472"/>
    <cellStyle name="40% - Accent3 21 4" xfId="9190"/>
    <cellStyle name="40% - Accent3 21 4 2" xfId="20478"/>
    <cellStyle name="40% - Accent3 21 5" xfId="7196"/>
    <cellStyle name="40% - Accent3 21 5 2" xfId="18484"/>
    <cellStyle name="40% - Accent3 21 6" xfId="5202"/>
    <cellStyle name="40% - Accent3 21 6 2" xfId="16490"/>
    <cellStyle name="40% - Accent3 21 7" xfId="14496"/>
    <cellStyle name="40% - Accent3 21 8" xfId="13182"/>
    <cellStyle name="40% - Accent3 22" xfId="1247"/>
    <cellStyle name="40% - Accent3 22 2" xfId="4203"/>
    <cellStyle name="40% - Accent3 22 2 2" xfId="12182"/>
    <cellStyle name="40% - Accent3 22 2 2 2" xfId="23470"/>
    <cellStyle name="40% - Accent3 22 2 3" xfId="10188"/>
    <cellStyle name="40% - Accent3 22 2 3 2" xfId="21476"/>
    <cellStyle name="40% - Accent3 22 2 4" xfId="8194"/>
    <cellStyle name="40% - Accent3 22 2 4 2" xfId="19482"/>
    <cellStyle name="40% - Accent3 22 2 5" xfId="6200"/>
    <cellStyle name="40% - Accent3 22 2 5 2" xfId="17488"/>
    <cellStyle name="40% - Accent3 22 2 6" xfId="15494"/>
    <cellStyle name="40% - Accent3 22 3" xfId="11185"/>
    <cellStyle name="40% - Accent3 22 3 2" xfId="22473"/>
    <cellStyle name="40% - Accent3 22 4" xfId="9191"/>
    <cellStyle name="40% - Accent3 22 4 2" xfId="20479"/>
    <cellStyle name="40% - Accent3 22 5" xfId="7197"/>
    <cellStyle name="40% - Accent3 22 5 2" xfId="18485"/>
    <cellStyle name="40% - Accent3 22 6" xfId="5203"/>
    <cellStyle name="40% - Accent3 22 6 2" xfId="16491"/>
    <cellStyle name="40% - Accent3 22 7" xfId="14497"/>
    <cellStyle name="40% - Accent3 22 8" xfId="13183"/>
    <cellStyle name="40% - Accent3 23" xfId="1248"/>
    <cellStyle name="40% - Accent3 23 2" xfId="4204"/>
    <cellStyle name="40% - Accent3 23 2 2" xfId="12183"/>
    <cellStyle name="40% - Accent3 23 2 2 2" xfId="23471"/>
    <cellStyle name="40% - Accent3 23 2 3" xfId="10189"/>
    <cellStyle name="40% - Accent3 23 2 3 2" xfId="21477"/>
    <cellStyle name="40% - Accent3 23 2 4" xfId="8195"/>
    <cellStyle name="40% - Accent3 23 2 4 2" xfId="19483"/>
    <cellStyle name="40% - Accent3 23 2 5" xfId="6201"/>
    <cellStyle name="40% - Accent3 23 2 5 2" xfId="17489"/>
    <cellStyle name="40% - Accent3 23 2 6" xfId="15495"/>
    <cellStyle name="40% - Accent3 23 3" xfId="11186"/>
    <cellStyle name="40% - Accent3 23 3 2" xfId="22474"/>
    <cellStyle name="40% - Accent3 23 4" xfId="9192"/>
    <cellStyle name="40% - Accent3 23 4 2" xfId="20480"/>
    <cellStyle name="40% - Accent3 23 5" xfId="7198"/>
    <cellStyle name="40% - Accent3 23 5 2" xfId="18486"/>
    <cellStyle name="40% - Accent3 23 6" xfId="5204"/>
    <cellStyle name="40% - Accent3 23 6 2" xfId="16492"/>
    <cellStyle name="40% - Accent3 23 7" xfId="14498"/>
    <cellStyle name="40% - Accent3 23 8" xfId="13184"/>
    <cellStyle name="40% - Accent3 24" xfId="1249"/>
    <cellStyle name="40% - Accent3 24 2" xfId="4205"/>
    <cellStyle name="40% - Accent3 24 2 2" xfId="12184"/>
    <cellStyle name="40% - Accent3 24 2 2 2" xfId="23472"/>
    <cellStyle name="40% - Accent3 24 2 3" xfId="10190"/>
    <cellStyle name="40% - Accent3 24 2 3 2" xfId="21478"/>
    <cellStyle name="40% - Accent3 24 2 4" xfId="8196"/>
    <cellStyle name="40% - Accent3 24 2 4 2" xfId="19484"/>
    <cellStyle name="40% - Accent3 24 2 5" xfId="6202"/>
    <cellStyle name="40% - Accent3 24 2 5 2" xfId="17490"/>
    <cellStyle name="40% - Accent3 24 2 6" xfId="15496"/>
    <cellStyle name="40% - Accent3 24 3" xfId="11187"/>
    <cellStyle name="40% - Accent3 24 3 2" xfId="22475"/>
    <cellStyle name="40% - Accent3 24 4" xfId="9193"/>
    <cellStyle name="40% - Accent3 24 4 2" xfId="20481"/>
    <cellStyle name="40% - Accent3 24 5" xfId="7199"/>
    <cellStyle name="40% - Accent3 24 5 2" xfId="18487"/>
    <cellStyle name="40% - Accent3 24 6" xfId="5205"/>
    <cellStyle name="40% - Accent3 24 6 2" xfId="16493"/>
    <cellStyle name="40% - Accent3 24 7" xfId="14499"/>
    <cellStyle name="40% - Accent3 24 8" xfId="13185"/>
    <cellStyle name="40% - Accent3 25" xfId="1250"/>
    <cellStyle name="40% - Accent3 25 2" xfId="4206"/>
    <cellStyle name="40% - Accent3 25 2 2" xfId="12185"/>
    <cellStyle name="40% - Accent3 25 2 2 2" xfId="23473"/>
    <cellStyle name="40% - Accent3 25 2 3" xfId="10191"/>
    <cellStyle name="40% - Accent3 25 2 3 2" xfId="21479"/>
    <cellStyle name="40% - Accent3 25 2 4" xfId="8197"/>
    <cellStyle name="40% - Accent3 25 2 4 2" xfId="19485"/>
    <cellStyle name="40% - Accent3 25 2 5" xfId="6203"/>
    <cellStyle name="40% - Accent3 25 2 5 2" xfId="17491"/>
    <cellStyle name="40% - Accent3 25 2 6" xfId="15497"/>
    <cellStyle name="40% - Accent3 25 3" xfId="11188"/>
    <cellStyle name="40% - Accent3 25 3 2" xfId="22476"/>
    <cellStyle name="40% - Accent3 25 4" xfId="9194"/>
    <cellStyle name="40% - Accent3 25 4 2" xfId="20482"/>
    <cellStyle name="40% - Accent3 25 5" xfId="7200"/>
    <cellStyle name="40% - Accent3 25 5 2" xfId="18488"/>
    <cellStyle name="40% - Accent3 25 6" xfId="5206"/>
    <cellStyle name="40% - Accent3 25 6 2" xfId="16494"/>
    <cellStyle name="40% - Accent3 25 7" xfId="14500"/>
    <cellStyle name="40% - Accent3 25 8" xfId="13186"/>
    <cellStyle name="40% - Accent3 26" xfId="1251"/>
    <cellStyle name="40% - Accent3 26 2" xfId="4207"/>
    <cellStyle name="40% - Accent3 26 2 2" xfId="12186"/>
    <cellStyle name="40% - Accent3 26 2 2 2" xfId="23474"/>
    <cellStyle name="40% - Accent3 26 2 3" xfId="10192"/>
    <cellStyle name="40% - Accent3 26 2 3 2" xfId="21480"/>
    <cellStyle name="40% - Accent3 26 2 4" xfId="8198"/>
    <cellStyle name="40% - Accent3 26 2 4 2" xfId="19486"/>
    <cellStyle name="40% - Accent3 26 2 5" xfId="6204"/>
    <cellStyle name="40% - Accent3 26 2 5 2" xfId="17492"/>
    <cellStyle name="40% - Accent3 26 2 6" xfId="15498"/>
    <cellStyle name="40% - Accent3 26 3" xfId="11189"/>
    <cellStyle name="40% - Accent3 26 3 2" xfId="22477"/>
    <cellStyle name="40% - Accent3 26 4" xfId="9195"/>
    <cellStyle name="40% - Accent3 26 4 2" xfId="20483"/>
    <cellStyle name="40% - Accent3 26 5" xfId="7201"/>
    <cellStyle name="40% - Accent3 26 5 2" xfId="18489"/>
    <cellStyle name="40% - Accent3 26 6" xfId="5207"/>
    <cellStyle name="40% - Accent3 26 6 2" xfId="16495"/>
    <cellStyle name="40% - Accent3 26 7" xfId="14501"/>
    <cellStyle name="40% - Accent3 26 8" xfId="13187"/>
    <cellStyle name="40% - Accent3 27" xfId="1252"/>
    <cellStyle name="40% - Accent3 27 2" xfId="4208"/>
    <cellStyle name="40% - Accent3 27 2 2" xfId="12187"/>
    <cellStyle name="40% - Accent3 27 2 2 2" xfId="23475"/>
    <cellStyle name="40% - Accent3 27 2 3" xfId="10193"/>
    <cellStyle name="40% - Accent3 27 2 3 2" xfId="21481"/>
    <cellStyle name="40% - Accent3 27 2 4" xfId="8199"/>
    <cellStyle name="40% - Accent3 27 2 4 2" xfId="19487"/>
    <cellStyle name="40% - Accent3 27 2 5" xfId="6205"/>
    <cellStyle name="40% - Accent3 27 2 5 2" xfId="17493"/>
    <cellStyle name="40% - Accent3 27 2 6" xfId="15499"/>
    <cellStyle name="40% - Accent3 27 3" xfId="11190"/>
    <cellStyle name="40% - Accent3 27 3 2" xfId="22478"/>
    <cellStyle name="40% - Accent3 27 4" xfId="9196"/>
    <cellStyle name="40% - Accent3 27 4 2" xfId="20484"/>
    <cellStyle name="40% - Accent3 27 5" xfId="7202"/>
    <cellStyle name="40% - Accent3 27 5 2" xfId="18490"/>
    <cellStyle name="40% - Accent3 27 6" xfId="5208"/>
    <cellStyle name="40% - Accent3 27 6 2" xfId="16496"/>
    <cellStyle name="40% - Accent3 27 7" xfId="14502"/>
    <cellStyle name="40% - Accent3 27 8" xfId="13188"/>
    <cellStyle name="40% - Accent3 28" xfId="1253"/>
    <cellStyle name="40% - Accent3 28 2" xfId="4209"/>
    <cellStyle name="40% - Accent3 28 2 2" xfId="12188"/>
    <cellStyle name="40% - Accent3 28 2 2 2" xfId="23476"/>
    <cellStyle name="40% - Accent3 28 2 3" xfId="10194"/>
    <cellStyle name="40% - Accent3 28 2 3 2" xfId="21482"/>
    <cellStyle name="40% - Accent3 28 2 4" xfId="8200"/>
    <cellStyle name="40% - Accent3 28 2 4 2" xfId="19488"/>
    <cellStyle name="40% - Accent3 28 2 5" xfId="6206"/>
    <cellStyle name="40% - Accent3 28 2 5 2" xfId="17494"/>
    <cellStyle name="40% - Accent3 28 2 6" xfId="15500"/>
    <cellStyle name="40% - Accent3 28 3" xfId="11191"/>
    <cellStyle name="40% - Accent3 28 3 2" xfId="22479"/>
    <cellStyle name="40% - Accent3 28 4" xfId="9197"/>
    <cellStyle name="40% - Accent3 28 4 2" xfId="20485"/>
    <cellStyle name="40% - Accent3 28 5" xfId="7203"/>
    <cellStyle name="40% - Accent3 28 5 2" xfId="18491"/>
    <cellStyle name="40% - Accent3 28 6" xfId="5209"/>
    <cellStyle name="40% - Accent3 28 6 2" xfId="16497"/>
    <cellStyle name="40% - Accent3 28 7" xfId="14503"/>
    <cellStyle name="40% - Accent3 28 8" xfId="13189"/>
    <cellStyle name="40% - Accent3 29" xfId="1254"/>
    <cellStyle name="40% - Accent3 29 2" xfId="4210"/>
    <cellStyle name="40% - Accent3 29 2 2" xfId="12189"/>
    <cellStyle name="40% - Accent3 29 2 2 2" xfId="23477"/>
    <cellStyle name="40% - Accent3 29 2 3" xfId="10195"/>
    <cellStyle name="40% - Accent3 29 2 3 2" xfId="21483"/>
    <cellStyle name="40% - Accent3 29 2 4" xfId="8201"/>
    <cellStyle name="40% - Accent3 29 2 4 2" xfId="19489"/>
    <cellStyle name="40% - Accent3 29 2 5" xfId="6207"/>
    <cellStyle name="40% - Accent3 29 2 5 2" xfId="17495"/>
    <cellStyle name="40% - Accent3 29 2 6" xfId="15501"/>
    <cellStyle name="40% - Accent3 29 3" xfId="11192"/>
    <cellStyle name="40% - Accent3 29 3 2" xfId="22480"/>
    <cellStyle name="40% - Accent3 29 4" xfId="9198"/>
    <cellStyle name="40% - Accent3 29 4 2" xfId="20486"/>
    <cellStyle name="40% - Accent3 29 5" xfId="7204"/>
    <cellStyle name="40% - Accent3 29 5 2" xfId="18492"/>
    <cellStyle name="40% - Accent3 29 6" xfId="5210"/>
    <cellStyle name="40% - Accent3 29 6 2" xfId="16498"/>
    <cellStyle name="40% - Accent3 29 7" xfId="14504"/>
    <cellStyle name="40% - Accent3 29 8" xfId="13190"/>
    <cellStyle name="40% - Accent3 3" xfId="1255"/>
    <cellStyle name="40% - Accent3 3 10" xfId="24608"/>
    <cellStyle name="40% - Accent3 3 11" xfId="24998"/>
    <cellStyle name="40% - Accent3 3 2" xfId="4211"/>
    <cellStyle name="40% - Accent3 3 2 2" xfId="12190"/>
    <cellStyle name="40% - Accent3 3 2 2 2" xfId="23478"/>
    <cellStyle name="40% - Accent3 3 2 3" xfId="10196"/>
    <cellStyle name="40% - Accent3 3 2 3 2" xfId="21484"/>
    <cellStyle name="40% - Accent3 3 2 4" xfId="8202"/>
    <cellStyle name="40% - Accent3 3 2 4 2" xfId="19490"/>
    <cellStyle name="40% - Accent3 3 2 5" xfId="6208"/>
    <cellStyle name="40% - Accent3 3 2 5 2" xfId="17496"/>
    <cellStyle name="40% - Accent3 3 2 6" xfId="15502"/>
    <cellStyle name="40% - Accent3 3 2 7" xfId="24369"/>
    <cellStyle name="40% - Accent3 3 2 8" xfId="24833"/>
    <cellStyle name="40% - Accent3 3 2 9" xfId="25200"/>
    <cellStyle name="40% - Accent3 3 3" xfId="11193"/>
    <cellStyle name="40% - Accent3 3 3 2" xfId="22481"/>
    <cellStyle name="40% - Accent3 3 4" xfId="9199"/>
    <cellStyle name="40% - Accent3 3 4 2" xfId="20487"/>
    <cellStyle name="40% - Accent3 3 5" xfId="7205"/>
    <cellStyle name="40% - Accent3 3 5 2" xfId="18493"/>
    <cellStyle name="40% - Accent3 3 6" xfId="5211"/>
    <cellStyle name="40% - Accent3 3 6 2" xfId="16499"/>
    <cellStyle name="40% - Accent3 3 7" xfId="14505"/>
    <cellStyle name="40% - Accent3 3 8" xfId="13191"/>
    <cellStyle name="40% - Accent3 3 9" xfId="23981"/>
    <cellStyle name="40% - Accent3 30" xfId="1256"/>
    <cellStyle name="40% - Accent3 30 2" xfId="4212"/>
    <cellStyle name="40% - Accent3 30 2 2" xfId="12191"/>
    <cellStyle name="40% - Accent3 30 2 2 2" xfId="23479"/>
    <cellStyle name="40% - Accent3 30 2 3" xfId="10197"/>
    <cellStyle name="40% - Accent3 30 2 3 2" xfId="21485"/>
    <cellStyle name="40% - Accent3 30 2 4" xfId="8203"/>
    <cellStyle name="40% - Accent3 30 2 4 2" xfId="19491"/>
    <cellStyle name="40% - Accent3 30 2 5" xfId="6209"/>
    <cellStyle name="40% - Accent3 30 2 5 2" xfId="17497"/>
    <cellStyle name="40% - Accent3 30 2 6" xfId="15503"/>
    <cellStyle name="40% - Accent3 30 3" xfId="11194"/>
    <cellStyle name="40% - Accent3 30 3 2" xfId="22482"/>
    <cellStyle name="40% - Accent3 30 4" xfId="9200"/>
    <cellStyle name="40% - Accent3 30 4 2" xfId="20488"/>
    <cellStyle name="40% - Accent3 30 5" xfId="7206"/>
    <cellStyle name="40% - Accent3 30 5 2" xfId="18494"/>
    <cellStyle name="40% - Accent3 30 6" xfId="5212"/>
    <cellStyle name="40% - Accent3 30 6 2" xfId="16500"/>
    <cellStyle name="40% - Accent3 30 7" xfId="14506"/>
    <cellStyle name="40% - Accent3 30 8" xfId="13192"/>
    <cellStyle name="40% - Accent3 31" xfId="1257"/>
    <cellStyle name="40% - Accent3 31 2" xfId="4213"/>
    <cellStyle name="40% - Accent3 31 2 2" xfId="12192"/>
    <cellStyle name="40% - Accent3 31 2 2 2" xfId="23480"/>
    <cellStyle name="40% - Accent3 31 2 3" xfId="10198"/>
    <cellStyle name="40% - Accent3 31 2 3 2" xfId="21486"/>
    <cellStyle name="40% - Accent3 31 2 4" xfId="8204"/>
    <cellStyle name="40% - Accent3 31 2 4 2" xfId="19492"/>
    <cellStyle name="40% - Accent3 31 2 5" xfId="6210"/>
    <cellStyle name="40% - Accent3 31 2 5 2" xfId="17498"/>
    <cellStyle name="40% - Accent3 31 2 6" xfId="15504"/>
    <cellStyle name="40% - Accent3 31 3" xfId="11195"/>
    <cellStyle name="40% - Accent3 31 3 2" xfId="22483"/>
    <cellStyle name="40% - Accent3 31 4" xfId="9201"/>
    <cellStyle name="40% - Accent3 31 4 2" xfId="20489"/>
    <cellStyle name="40% - Accent3 31 5" xfId="7207"/>
    <cellStyle name="40% - Accent3 31 5 2" xfId="18495"/>
    <cellStyle name="40% - Accent3 31 6" xfId="5213"/>
    <cellStyle name="40% - Accent3 31 6 2" xfId="16501"/>
    <cellStyle name="40% - Accent3 31 7" xfId="14507"/>
    <cellStyle name="40% - Accent3 31 8" xfId="13193"/>
    <cellStyle name="40% - Accent3 32" xfId="1258"/>
    <cellStyle name="40% - Accent3 32 2" xfId="4214"/>
    <cellStyle name="40% - Accent3 32 2 2" xfId="12193"/>
    <cellStyle name="40% - Accent3 32 2 2 2" xfId="23481"/>
    <cellStyle name="40% - Accent3 32 2 3" xfId="10199"/>
    <cellStyle name="40% - Accent3 32 2 3 2" xfId="21487"/>
    <cellStyle name="40% - Accent3 32 2 4" xfId="8205"/>
    <cellStyle name="40% - Accent3 32 2 4 2" xfId="19493"/>
    <cellStyle name="40% - Accent3 32 2 5" xfId="6211"/>
    <cellStyle name="40% - Accent3 32 2 5 2" xfId="17499"/>
    <cellStyle name="40% - Accent3 32 2 6" xfId="15505"/>
    <cellStyle name="40% - Accent3 32 3" xfId="11196"/>
    <cellStyle name="40% - Accent3 32 3 2" xfId="22484"/>
    <cellStyle name="40% - Accent3 32 4" xfId="9202"/>
    <cellStyle name="40% - Accent3 32 4 2" xfId="20490"/>
    <cellStyle name="40% - Accent3 32 5" xfId="7208"/>
    <cellStyle name="40% - Accent3 32 5 2" xfId="18496"/>
    <cellStyle name="40% - Accent3 32 6" xfId="5214"/>
    <cellStyle name="40% - Accent3 32 6 2" xfId="16502"/>
    <cellStyle name="40% - Accent3 32 7" xfId="14508"/>
    <cellStyle name="40% - Accent3 32 8" xfId="13194"/>
    <cellStyle name="40% - Accent3 33" xfId="1259"/>
    <cellStyle name="40% - Accent3 33 2" xfId="4215"/>
    <cellStyle name="40% - Accent3 33 2 2" xfId="12194"/>
    <cellStyle name="40% - Accent3 33 2 2 2" xfId="23482"/>
    <cellStyle name="40% - Accent3 33 2 3" xfId="10200"/>
    <cellStyle name="40% - Accent3 33 2 3 2" xfId="21488"/>
    <cellStyle name="40% - Accent3 33 2 4" xfId="8206"/>
    <cellStyle name="40% - Accent3 33 2 4 2" xfId="19494"/>
    <cellStyle name="40% - Accent3 33 2 5" xfId="6212"/>
    <cellStyle name="40% - Accent3 33 2 5 2" xfId="17500"/>
    <cellStyle name="40% - Accent3 33 2 6" xfId="15506"/>
    <cellStyle name="40% - Accent3 33 3" xfId="11197"/>
    <cellStyle name="40% - Accent3 33 3 2" xfId="22485"/>
    <cellStyle name="40% - Accent3 33 4" xfId="9203"/>
    <cellStyle name="40% - Accent3 33 4 2" xfId="20491"/>
    <cellStyle name="40% - Accent3 33 5" xfId="7209"/>
    <cellStyle name="40% - Accent3 33 5 2" xfId="18497"/>
    <cellStyle name="40% - Accent3 33 6" xfId="5215"/>
    <cellStyle name="40% - Accent3 33 6 2" xfId="16503"/>
    <cellStyle name="40% - Accent3 33 7" xfId="14509"/>
    <cellStyle name="40% - Accent3 33 8" xfId="13195"/>
    <cellStyle name="40% - Accent3 34" xfId="1260"/>
    <cellStyle name="40% - Accent3 34 2" xfId="4216"/>
    <cellStyle name="40% - Accent3 34 2 2" xfId="12195"/>
    <cellStyle name="40% - Accent3 34 2 2 2" xfId="23483"/>
    <cellStyle name="40% - Accent3 34 2 3" xfId="10201"/>
    <cellStyle name="40% - Accent3 34 2 3 2" xfId="21489"/>
    <cellStyle name="40% - Accent3 34 2 4" xfId="8207"/>
    <cellStyle name="40% - Accent3 34 2 4 2" xfId="19495"/>
    <cellStyle name="40% - Accent3 34 2 5" xfId="6213"/>
    <cellStyle name="40% - Accent3 34 2 5 2" xfId="17501"/>
    <cellStyle name="40% - Accent3 34 2 6" xfId="15507"/>
    <cellStyle name="40% - Accent3 34 3" xfId="11198"/>
    <cellStyle name="40% - Accent3 34 3 2" xfId="22486"/>
    <cellStyle name="40% - Accent3 34 4" xfId="9204"/>
    <cellStyle name="40% - Accent3 34 4 2" xfId="20492"/>
    <cellStyle name="40% - Accent3 34 5" xfId="7210"/>
    <cellStyle name="40% - Accent3 34 5 2" xfId="18498"/>
    <cellStyle name="40% - Accent3 34 6" xfId="5216"/>
    <cellStyle name="40% - Accent3 34 6 2" xfId="16504"/>
    <cellStyle name="40% - Accent3 34 7" xfId="14510"/>
    <cellStyle name="40% - Accent3 34 8" xfId="13196"/>
    <cellStyle name="40% - Accent3 35" xfId="1261"/>
    <cellStyle name="40% - Accent3 35 2" xfId="4217"/>
    <cellStyle name="40% - Accent3 35 2 2" xfId="12196"/>
    <cellStyle name="40% - Accent3 35 2 2 2" xfId="23484"/>
    <cellStyle name="40% - Accent3 35 2 3" xfId="10202"/>
    <cellStyle name="40% - Accent3 35 2 3 2" xfId="21490"/>
    <cellStyle name="40% - Accent3 35 2 4" xfId="8208"/>
    <cellStyle name="40% - Accent3 35 2 4 2" xfId="19496"/>
    <cellStyle name="40% - Accent3 35 2 5" xfId="6214"/>
    <cellStyle name="40% - Accent3 35 2 5 2" xfId="17502"/>
    <cellStyle name="40% - Accent3 35 2 6" xfId="15508"/>
    <cellStyle name="40% - Accent3 35 3" xfId="11199"/>
    <cellStyle name="40% - Accent3 35 3 2" xfId="22487"/>
    <cellStyle name="40% - Accent3 35 4" xfId="9205"/>
    <cellStyle name="40% - Accent3 35 4 2" xfId="20493"/>
    <cellStyle name="40% - Accent3 35 5" xfId="7211"/>
    <cellStyle name="40% - Accent3 35 5 2" xfId="18499"/>
    <cellStyle name="40% - Accent3 35 6" xfId="5217"/>
    <cellStyle name="40% - Accent3 35 6 2" xfId="16505"/>
    <cellStyle name="40% - Accent3 35 7" xfId="14511"/>
    <cellStyle name="40% - Accent3 35 8" xfId="13197"/>
    <cellStyle name="40% - Accent3 36" xfId="1262"/>
    <cellStyle name="40% - Accent3 36 2" xfId="4218"/>
    <cellStyle name="40% - Accent3 36 2 2" xfId="12197"/>
    <cellStyle name="40% - Accent3 36 2 2 2" xfId="23485"/>
    <cellStyle name="40% - Accent3 36 2 3" xfId="10203"/>
    <cellStyle name="40% - Accent3 36 2 3 2" xfId="21491"/>
    <cellStyle name="40% - Accent3 36 2 4" xfId="8209"/>
    <cellStyle name="40% - Accent3 36 2 4 2" xfId="19497"/>
    <cellStyle name="40% - Accent3 36 2 5" xfId="6215"/>
    <cellStyle name="40% - Accent3 36 2 5 2" xfId="17503"/>
    <cellStyle name="40% - Accent3 36 2 6" xfId="15509"/>
    <cellStyle name="40% - Accent3 36 3" xfId="11200"/>
    <cellStyle name="40% - Accent3 36 3 2" xfId="22488"/>
    <cellStyle name="40% - Accent3 36 4" xfId="9206"/>
    <cellStyle name="40% - Accent3 36 4 2" xfId="20494"/>
    <cellStyle name="40% - Accent3 36 5" xfId="7212"/>
    <cellStyle name="40% - Accent3 36 5 2" xfId="18500"/>
    <cellStyle name="40% - Accent3 36 6" xfId="5218"/>
    <cellStyle name="40% - Accent3 36 6 2" xfId="16506"/>
    <cellStyle name="40% - Accent3 36 7" xfId="14512"/>
    <cellStyle name="40% - Accent3 36 8" xfId="13198"/>
    <cellStyle name="40% - Accent3 37" xfId="1263"/>
    <cellStyle name="40% - Accent3 37 2" xfId="4219"/>
    <cellStyle name="40% - Accent3 37 2 2" xfId="12198"/>
    <cellStyle name="40% - Accent3 37 2 2 2" xfId="23486"/>
    <cellStyle name="40% - Accent3 37 2 3" xfId="10204"/>
    <cellStyle name="40% - Accent3 37 2 3 2" xfId="21492"/>
    <cellStyle name="40% - Accent3 37 2 4" xfId="8210"/>
    <cellStyle name="40% - Accent3 37 2 4 2" xfId="19498"/>
    <cellStyle name="40% - Accent3 37 2 5" xfId="6216"/>
    <cellStyle name="40% - Accent3 37 2 5 2" xfId="17504"/>
    <cellStyle name="40% - Accent3 37 2 6" xfId="15510"/>
    <cellStyle name="40% - Accent3 37 3" xfId="11201"/>
    <cellStyle name="40% - Accent3 37 3 2" xfId="22489"/>
    <cellStyle name="40% - Accent3 37 4" xfId="9207"/>
    <cellStyle name="40% - Accent3 37 4 2" xfId="20495"/>
    <cellStyle name="40% - Accent3 37 5" xfId="7213"/>
    <cellStyle name="40% - Accent3 37 5 2" xfId="18501"/>
    <cellStyle name="40% - Accent3 37 6" xfId="5219"/>
    <cellStyle name="40% - Accent3 37 6 2" xfId="16507"/>
    <cellStyle name="40% - Accent3 37 7" xfId="14513"/>
    <cellStyle name="40% - Accent3 37 8" xfId="13199"/>
    <cellStyle name="40% - Accent3 38" xfId="1264"/>
    <cellStyle name="40% - Accent3 38 2" xfId="4220"/>
    <cellStyle name="40% - Accent3 38 2 2" xfId="12199"/>
    <cellStyle name="40% - Accent3 38 2 2 2" xfId="23487"/>
    <cellStyle name="40% - Accent3 38 2 3" xfId="10205"/>
    <cellStyle name="40% - Accent3 38 2 3 2" xfId="21493"/>
    <cellStyle name="40% - Accent3 38 2 4" xfId="8211"/>
    <cellStyle name="40% - Accent3 38 2 4 2" xfId="19499"/>
    <cellStyle name="40% - Accent3 38 2 5" xfId="6217"/>
    <cellStyle name="40% - Accent3 38 2 5 2" xfId="17505"/>
    <cellStyle name="40% - Accent3 38 2 6" xfId="15511"/>
    <cellStyle name="40% - Accent3 38 3" xfId="11202"/>
    <cellStyle name="40% - Accent3 38 3 2" xfId="22490"/>
    <cellStyle name="40% - Accent3 38 4" xfId="9208"/>
    <cellStyle name="40% - Accent3 38 4 2" xfId="20496"/>
    <cellStyle name="40% - Accent3 38 5" xfId="7214"/>
    <cellStyle name="40% - Accent3 38 5 2" xfId="18502"/>
    <cellStyle name="40% - Accent3 38 6" xfId="5220"/>
    <cellStyle name="40% - Accent3 38 6 2" xfId="16508"/>
    <cellStyle name="40% - Accent3 38 7" xfId="14514"/>
    <cellStyle name="40% - Accent3 38 8" xfId="13200"/>
    <cellStyle name="40% - Accent3 39" xfId="1265"/>
    <cellStyle name="40% - Accent3 39 2" xfId="4221"/>
    <cellStyle name="40% - Accent3 39 2 2" xfId="12200"/>
    <cellStyle name="40% - Accent3 39 2 2 2" xfId="23488"/>
    <cellStyle name="40% - Accent3 39 2 3" xfId="10206"/>
    <cellStyle name="40% - Accent3 39 2 3 2" xfId="21494"/>
    <cellStyle name="40% - Accent3 39 2 4" xfId="8212"/>
    <cellStyle name="40% - Accent3 39 2 4 2" xfId="19500"/>
    <cellStyle name="40% - Accent3 39 2 5" xfId="6218"/>
    <cellStyle name="40% - Accent3 39 2 5 2" xfId="17506"/>
    <cellStyle name="40% - Accent3 39 2 6" xfId="15512"/>
    <cellStyle name="40% - Accent3 39 3" xfId="11203"/>
    <cellStyle name="40% - Accent3 39 3 2" xfId="22491"/>
    <cellStyle name="40% - Accent3 39 4" xfId="9209"/>
    <cellStyle name="40% - Accent3 39 4 2" xfId="20497"/>
    <cellStyle name="40% - Accent3 39 5" xfId="7215"/>
    <cellStyle name="40% - Accent3 39 5 2" xfId="18503"/>
    <cellStyle name="40% - Accent3 39 6" xfId="5221"/>
    <cellStyle name="40% - Accent3 39 6 2" xfId="16509"/>
    <cellStyle name="40% - Accent3 39 7" xfId="14515"/>
    <cellStyle name="40% - Accent3 39 8" xfId="13201"/>
    <cellStyle name="40% - Accent3 4" xfId="1266"/>
    <cellStyle name="40% - Accent3 4 10" xfId="24609"/>
    <cellStyle name="40% - Accent3 4 11" xfId="24999"/>
    <cellStyle name="40% - Accent3 4 2" xfId="4222"/>
    <cellStyle name="40% - Accent3 4 2 2" xfId="12201"/>
    <cellStyle name="40% - Accent3 4 2 2 2" xfId="23489"/>
    <cellStyle name="40% - Accent3 4 2 3" xfId="10207"/>
    <cellStyle name="40% - Accent3 4 2 3 2" xfId="21495"/>
    <cellStyle name="40% - Accent3 4 2 4" xfId="8213"/>
    <cellStyle name="40% - Accent3 4 2 4 2" xfId="19501"/>
    <cellStyle name="40% - Accent3 4 2 5" xfId="6219"/>
    <cellStyle name="40% - Accent3 4 2 5 2" xfId="17507"/>
    <cellStyle name="40% - Accent3 4 2 6" xfId="15513"/>
    <cellStyle name="40% - Accent3 4 2 7" xfId="24370"/>
    <cellStyle name="40% - Accent3 4 2 8" xfId="24834"/>
    <cellStyle name="40% - Accent3 4 2 9" xfId="25201"/>
    <cellStyle name="40% - Accent3 4 3" xfId="11204"/>
    <cellStyle name="40% - Accent3 4 3 2" xfId="22492"/>
    <cellStyle name="40% - Accent3 4 4" xfId="9210"/>
    <cellStyle name="40% - Accent3 4 4 2" xfId="20498"/>
    <cellStyle name="40% - Accent3 4 5" xfId="7216"/>
    <cellStyle name="40% - Accent3 4 5 2" xfId="18504"/>
    <cellStyle name="40% - Accent3 4 6" xfId="5222"/>
    <cellStyle name="40% - Accent3 4 6 2" xfId="16510"/>
    <cellStyle name="40% - Accent3 4 7" xfId="14516"/>
    <cellStyle name="40% - Accent3 4 8" xfId="13202"/>
    <cellStyle name="40% - Accent3 4 9" xfId="23982"/>
    <cellStyle name="40% - Accent3 40" xfId="1267"/>
    <cellStyle name="40% - Accent3 40 2" xfId="4223"/>
    <cellStyle name="40% - Accent3 40 2 2" xfId="12202"/>
    <cellStyle name="40% - Accent3 40 2 2 2" xfId="23490"/>
    <cellStyle name="40% - Accent3 40 2 3" xfId="10208"/>
    <cellStyle name="40% - Accent3 40 2 3 2" xfId="21496"/>
    <cellStyle name="40% - Accent3 40 2 4" xfId="8214"/>
    <cellStyle name="40% - Accent3 40 2 4 2" xfId="19502"/>
    <cellStyle name="40% - Accent3 40 2 5" xfId="6220"/>
    <cellStyle name="40% - Accent3 40 2 5 2" xfId="17508"/>
    <cellStyle name="40% - Accent3 40 2 6" xfId="15514"/>
    <cellStyle name="40% - Accent3 40 3" xfId="11205"/>
    <cellStyle name="40% - Accent3 40 3 2" xfId="22493"/>
    <cellStyle name="40% - Accent3 40 4" xfId="9211"/>
    <cellStyle name="40% - Accent3 40 4 2" xfId="20499"/>
    <cellStyle name="40% - Accent3 40 5" xfId="7217"/>
    <cellStyle name="40% - Accent3 40 5 2" xfId="18505"/>
    <cellStyle name="40% - Accent3 40 6" xfId="5223"/>
    <cellStyle name="40% - Accent3 40 6 2" xfId="16511"/>
    <cellStyle name="40% - Accent3 40 7" xfId="14517"/>
    <cellStyle name="40% - Accent3 40 8" xfId="13203"/>
    <cellStyle name="40% - Accent3 41" xfId="1268"/>
    <cellStyle name="40% - Accent3 41 2" xfId="4224"/>
    <cellStyle name="40% - Accent3 41 2 2" xfId="12203"/>
    <cellStyle name="40% - Accent3 41 2 2 2" xfId="23491"/>
    <cellStyle name="40% - Accent3 41 2 3" xfId="10209"/>
    <cellStyle name="40% - Accent3 41 2 3 2" xfId="21497"/>
    <cellStyle name="40% - Accent3 41 2 4" xfId="8215"/>
    <cellStyle name="40% - Accent3 41 2 4 2" xfId="19503"/>
    <cellStyle name="40% - Accent3 41 2 5" xfId="6221"/>
    <cellStyle name="40% - Accent3 41 2 5 2" xfId="17509"/>
    <cellStyle name="40% - Accent3 41 2 6" xfId="15515"/>
    <cellStyle name="40% - Accent3 41 3" xfId="11206"/>
    <cellStyle name="40% - Accent3 41 3 2" xfId="22494"/>
    <cellStyle name="40% - Accent3 41 4" xfId="9212"/>
    <cellStyle name="40% - Accent3 41 4 2" xfId="20500"/>
    <cellStyle name="40% - Accent3 41 5" xfId="7218"/>
    <cellStyle name="40% - Accent3 41 5 2" xfId="18506"/>
    <cellStyle name="40% - Accent3 41 6" xfId="5224"/>
    <cellStyle name="40% - Accent3 41 6 2" xfId="16512"/>
    <cellStyle name="40% - Accent3 41 7" xfId="14518"/>
    <cellStyle name="40% - Accent3 41 8" xfId="13204"/>
    <cellStyle name="40% - Accent3 42" xfId="1269"/>
    <cellStyle name="40% - Accent3 42 2" xfId="4225"/>
    <cellStyle name="40% - Accent3 42 2 2" xfId="12204"/>
    <cellStyle name="40% - Accent3 42 2 2 2" xfId="23492"/>
    <cellStyle name="40% - Accent3 42 2 3" xfId="10210"/>
    <cellStyle name="40% - Accent3 42 2 3 2" xfId="21498"/>
    <cellStyle name="40% - Accent3 42 2 4" xfId="8216"/>
    <cellStyle name="40% - Accent3 42 2 4 2" xfId="19504"/>
    <cellStyle name="40% - Accent3 42 2 5" xfId="6222"/>
    <cellStyle name="40% - Accent3 42 2 5 2" xfId="17510"/>
    <cellStyle name="40% - Accent3 42 2 6" xfId="15516"/>
    <cellStyle name="40% - Accent3 42 3" xfId="11207"/>
    <cellStyle name="40% - Accent3 42 3 2" xfId="22495"/>
    <cellStyle name="40% - Accent3 42 4" xfId="9213"/>
    <cellStyle name="40% - Accent3 42 4 2" xfId="20501"/>
    <cellStyle name="40% - Accent3 42 5" xfId="7219"/>
    <cellStyle name="40% - Accent3 42 5 2" xfId="18507"/>
    <cellStyle name="40% - Accent3 42 6" xfId="5225"/>
    <cellStyle name="40% - Accent3 42 6 2" xfId="16513"/>
    <cellStyle name="40% - Accent3 42 7" xfId="14519"/>
    <cellStyle name="40% - Accent3 42 8" xfId="13205"/>
    <cellStyle name="40% - Accent3 43" xfId="1270"/>
    <cellStyle name="40% - Accent3 43 2" xfId="4226"/>
    <cellStyle name="40% - Accent3 43 2 2" xfId="12205"/>
    <cellStyle name="40% - Accent3 43 2 2 2" xfId="23493"/>
    <cellStyle name="40% - Accent3 43 2 3" xfId="10211"/>
    <cellStyle name="40% - Accent3 43 2 3 2" xfId="21499"/>
    <cellStyle name="40% - Accent3 43 2 4" xfId="8217"/>
    <cellStyle name="40% - Accent3 43 2 4 2" xfId="19505"/>
    <cellStyle name="40% - Accent3 43 2 5" xfId="6223"/>
    <cellStyle name="40% - Accent3 43 2 5 2" xfId="17511"/>
    <cellStyle name="40% - Accent3 43 2 6" xfId="15517"/>
    <cellStyle name="40% - Accent3 43 3" xfId="11208"/>
    <cellStyle name="40% - Accent3 43 3 2" xfId="22496"/>
    <cellStyle name="40% - Accent3 43 4" xfId="9214"/>
    <cellStyle name="40% - Accent3 43 4 2" xfId="20502"/>
    <cellStyle name="40% - Accent3 43 5" xfId="7220"/>
    <cellStyle name="40% - Accent3 43 5 2" xfId="18508"/>
    <cellStyle name="40% - Accent3 43 6" xfId="5226"/>
    <cellStyle name="40% - Accent3 43 6 2" xfId="16514"/>
    <cellStyle name="40% - Accent3 43 7" xfId="14520"/>
    <cellStyle name="40% - Accent3 43 8" xfId="13206"/>
    <cellStyle name="40% - Accent3 44" xfId="1271"/>
    <cellStyle name="40% - Accent3 44 2" xfId="4227"/>
    <cellStyle name="40% - Accent3 44 2 2" xfId="12206"/>
    <cellStyle name="40% - Accent3 44 2 2 2" xfId="23494"/>
    <cellStyle name="40% - Accent3 44 2 3" xfId="10212"/>
    <cellStyle name="40% - Accent3 44 2 3 2" xfId="21500"/>
    <cellStyle name="40% - Accent3 44 2 4" xfId="8218"/>
    <cellStyle name="40% - Accent3 44 2 4 2" xfId="19506"/>
    <cellStyle name="40% - Accent3 44 2 5" xfId="6224"/>
    <cellStyle name="40% - Accent3 44 2 5 2" xfId="17512"/>
    <cellStyle name="40% - Accent3 44 2 6" xfId="15518"/>
    <cellStyle name="40% - Accent3 44 3" xfId="11209"/>
    <cellStyle name="40% - Accent3 44 3 2" xfId="22497"/>
    <cellStyle name="40% - Accent3 44 4" xfId="9215"/>
    <cellStyle name="40% - Accent3 44 4 2" xfId="20503"/>
    <cellStyle name="40% - Accent3 44 5" xfId="7221"/>
    <cellStyle name="40% - Accent3 44 5 2" xfId="18509"/>
    <cellStyle name="40% - Accent3 44 6" xfId="5227"/>
    <cellStyle name="40% - Accent3 44 6 2" xfId="16515"/>
    <cellStyle name="40% - Accent3 44 7" xfId="14521"/>
    <cellStyle name="40% - Accent3 44 8" xfId="13207"/>
    <cellStyle name="40% - Accent3 45" xfId="1272"/>
    <cellStyle name="40% - Accent3 45 2" xfId="4228"/>
    <cellStyle name="40% - Accent3 45 2 2" xfId="12207"/>
    <cellStyle name="40% - Accent3 45 2 2 2" xfId="23495"/>
    <cellStyle name="40% - Accent3 45 2 3" xfId="10213"/>
    <cellStyle name="40% - Accent3 45 2 3 2" xfId="21501"/>
    <cellStyle name="40% - Accent3 45 2 4" xfId="8219"/>
    <cellStyle name="40% - Accent3 45 2 4 2" xfId="19507"/>
    <cellStyle name="40% - Accent3 45 2 5" xfId="6225"/>
    <cellStyle name="40% - Accent3 45 2 5 2" xfId="17513"/>
    <cellStyle name="40% - Accent3 45 2 6" xfId="15519"/>
    <cellStyle name="40% - Accent3 45 3" xfId="11210"/>
    <cellStyle name="40% - Accent3 45 3 2" xfId="22498"/>
    <cellStyle name="40% - Accent3 45 4" xfId="9216"/>
    <cellStyle name="40% - Accent3 45 4 2" xfId="20504"/>
    <cellStyle name="40% - Accent3 45 5" xfId="7222"/>
    <cellStyle name="40% - Accent3 45 5 2" xfId="18510"/>
    <cellStyle name="40% - Accent3 45 6" xfId="5228"/>
    <cellStyle name="40% - Accent3 45 6 2" xfId="16516"/>
    <cellStyle name="40% - Accent3 45 7" xfId="14522"/>
    <cellStyle name="40% - Accent3 45 8" xfId="13208"/>
    <cellStyle name="40% - Accent3 46" xfId="1273"/>
    <cellStyle name="40% - Accent3 46 2" xfId="4229"/>
    <cellStyle name="40% - Accent3 46 2 2" xfId="12208"/>
    <cellStyle name="40% - Accent3 46 2 2 2" xfId="23496"/>
    <cellStyle name="40% - Accent3 46 2 3" xfId="10214"/>
    <cellStyle name="40% - Accent3 46 2 3 2" xfId="21502"/>
    <cellStyle name="40% - Accent3 46 2 4" xfId="8220"/>
    <cellStyle name="40% - Accent3 46 2 4 2" xfId="19508"/>
    <cellStyle name="40% - Accent3 46 2 5" xfId="6226"/>
    <cellStyle name="40% - Accent3 46 2 5 2" xfId="17514"/>
    <cellStyle name="40% - Accent3 46 2 6" xfId="15520"/>
    <cellStyle name="40% - Accent3 46 3" xfId="11211"/>
    <cellStyle name="40% - Accent3 46 3 2" xfId="22499"/>
    <cellStyle name="40% - Accent3 46 4" xfId="9217"/>
    <cellStyle name="40% - Accent3 46 4 2" xfId="20505"/>
    <cellStyle name="40% - Accent3 46 5" xfId="7223"/>
    <cellStyle name="40% - Accent3 46 5 2" xfId="18511"/>
    <cellStyle name="40% - Accent3 46 6" xfId="5229"/>
    <cellStyle name="40% - Accent3 46 6 2" xfId="16517"/>
    <cellStyle name="40% - Accent3 46 7" xfId="14523"/>
    <cellStyle name="40% - Accent3 46 8" xfId="13209"/>
    <cellStyle name="40% - Accent3 47" xfId="1274"/>
    <cellStyle name="40% - Accent3 47 2" xfId="4230"/>
    <cellStyle name="40% - Accent3 47 2 2" xfId="12209"/>
    <cellStyle name="40% - Accent3 47 2 2 2" xfId="23497"/>
    <cellStyle name="40% - Accent3 47 2 3" xfId="10215"/>
    <cellStyle name="40% - Accent3 47 2 3 2" xfId="21503"/>
    <cellStyle name="40% - Accent3 47 2 4" xfId="8221"/>
    <cellStyle name="40% - Accent3 47 2 4 2" xfId="19509"/>
    <cellStyle name="40% - Accent3 47 2 5" xfId="6227"/>
    <cellStyle name="40% - Accent3 47 2 5 2" xfId="17515"/>
    <cellStyle name="40% - Accent3 47 2 6" xfId="15521"/>
    <cellStyle name="40% - Accent3 47 3" xfId="11212"/>
    <cellStyle name="40% - Accent3 47 3 2" xfId="22500"/>
    <cellStyle name="40% - Accent3 47 4" xfId="9218"/>
    <cellStyle name="40% - Accent3 47 4 2" xfId="20506"/>
    <cellStyle name="40% - Accent3 47 5" xfId="7224"/>
    <cellStyle name="40% - Accent3 47 5 2" xfId="18512"/>
    <cellStyle name="40% - Accent3 47 6" xfId="5230"/>
    <cellStyle name="40% - Accent3 47 6 2" xfId="16518"/>
    <cellStyle name="40% - Accent3 47 7" xfId="14524"/>
    <cellStyle name="40% - Accent3 47 8" xfId="13210"/>
    <cellStyle name="40% - Accent3 48" xfId="1275"/>
    <cellStyle name="40% - Accent3 48 2" xfId="4231"/>
    <cellStyle name="40% - Accent3 48 2 2" xfId="12210"/>
    <cellStyle name="40% - Accent3 48 2 2 2" xfId="23498"/>
    <cellStyle name="40% - Accent3 48 2 3" xfId="10216"/>
    <cellStyle name="40% - Accent3 48 2 3 2" xfId="21504"/>
    <cellStyle name="40% - Accent3 48 2 4" xfId="8222"/>
    <cellStyle name="40% - Accent3 48 2 4 2" xfId="19510"/>
    <cellStyle name="40% - Accent3 48 2 5" xfId="6228"/>
    <cellStyle name="40% - Accent3 48 2 5 2" xfId="17516"/>
    <cellStyle name="40% - Accent3 48 2 6" xfId="15522"/>
    <cellStyle name="40% - Accent3 48 3" xfId="11213"/>
    <cellStyle name="40% - Accent3 48 3 2" xfId="22501"/>
    <cellStyle name="40% - Accent3 48 4" xfId="9219"/>
    <cellStyle name="40% - Accent3 48 4 2" xfId="20507"/>
    <cellStyle name="40% - Accent3 48 5" xfId="7225"/>
    <cellStyle name="40% - Accent3 48 5 2" xfId="18513"/>
    <cellStyle name="40% - Accent3 48 6" xfId="5231"/>
    <cellStyle name="40% - Accent3 48 6 2" xfId="16519"/>
    <cellStyle name="40% - Accent3 48 7" xfId="14525"/>
    <cellStyle name="40% - Accent3 48 8" xfId="13211"/>
    <cellStyle name="40% - Accent3 49" xfId="1276"/>
    <cellStyle name="40% - Accent3 49 2" xfId="4232"/>
    <cellStyle name="40% - Accent3 49 2 2" xfId="12211"/>
    <cellStyle name="40% - Accent3 49 2 2 2" xfId="23499"/>
    <cellStyle name="40% - Accent3 49 2 3" xfId="10217"/>
    <cellStyle name="40% - Accent3 49 2 3 2" xfId="21505"/>
    <cellStyle name="40% - Accent3 49 2 4" xfId="8223"/>
    <cellStyle name="40% - Accent3 49 2 4 2" xfId="19511"/>
    <cellStyle name="40% - Accent3 49 2 5" xfId="6229"/>
    <cellStyle name="40% - Accent3 49 2 5 2" xfId="17517"/>
    <cellStyle name="40% - Accent3 49 2 6" xfId="15523"/>
    <cellStyle name="40% - Accent3 49 3" xfId="11214"/>
    <cellStyle name="40% - Accent3 49 3 2" xfId="22502"/>
    <cellStyle name="40% - Accent3 49 4" xfId="9220"/>
    <cellStyle name="40% - Accent3 49 4 2" xfId="20508"/>
    <cellStyle name="40% - Accent3 49 5" xfId="7226"/>
    <cellStyle name="40% - Accent3 49 5 2" xfId="18514"/>
    <cellStyle name="40% - Accent3 49 6" xfId="5232"/>
    <cellStyle name="40% - Accent3 49 6 2" xfId="16520"/>
    <cellStyle name="40% - Accent3 49 7" xfId="14526"/>
    <cellStyle name="40% - Accent3 49 8" xfId="13212"/>
    <cellStyle name="40% - Accent3 5" xfId="1277"/>
    <cellStyle name="40% - Accent3 5 10" xfId="24610"/>
    <cellStyle name="40% - Accent3 5 11" xfId="25000"/>
    <cellStyle name="40% - Accent3 5 2" xfId="4233"/>
    <cellStyle name="40% - Accent3 5 2 2" xfId="12212"/>
    <cellStyle name="40% - Accent3 5 2 2 2" xfId="23500"/>
    <cellStyle name="40% - Accent3 5 2 3" xfId="10218"/>
    <cellStyle name="40% - Accent3 5 2 3 2" xfId="21506"/>
    <cellStyle name="40% - Accent3 5 2 4" xfId="8224"/>
    <cellStyle name="40% - Accent3 5 2 4 2" xfId="19512"/>
    <cellStyle name="40% - Accent3 5 2 5" xfId="6230"/>
    <cellStyle name="40% - Accent3 5 2 5 2" xfId="17518"/>
    <cellStyle name="40% - Accent3 5 2 6" xfId="15524"/>
    <cellStyle name="40% - Accent3 5 2 7" xfId="24371"/>
    <cellStyle name="40% - Accent3 5 2 8" xfId="24835"/>
    <cellStyle name="40% - Accent3 5 2 9" xfId="25202"/>
    <cellStyle name="40% - Accent3 5 3" xfId="11215"/>
    <cellStyle name="40% - Accent3 5 3 2" xfId="22503"/>
    <cellStyle name="40% - Accent3 5 4" xfId="9221"/>
    <cellStyle name="40% - Accent3 5 4 2" xfId="20509"/>
    <cellStyle name="40% - Accent3 5 5" xfId="7227"/>
    <cellStyle name="40% - Accent3 5 5 2" xfId="18515"/>
    <cellStyle name="40% - Accent3 5 6" xfId="5233"/>
    <cellStyle name="40% - Accent3 5 6 2" xfId="16521"/>
    <cellStyle name="40% - Accent3 5 7" xfId="14527"/>
    <cellStyle name="40% - Accent3 5 8" xfId="13213"/>
    <cellStyle name="40% - Accent3 5 9" xfId="23983"/>
    <cellStyle name="40% - Accent3 50" xfId="1278"/>
    <cellStyle name="40% - Accent3 50 2" xfId="4234"/>
    <cellStyle name="40% - Accent3 50 2 2" xfId="12213"/>
    <cellStyle name="40% - Accent3 50 2 2 2" xfId="23501"/>
    <cellStyle name="40% - Accent3 50 2 3" xfId="10219"/>
    <cellStyle name="40% - Accent3 50 2 3 2" xfId="21507"/>
    <cellStyle name="40% - Accent3 50 2 4" xfId="8225"/>
    <cellStyle name="40% - Accent3 50 2 4 2" xfId="19513"/>
    <cellStyle name="40% - Accent3 50 2 5" xfId="6231"/>
    <cellStyle name="40% - Accent3 50 2 5 2" xfId="17519"/>
    <cellStyle name="40% - Accent3 50 2 6" xfId="15525"/>
    <cellStyle name="40% - Accent3 50 3" xfId="11216"/>
    <cellStyle name="40% - Accent3 50 3 2" xfId="22504"/>
    <cellStyle name="40% - Accent3 50 4" xfId="9222"/>
    <cellStyle name="40% - Accent3 50 4 2" xfId="20510"/>
    <cellStyle name="40% - Accent3 50 5" xfId="7228"/>
    <cellStyle name="40% - Accent3 50 5 2" xfId="18516"/>
    <cellStyle name="40% - Accent3 50 6" xfId="5234"/>
    <cellStyle name="40% - Accent3 50 6 2" xfId="16522"/>
    <cellStyle name="40% - Accent3 50 7" xfId="14528"/>
    <cellStyle name="40% - Accent3 50 8" xfId="13214"/>
    <cellStyle name="40% - Accent3 51" xfId="1279"/>
    <cellStyle name="40% - Accent3 51 2" xfId="4235"/>
    <cellStyle name="40% - Accent3 51 2 2" xfId="12214"/>
    <cellStyle name="40% - Accent3 51 2 2 2" xfId="23502"/>
    <cellStyle name="40% - Accent3 51 2 3" xfId="10220"/>
    <cellStyle name="40% - Accent3 51 2 3 2" xfId="21508"/>
    <cellStyle name="40% - Accent3 51 2 4" xfId="8226"/>
    <cellStyle name="40% - Accent3 51 2 4 2" xfId="19514"/>
    <cellStyle name="40% - Accent3 51 2 5" xfId="6232"/>
    <cellStyle name="40% - Accent3 51 2 5 2" xfId="17520"/>
    <cellStyle name="40% - Accent3 51 2 6" xfId="15526"/>
    <cellStyle name="40% - Accent3 51 3" xfId="11217"/>
    <cellStyle name="40% - Accent3 51 3 2" xfId="22505"/>
    <cellStyle name="40% - Accent3 51 4" xfId="9223"/>
    <cellStyle name="40% - Accent3 51 4 2" xfId="20511"/>
    <cellStyle name="40% - Accent3 51 5" xfId="7229"/>
    <cellStyle name="40% - Accent3 51 5 2" xfId="18517"/>
    <cellStyle name="40% - Accent3 51 6" xfId="5235"/>
    <cellStyle name="40% - Accent3 51 6 2" xfId="16523"/>
    <cellStyle name="40% - Accent3 51 7" xfId="14529"/>
    <cellStyle name="40% - Accent3 51 8" xfId="13215"/>
    <cellStyle name="40% - Accent3 52" xfId="1280"/>
    <cellStyle name="40% - Accent3 52 2" xfId="4236"/>
    <cellStyle name="40% - Accent3 52 2 2" xfId="12215"/>
    <cellStyle name="40% - Accent3 52 2 2 2" xfId="23503"/>
    <cellStyle name="40% - Accent3 52 2 3" xfId="10221"/>
    <cellStyle name="40% - Accent3 52 2 3 2" xfId="21509"/>
    <cellStyle name="40% - Accent3 52 2 4" xfId="8227"/>
    <cellStyle name="40% - Accent3 52 2 4 2" xfId="19515"/>
    <cellStyle name="40% - Accent3 52 2 5" xfId="6233"/>
    <cellStyle name="40% - Accent3 52 2 5 2" xfId="17521"/>
    <cellStyle name="40% - Accent3 52 2 6" xfId="15527"/>
    <cellStyle name="40% - Accent3 52 3" xfId="11218"/>
    <cellStyle name="40% - Accent3 52 3 2" xfId="22506"/>
    <cellStyle name="40% - Accent3 52 4" xfId="9224"/>
    <cellStyle name="40% - Accent3 52 4 2" xfId="20512"/>
    <cellStyle name="40% - Accent3 52 5" xfId="7230"/>
    <cellStyle name="40% - Accent3 52 5 2" xfId="18518"/>
    <cellStyle name="40% - Accent3 52 6" xfId="5236"/>
    <cellStyle name="40% - Accent3 52 6 2" xfId="16524"/>
    <cellStyle name="40% - Accent3 52 7" xfId="14530"/>
    <cellStyle name="40% - Accent3 52 8" xfId="13216"/>
    <cellStyle name="40% - Accent3 53" xfId="1281"/>
    <cellStyle name="40% - Accent3 53 2" xfId="4237"/>
    <cellStyle name="40% - Accent3 53 2 2" xfId="12216"/>
    <cellStyle name="40% - Accent3 53 2 2 2" xfId="23504"/>
    <cellStyle name="40% - Accent3 53 2 3" xfId="10222"/>
    <cellStyle name="40% - Accent3 53 2 3 2" xfId="21510"/>
    <cellStyle name="40% - Accent3 53 2 4" xfId="8228"/>
    <cellStyle name="40% - Accent3 53 2 4 2" xfId="19516"/>
    <cellStyle name="40% - Accent3 53 2 5" xfId="6234"/>
    <cellStyle name="40% - Accent3 53 2 5 2" xfId="17522"/>
    <cellStyle name="40% - Accent3 53 2 6" xfId="15528"/>
    <cellStyle name="40% - Accent3 53 3" xfId="11219"/>
    <cellStyle name="40% - Accent3 53 3 2" xfId="22507"/>
    <cellStyle name="40% - Accent3 53 4" xfId="9225"/>
    <cellStyle name="40% - Accent3 53 4 2" xfId="20513"/>
    <cellStyle name="40% - Accent3 53 5" xfId="7231"/>
    <cellStyle name="40% - Accent3 53 5 2" xfId="18519"/>
    <cellStyle name="40% - Accent3 53 6" xfId="5237"/>
    <cellStyle name="40% - Accent3 53 6 2" xfId="16525"/>
    <cellStyle name="40% - Accent3 53 7" xfId="14531"/>
    <cellStyle name="40% - Accent3 53 8" xfId="13217"/>
    <cellStyle name="40% - Accent3 54" xfId="1282"/>
    <cellStyle name="40% - Accent3 54 2" xfId="4238"/>
    <cellStyle name="40% - Accent3 54 2 2" xfId="12217"/>
    <cellStyle name="40% - Accent3 54 2 2 2" xfId="23505"/>
    <cellStyle name="40% - Accent3 54 2 3" xfId="10223"/>
    <cellStyle name="40% - Accent3 54 2 3 2" xfId="21511"/>
    <cellStyle name="40% - Accent3 54 2 4" xfId="8229"/>
    <cellStyle name="40% - Accent3 54 2 4 2" xfId="19517"/>
    <cellStyle name="40% - Accent3 54 2 5" xfId="6235"/>
    <cellStyle name="40% - Accent3 54 2 5 2" xfId="17523"/>
    <cellStyle name="40% - Accent3 54 2 6" xfId="15529"/>
    <cellStyle name="40% - Accent3 54 3" xfId="11220"/>
    <cellStyle name="40% - Accent3 54 3 2" xfId="22508"/>
    <cellStyle name="40% - Accent3 54 4" xfId="9226"/>
    <cellStyle name="40% - Accent3 54 4 2" xfId="20514"/>
    <cellStyle name="40% - Accent3 54 5" xfId="7232"/>
    <cellStyle name="40% - Accent3 54 5 2" xfId="18520"/>
    <cellStyle name="40% - Accent3 54 6" xfId="5238"/>
    <cellStyle name="40% - Accent3 54 6 2" xfId="16526"/>
    <cellStyle name="40% - Accent3 54 7" xfId="14532"/>
    <cellStyle name="40% - Accent3 54 8" xfId="13218"/>
    <cellStyle name="40% - Accent3 55" xfId="1283"/>
    <cellStyle name="40% - Accent3 55 2" xfId="4239"/>
    <cellStyle name="40% - Accent3 55 2 2" xfId="12218"/>
    <cellStyle name="40% - Accent3 55 2 2 2" xfId="23506"/>
    <cellStyle name="40% - Accent3 55 2 3" xfId="10224"/>
    <cellStyle name="40% - Accent3 55 2 3 2" xfId="21512"/>
    <cellStyle name="40% - Accent3 55 2 4" xfId="8230"/>
    <cellStyle name="40% - Accent3 55 2 4 2" xfId="19518"/>
    <cellStyle name="40% - Accent3 55 2 5" xfId="6236"/>
    <cellStyle name="40% - Accent3 55 2 5 2" xfId="17524"/>
    <cellStyle name="40% - Accent3 55 2 6" xfId="15530"/>
    <cellStyle name="40% - Accent3 55 3" xfId="11221"/>
    <cellStyle name="40% - Accent3 55 3 2" xfId="22509"/>
    <cellStyle name="40% - Accent3 55 4" xfId="9227"/>
    <cellStyle name="40% - Accent3 55 4 2" xfId="20515"/>
    <cellStyle name="40% - Accent3 55 5" xfId="7233"/>
    <cellStyle name="40% - Accent3 55 5 2" xfId="18521"/>
    <cellStyle name="40% - Accent3 55 6" xfId="5239"/>
    <cellStyle name="40% - Accent3 55 6 2" xfId="16527"/>
    <cellStyle name="40% - Accent3 55 7" xfId="14533"/>
    <cellStyle name="40% - Accent3 55 8" xfId="13219"/>
    <cellStyle name="40% - Accent3 56" xfId="1284"/>
    <cellStyle name="40% - Accent3 56 2" xfId="4240"/>
    <cellStyle name="40% - Accent3 56 2 2" xfId="12219"/>
    <cellStyle name="40% - Accent3 56 2 2 2" xfId="23507"/>
    <cellStyle name="40% - Accent3 56 2 3" xfId="10225"/>
    <cellStyle name="40% - Accent3 56 2 3 2" xfId="21513"/>
    <cellStyle name="40% - Accent3 56 2 4" xfId="8231"/>
    <cellStyle name="40% - Accent3 56 2 4 2" xfId="19519"/>
    <cellStyle name="40% - Accent3 56 2 5" xfId="6237"/>
    <cellStyle name="40% - Accent3 56 2 5 2" xfId="17525"/>
    <cellStyle name="40% - Accent3 56 2 6" xfId="15531"/>
    <cellStyle name="40% - Accent3 56 3" xfId="11222"/>
    <cellStyle name="40% - Accent3 56 3 2" xfId="22510"/>
    <cellStyle name="40% - Accent3 56 4" xfId="9228"/>
    <cellStyle name="40% - Accent3 56 4 2" xfId="20516"/>
    <cellStyle name="40% - Accent3 56 5" xfId="7234"/>
    <cellStyle name="40% - Accent3 56 5 2" xfId="18522"/>
    <cellStyle name="40% - Accent3 56 6" xfId="5240"/>
    <cellStyle name="40% - Accent3 56 6 2" xfId="16528"/>
    <cellStyle name="40% - Accent3 56 7" xfId="14534"/>
    <cellStyle name="40% - Accent3 56 8" xfId="13220"/>
    <cellStyle name="40% - Accent3 57" xfId="1285"/>
    <cellStyle name="40% - Accent3 57 2" xfId="4241"/>
    <cellStyle name="40% - Accent3 57 2 2" xfId="12220"/>
    <cellStyle name="40% - Accent3 57 2 2 2" xfId="23508"/>
    <cellStyle name="40% - Accent3 57 2 3" xfId="10226"/>
    <cellStyle name="40% - Accent3 57 2 3 2" xfId="21514"/>
    <cellStyle name="40% - Accent3 57 2 4" xfId="8232"/>
    <cellStyle name="40% - Accent3 57 2 4 2" xfId="19520"/>
    <cellStyle name="40% - Accent3 57 2 5" xfId="6238"/>
    <cellStyle name="40% - Accent3 57 2 5 2" xfId="17526"/>
    <cellStyle name="40% - Accent3 57 2 6" xfId="15532"/>
    <cellStyle name="40% - Accent3 57 3" xfId="11223"/>
    <cellStyle name="40% - Accent3 57 3 2" xfId="22511"/>
    <cellStyle name="40% - Accent3 57 4" xfId="9229"/>
    <cellStyle name="40% - Accent3 57 4 2" xfId="20517"/>
    <cellStyle name="40% - Accent3 57 5" xfId="7235"/>
    <cellStyle name="40% - Accent3 57 5 2" xfId="18523"/>
    <cellStyle name="40% - Accent3 57 6" xfId="5241"/>
    <cellStyle name="40% - Accent3 57 6 2" xfId="16529"/>
    <cellStyle name="40% - Accent3 57 7" xfId="14535"/>
    <cellStyle name="40% - Accent3 57 8" xfId="13221"/>
    <cellStyle name="40% - Accent3 58" xfId="1286"/>
    <cellStyle name="40% - Accent3 58 2" xfId="4242"/>
    <cellStyle name="40% - Accent3 58 2 2" xfId="12221"/>
    <cellStyle name="40% - Accent3 58 2 2 2" xfId="23509"/>
    <cellStyle name="40% - Accent3 58 2 3" xfId="10227"/>
    <cellStyle name="40% - Accent3 58 2 3 2" xfId="21515"/>
    <cellStyle name="40% - Accent3 58 2 4" xfId="8233"/>
    <cellStyle name="40% - Accent3 58 2 4 2" xfId="19521"/>
    <cellStyle name="40% - Accent3 58 2 5" xfId="6239"/>
    <cellStyle name="40% - Accent3 58 2 5 2" xfId="17527"/>
    <cellStyle name="40% - Accent3 58 2 6" xfId="15533"/>
    <cellStyle name="40% - Accent3 58 3" xfId="11224"/>
    <cellStyle name="40% - Accent3 58 3 2" xfId="22512"/>
    <cellStyle name="40% - Accent3 58 4" xfId="9230"/>
    <cellStyle name="40% - Accent3 58 4 2" xfId="20518"/>
    <cellStyle name="40% - Accent3 58 5" xfId="7236"/>
    <cellStyle name="40% - Accent3 58 5 2" xfId="18524"/>
    <cellStyle name="40% - Accent3 58 6" xfId="5242"/>
    <cellStyle name="40% - Accent3 58 6 2" xfId="16530"/>
    <cellStyle name="40% - Accent3 58 7" xfId="14536"/>
    <cellStyle name="40% - Accent3 58 8" xfId="13222"/>
    <cellStyle name="40% - Accent3 59" xfId="1287"/>
    <cellStyle name="40% - Accent3 59 2" xfId="4243"/>
    <cellStyle name="40% - Accent3 59 2 2" xfId="12222"/>
    <cellStyle name="40% - Accent3 59 2 2 2" xfId="23510"/>
    <cellStyle name="40% - Accent3 59 2 3" xfId="10228"/>
    <cellStyle name="40% - Accent3 59 2 3 2" xfId="21516"/>
    <cellStyle name="40% - Accent3 59 2 4" xfId="8234"/>
    <cellStyle name="40% - Accent3 59 2 4 2" xfId="19522"/>
    <cellStyle name="40% - Accent3 59 2 5" xfId="6240"/>
    <cellStyle name="40% - Accent3 59 2 5 2" xfId="17528"/>
    <cellStyle name="40% - Accent3 59 2 6" xfId="15534"/>
    <cellStyle name="40% - Accent3 59 3" xfId="11225"/>
    <cellStyle name="40% - Accent3 59 3 2" xfId="22513"/>
    <cellStyle name="40% - Accent3 59 4" xfId="9231"/>
    <cellStyle name="40% - Accent3 59 4 2" xfId="20519"/>
    <cellStyle name="40% - Accent3 59 5" xfId="7237"/>
    <cellStyle name="40% - Accent3 59 5 2" xfId="18525"/>
    <cellStyle name="40% - Accent3 59 6" xfId="5243"/>
    <cellStyle name="40% - Accent3 59 6 2" xfId="16531"/>
    <cellStyle name="40% - Accent3 59 7" xfId="14537"/>
    <cellStyle name="40% - Accent3 59 8" xfId="13223"/>
    <cellStyle name="40% - Accent3 6" xfId="1288"/>
    <cellStyle name="40% - Accent3 6 10" xfId="24611"/>
    <cellStyle name="40% - Accent3 6 11" xfId="25001"/>
    <cellStyle name="40% - Accent3 6 2" xfId="4244"/>
    <cellStyle name="40% - Accent3 6 2 2" xfId="12223"/>
    <cellStyle name="40% - Accent3 6 2 2 2" xfId="23511"/>
    <cellStyle name="40% - Accent3 6 2 3" xfId="10229"/>
    <cellStyle name="40% - Accent3 6 2 3 2" xfId="21517"/>
    <cellStyle name="40% - Accent3 6 2 4" xfId="8235"/>
    <cellStyle name="40% - Accent3 6 2 4 2" xfId="19523"/>
    <cellStyle name="40% - Accent3 6 2 5" xfId="6241"/>
    <cellStyle name="40% - Accent3 6 2 5 2" xfId="17529"/>
    <cellStyle name="40% - Accent3 6 2 6" xfId="15535"/>
    <cellStyle name="40% - Accent3 6 2 7" xfId="24372"/>
    <cellStyle name="40% - Accent3 6 2 8" xfId="24836"/>
    <cellStyle name="40% - Accent3 6 2 9" xfId="25203"/>
    <cellStyle name="40% - Accent3 6 3" xfId="11226"/>
    <cellStyle name="40% - Accent3 6 3 2" xfId="22514"/>
    <cellStyle name="40% - Accent3 6 4" xfId="9232"/>
    <cellStyle name="40% - Accent3 6 4 2" xfId="20520"/>
    <cellStyle name="40% - Accent3 6 5" xfId="7238"/>
    <cellStyle name="40% - Accent3 6 5 2" xfId="18526"/>
    <cellStyle name="40% - Accent3 6 6" xfId="5244"/>
    <cellStyle name="40% - Accent3 6 6 2" xfId="16532"/>
    <cellStyle name="40% - Accent3 6 7" xfId="14538"/>
    <cellStyle name="40% - Accent3 6 8" xfId="13224"/>
    <cellStyle name="40% - Accent3 6 9" xfId="23984"/>
    <cellStyle name="40% - Accent3 60" xfId="1289"/>
    <cellStyle name="40% - Accent3 60 2" xfId="4245"/>
    <cellStyle name="40% - Accent3 60 2 2" xfId="12224"/>
    <cellStyle name="40% - Accent3 60 2 2 2" xfId="23512"/>
    <cellStyle name="40% - Accent3 60 2 3" xfId="10230"/>
    <cellStyle name="40% - Accent3 60 2 3 2" xfId="21518"/>
    <cellStyle name="40% - Accent3 60 2 4" xfId="8236"/>
    <cellStyle name="40% - Accent3 60 2 4 2" xfId="19524"/>
    <cellStyle name="40% - Accent3 60 2 5" xfId="6242"/>
    <cellStyle name="40% - Accent3 60 2 5 2" xfId="17530"/>
    <cellStyle name="40% - Accent3 60 2 6" xfId="15536"/>
    <cellStyle name="40% - Accent3 60 3" xfId="11227"/>
    <cellStyle name="40% - Accent3 60 3 2" xfId="22515"/>
    <cellStyle name="40% - Accent3 60 4" xfId="9233"/>
    <cellStyle name="40% - Accent3 60 4 2" xfId="20521"/>
    <cellStyle name="40% - Accent3 60 5" xfId="7239"/>
    <cellStyle name="40% - Accent3 60 5 2" xfId="18527"/>
    <cellStyle name="40% - Accent3 60 6" xfId="5245"/>
    <cellStyle name="40% - Accent3 60 6 2" xfId="16533"/>
    <cellStyle name="40% - Accent3 60 7" xfId="14539"/>
    <cellStyle name="40% - Accent3 60 8" xfId="13225"/>
    <cellStyle name="40% - Accent3 61" xfId="1290"/>
    <cellStyle name="40% - Accent3 61 2" xfId="4246"/>
    <cellStyle name="40% - Accent3 61 2 2" xfId="12225"/>
    <cellStyle name="40% - Accent3 61 2 2 2" xfId="23513"/>
    <cellStyle name="40% - Accent3 61 2 3" xfId="10231"/>
    <cellStyle name="40% - Accent3 61 2 3 2" xfId="21519"/>
    <cellStyle name="40% - Accent3 61 2 4" xfId="8237"/>
    <cellStyle name="40% - Accent3 61 2 4 2" xfId="19525"/>
    <cellStyle name="40% - Accent3 61 2 5" xfId="6243"/>
    <cellStyle name="40% - Accent3 61 2 5 2" xfId="17531"/>
    <cellStyle name="40% - Accent3 61 2 6" xfId="15537"/>
    <cellStyle name="40% - Accent3 61 3" xfId="11228"/>
    <cellStyle name="40% - Accent3 61 3 2" xfId="22516"/>
    <cellStyle name="40% - Accent3 61 4" xfId="9234"/>
    <cellStyle name="40% - Accent3 61 4 2" xfId="20522"/>
    <cellStyle name="40% - Accent3 61 5" xfId="7240"/>
    <cellStyle name="40% - Accent3 61 5 2" xfId="18528"/>
    <cellStyle name="40% - Accent3 61 6" xfId="5246"/>
    <cellStyle name="40% - Accent3 61 6 2" xfId="16534"/>
    <cellStyle name="40% - Accent3 61 7" xfId="14540"/>
    <cellStyle name="40% - Accent3 61 8" xfId="13226"/>
    <cellStyle name="40% - Accent3 62" xfId="1291"/>
    <cellStyle name="40% - Accent3 62 2" xfId="4247"/>
    <cellStyle name="40% - Accent3 62 2 2" xfId="12226"/>
    <cellStyle name="40% - Accent3 62 2 2 2" xfId="23514"/>
    <cellStyle name="40% - Accent3 62 2 3" xfId="10232"/>
    <cellStyle name="40% - Accent3 62 2 3 2" xfId="21520"/>
    <cellStyle name="40% - Accent3 62 2 4" xfId="8238"/>
    <cellStyle name="40% - Accent3 62 2 4 2" xfId="19526"/>
    <cellStyle name="40% - Accent3 62 2 5" xfId="6244"/>
    <cellStyle name="40% - Accent3 62 2 5 2" xfId="17532"/>
    <cellStyle name="40% - Accent3 62 2 6" xfId="15538"/>
    <cellStyle name="40% - Accent3 62 3" xfId="11229"/>
    <cellStyle name="40% - Accent3 62 3 2" xfId="22517"/>
    <cellStyle name="40% - Accent3 62 4" xfId="9235"/>
    <cellStyle name="40% - Accent3 62 4 2" xfId="20523"/>
    <cellStyle name="40% - Accent3 62 5" xfId="7241"/>
    <cellStyle name="40% - Accent3 62 5 2" xfId="18529"/>
    <cellStyle name="40% - Accent3 62 6" xfId="5247"/>
    <cellStyle name="40% - Accent3 62 6 2" xfId="16535"/>
    <cellStyle name="40% - Accent3 62 7" xfId="14541"/>
    <cellStyle name="40% - Accent3 62 8" xfId="13227"/>
    <cellStyle name="40% - Accent3 63" xfId="1292"/>
    <cellStyle name="40% - Accent3 63 2" xfId="4248"/>
    <cellStyle name="40% - Accent3 63 2 2" xfId="12227"/>
    <cellStyle name="40% - Accent3 63 2 2 2" xfId="23515"/>
    <cellStyle name="40% - Accent3 63 2 3" xfId="10233"/>
    <cellStyle name="40% - Accent3 63 2 3 2" xfId="21521"/>
    <cellStyle name="40% - Accent3 63 2 4" xfId="8239"/>
    <cellStyle name="40% - Accent3 63 2 4 2" xfId="19527"/>
    <cellStyle name="40% - Accent3 63 2 5" xfId="6245"/>
    <cellStyle name="40% - Accent3 63 2 5 2" xfId="17533"/>
    <cellStyle name="40% - Accent3 63 2 6" xfId="15539"/>
    <cellStyle name="40% - Accent3 63 3" xfId="11230"/>
    <cellStyle name="40% - Accent3 63 3 2" xfId="22518"/>
    <cellStyle name="40% - Accent3 63 4" xfId="9236"/>
    <cellStyle name="40% - Accent3 63 4 2" xfId="20524"/>
    <cellStyle name="40% - Accent3 63 5" xfId="7242"/>
    <cellStyle name="40% - Accent3 63 5 2" xfId="18530"/>
    <cellStyle name="40% - Accent3 63 6" xfId="5248"/>
    <cellStyle name="40% - Accent3 63 6 2" xfId="16536"/>
    <cellStyle name="40% - Accent3 63 7" xfId="14542"/>
    <cellStyle name="40% - Accent3 63 8" xfId="13228"/>
    <cellStyle name="40% - Accent3 64" xfId="1293"/>
    <cellStyle name="40% - Accent3 64 2" xfId="4249"/>
    <cellStyle name="40% - Accent3 64 2 2" xfId="12228"/>
    <cellStyle name="40% - Accent3 64 2 2 2" xfId="23516"/>
    <cellStyle name="40% - Accent3 64 2 3" xfId="10234"/>
    <cellStyle name="40% - Accent3 64 2 3 2" xfId="21522"/>
    <cellStyle name="40% - Accent3 64 2 4" xfId="8240"/>
    <cellStyle name="40% - Accent3 64 2 4 2" xfId="19528"/>
    <cellStyle name="40% - Accent3 64 2 5" xfId="6246"/>
    <cellStyle name="40% - Accent3 64 2 5 2" xfId="17534"/>
    <cellStyle name="40% - Accent3 64 2 6" xfId="15540"/>
    <cellStyle name="40% - Accent3 64 3" xfId="11231"/>
    <cellStyle name="40% - Accent3 64 3 2" xfId="22519"/>
    <cellStyle name="40% - Accent3 64 4" xfId="9237"/>
    <cellStyle name="40% - Accent3 64 4 2" xfId="20525"/>
    <cellStyle name="40% - Accent3 64 5" xfId="7243"/>
    <cellStyle name="40% - Accent3 64 5 2" xfId="18531"/>
    <cellStyle name="40% - Accent3 64 6" xfId="5249"/>
    <cellStyle name="40% - Accent3 64 6 2" xfId="16537"/>
    <cellStyle name="40% - Accent3 64 7" xfId="14543"/>
    <cellStyle name="40% - Accent3 64 8" xfId="13229"/>
    <cellStyle name="40% - Accent3 65" xfId="1294"/>
    <cellStyle name="40% - Accent3 65 2" xfId="4250"/>
    <cellStyle name="40% - Accent3 65 2 2" xfId="12229"/>
    <cellStyle name="40% - Accent3 65 2 2 2" xfId="23517"/>
    <cellStyle name="40% - Accent3 65 2 3" xfId="10235"/>
    <cellStyle name="40% - Accent3 65 2 3 2" xfId="21523"/>
    <cellStyle name="40% - Accent3 65 2 4" xfId="8241"/>
    <cellStyle name="40% - Accent3 65 2 4 2" xfId="19529"/>
    <cellStyle name="40% - Accent3 65 2 5" xfId="6247"/>
    <cellStyle name="40% - Accent3 65 2 5 2" xfId="17535"/>
    <cellStyle name="40% - Accent3 65 2 6" xfId="15541"/>
    <cellStyle name="40% - Accent3 65 3" xfId="11232"/>
    <cellStyle name="40% - Accent3 65 3 2" xfId="22520"/>
    <cellStyle name="40% - Accent3 65 4" xfId="9238"/>
    <cellStyle name="40% - Accent3 65 4 2" xfId="20526"/>
    <cellStyle name="40% - Accent3 65 5" xfId="7244"/>
    <cellStyle name="40% - Accent3 65 5 2" xfId="18532"/>
    <cellStyle name="40% - Accent3 65 6" xfId="5250"/>
    <cellStyle name="40% - Accent3 65 6 2" xfId="16538"/>
    <cellStyle name="40% - Accent3 65 7" xfId="14544"/>
    <cellStyle name="40% - Accent3 65 8" xfId="13230"/>
    <cellStyle name="40% - Accent3 66" xfId="1295"/>
    <cellStyle name="40% - Accent3 66 2" xfId="4251"/>
    <cellStyle name="40% - Accent3 66 2 2" xfId="12230"/>
    <cellStyle name="40% - Accent3 66 2 2 2" xfId="23518"/>
    <cellStyle name="40% - Accent3 66 2 3" xfId="10236"/>
    <cellStyle name="40% - Accent3 66 2 3 2" xfId="21524"/>
    <cellStyle name="40% - Accent3 66 2 4" xfId="8242"/>
    <cellStyle name="40% - Accent3 66 2 4 2" xfId="19530"/>
    <cellStyle name="40% - Accent3 66 2 5" xfId="6248"/>
    <cellStyle name="40% - Accent3 66 2 5 2" xfId="17536"/>
    <cellStyle name="40% - Accent3 66 2 6" xfId="15542"/>
    <cellStyle name="40% - Accent3 66 3" xfId="11233"/>
    <cellStyle name="40% - Accent3 66 3 2" xfId="22521"/>
    <cellStyle name="40% - Accent3 66 4" xfId="9239"/>
    <cellStyle name="40% - Accent3 66 4 2" xfId="20527"/>
    <cellStyle name="40% - Accent3 66 5" xfId="7245"/>
    <cellStyle name="40% - Accent3 66 5 2" xfId="18533"/>
    <cellStyle name="40% - Accent3 66 6" xfId="5251"/>
    <cellStyle name="40% - Accent3 66 6 2" xfId="16539"/>
    <cellStyle name="40% - Accent3 66 7" xfId="14545"/>
    <cellStyle name="40% - Accent3 66 8" xfId="13231"/>
    <cellStyle name="40% - Accent3 67" xfId="1296"/>
    <cellStyle name="40% - Accent3 67 2" xfId="4252"/>
    <cellStyle name="40% - Accent3 67 2 2" xfId="12231"/>
    <cellStyle name="40% - Accent3 67 2 2 2" xfId="23519"/>
    <cellStyle name="40% - Accent3 67 2 3" xfId="10237"/>
    <cellStyle name="40% - Accent3 67 2 3 2" xfId="21525"/>
    <cellStyle name="40% - Accent3 67 2 4" xfId="8243"/>
    <cellStyle name="40% - Accent3 67 2 4 2" xfId="19531"/>
    <cellStyle name="40% - Accent3 67 2 5" xfId="6249"/>
    <cellStyle name="40% - Accent3 67 2 5 2" xfId="17537"/>
    <cellStyle name="40% - Accent3 67 2 6" xfId="15543"/>
    <cellStyle name="40% - Accent3 67 3" xfId="11234"/>
    <cellStyle name="40% - Accent3 67 3 2" xfId="22522"/>
    <cellStyle name="40% - Accent3 67 4" xfId="9240"/>
    <cellStyle name="40% - Accent3 67 4 2" xfId="20528"/>
    <cellStyle name="40% - Accent3 67 5" xfId="7246"/>
    <cellStyle name="40% - Accent3 67 5 2" xfId="18534"/>
    <cellStyle name="40% - Accent3 67 6" xfId="5252"/>
    <cellStyle name="40% - Accent3 67 6 2" xfId="16540"/>
    <cellStyle name="40% - Accent3 67 7" xfId="14546"/>
    <cellStyle name="40% - Accent3 67 8" xfId="13232"/>
    <cellStyle name="40% - Accent3 68" xfId="1297"/>
    <cellStyle name="40% - Accent3 68 2" xfId="4253"/>
    <cellStyle name="40% - Accent3 68 2 2" xfId="12232"/>
    <cellStyle name="40% - Accent3 68 2 2 2" xfId="23520"/>
    <cellStyle name="40% - Accent3 68 2 3" xfId="10238"/>
    <cellStyle name="40% - Accent3 68 2 3 2" xfId="21526"/>
    <cellStyle name="40% - Accent3 68 2 4" xfId="8244"/>
    <cellStyle name="40% - Accent3 68 2 4 2" xfId="19532"/>
    <cellStyle name="40% - Accent3 68 2 5" xfId="6250"/>
    <cellStyle name="40% - Accent3 68 2 5 2" xfId="17538"/>
    <cellStyle name="40% - Accent3 68 2 6" xfId="15544"/>
    <cellStyle name="40% - Accent3 68 3" xfId="11235"/>
    <cellStyle name="40% - Accent3 68 3 2" xfId="22523"/>
    <cellStyle name="40% - Accent3 68 4" xfId="9241"/>
    <cellStyle name="40% - Accent3 68 4 2" xfId="20529"/>
    <cellStyle name="40% - Accent3 68 5" xfId="7247"/>
    <cellStyle name="40% - Accent3 68 5 2" xfId="18535"/>
    <cellStyle name="40% - Accent3 68 6" xfId="5253"/>
    <cellStyle name="40% - Accent3 68 6 2" xfId="16541"/>
    <cellStyle name="40% - Accent3 68 7" xfId="14547"/>
    <cellStyle name="40% - Accent3 68 8" xfId="13233"/>
    <cellStyle name="40% - Accent3 69" xfId="1298"/>
    <cellStyle name="40% - Accent3 69 2" xfId="4254"/>
    <cellStyle name="40% - Accent3 69 2 2" xfId="12233"/>
    <cellStyle name="40% - Accent3 69 2 2 2" xfId="23521"/>
    <cellStyle name="40% - Accent3 69 2 3" xfId="10239"/>
    <cellStyle name="40% - Accent3 69 2 3 2" xfId="21527"/>
    <cellStyle name="40% - Accent3 69 2 4" xfId="8245"/>
    <cellStyle name="40% - Accent3 69 2 4 2" xfId="19533"/>
    <cellStyle name="40% - Accent3 69 2 5" xfId="6251"/>
    <cellStyle name="40% - Accent3 69 2 5 2" xfId="17539"/>
    <cellStyle name="40% - Accent3 69 2 6" xfId="15545"/>
    <cellStyle name="40% - Accent3 69 3" xfId="11236"/>
    <cellStyle name="40% - Accent3 69 3 2" xfId="22524"/>
    <cellStyle name="40% - Accent3 69 4" xfId="9242"/>
    <cellStyle name="40% - Accent3 69 4 2" xfId="20530"/>
    <cellStyle name="40% - Accent3 69 5" xfId="7248"/>
    <cellStyle name="40% - Accent3 69 5 2" xfId="18536"/>
    <cellStyle name="40% - Accent3 69 6" xfId="5254"/>
    <cellStyle name="40% - Accent3 69 6 2" xfId="16542"/>
    <cellStyle name="40% - Accent3 69 7" xfId="14548"/>
    <cellStyle name="40% - Accent3 69 8" xfId="13234"/>
    <cellStyle name="40% - Accent3 7" xfId="1299"/>
    <cellStyle name="40% - Accent3 7 10" xfId="24612"/>
    <cellStyle name="40% - Accent3 7 11" xfId="25002"/>
    <cellStyle name="40% - Accent3 7 2" xfId="4255"/>
    <cellStyle name="40% - Accent3 7 2 2" xfId="12234"/>
    <cellStyle name="40% - Accent3 7 2 2 2" xfId="23522"/>
    <cellStyle name="40% - Accent3 7 2 3" xfId="10240"/>
    <cellStyle name="40% - Accent3 7 2 3 2" xfId="21528"/>
    <cellStyle name="40% - Accent3 7 2 4" xfId="8246"/>
    <cellStyle name="40% - Accent3 7 2 4 2" xfId="19534"/>
    <cellStyle name="40% - Accent3 7 2 5" xfId="6252"/>
    <cellStyle name="40% - Accent3 7 2 5 2" xfId="17540"/>
    <cellStyle name="40% - Accent3 7 2 6" xfId="15546"/>
    <cellStyle name="40% - Accent3 7 2 7" xfId="24373"/>
    <cellStyle name="40% - Accent3 7 2 8" xfId="24837"/>
    <cellStyle name="40% - Accent3 7 2 9" xfId="25204"/>
    <cellStyle name="40% - Accent3 7 3" xfId="11237"/>
    <cellStyle name="40% - Accent3 7 3 2" xfId="22525"/>
    <cellStyle name="40% - Accent3 7 4" xfId="9243"/>
    <cellStyle name="40% - Accent3 7 4 2" xfId="20531"/>
    <cellStyle name="40% - Accent3 7 5" xfId="7249"/>
    <cellStyle name="40% - Accent3 7 5 2" xfId="18537"/>
    <cellStyle name="40% - Accent3 7 6" xfId="5255"/>
    <cellStyle name="40% - Accent3 7 6 2" xfId="16543"/>
    <cellStyle name="40% - Accent3 7 7" xfId="14549"/>
    <cellStyle name="40% - Accent3 7 8" xfId="13235"/>
    <cellStyle name="40% - Accent3 7 9" xfId="23985"/>
    <cellStyle name="40% - Accent3 70" xfId="1300"/>
    <cellStyle name="40% - Accent3 70 2" xfId="4256"/>
    <cellStyle name="40% - Accent3 70 2 2" xfId="12235"/>
    <cellStyle name="40% - Accent3 70 2 2 2" xfId="23523"/>
    <cellStyle name="40% - Accent3 70 2 3" xfId="10241"/>
    <cellStyle name="40% - Accent3 70 2 3 2" xfId="21529"/>
    <cellStyle name="40% - Accent3 70 2 4" xfId="8247"/>
    <cellStyle name="40% - Accent3 70 2 4 2" xfId="19535"/>
    <cellStyle name="40% - Accent3 70 2 5" xfId="6253"/>
    <cellStyle name="40% - Accent3 70 2 5 2" xfId="17541"/>
    <cellStyle name="40% - Accent3 70 2 6" xfId="15547"/>
    <cellStyle name="40% - Accent3 70 3" xfId="11238"/>
    <cellStyle name="40% - Accent3 70 3 2" xfId="22526"/>
    <cellStyle name="40% - Accent3 70 4" xfId="9244"/>
    <cellStyle name="40% - Accent3 70 4 2" xfId="20532"/>
    <cellStyle name="40% - Accent3 70 5" xfId="7250"/>
    <cellStyle name="40% - Accent3 70 5 2" xfId="18538"/>
    <cellStyle name="40% - Accent3 70 6" xfId="5256"/>
    <cellStyle name="40% - Accent3 70 6 2" xfId="16544"/>
    <cellStyle name="40% - Accent3 70 7" xfId="14550"/>
    <cellStyle name="40% - Accent3 70 8" xfId="13236"/>
    <cellStyle name="40% - Accent3 71" xfId="1301"/>
    <cellStyle name="40% - Accent3 71 2" xfId="4257"/>
    <cellStyle name="40% - Accent3 71 2 2" xfId="12236"/>
    <cellStyle name="40% - Accent3 71 2 2 2" xfId="23524"/>
    <cellStyle name="40% - Accent3 71 2 3" xfId="10242"/>
    <cellStyle name="40% - Accent3 71 2 3 2" xfId="21530"/>
    <cellStyle name="40% - Accent3 71 2 4" xfId="8248"/>
    <cellStyle name="40% - Accent3 71 2 4 2" xfId="19536"/>
    <cellStyle name="40% - Accent3 71 2 5" xfId="6254"/>
    <cellStyle name="40% - Accent3 71 2 5 2" xfId="17542"/>
    <cellStyle name="40% - Accent3 71 2 6" xfId="15548"/>
    <cellStyle name="40% - Accent3 71 3" xfId="11239"/>
    <cellStyle name="40% - Accent3 71 3 2" xfId="22527"/>
    <cellStyle name="40% - Accent3 71 4" xfId="9245"/>
    <cellStyle name="40% - Accent3 71 4 2" xfId="20533"/>
    <cellStyle name="40% - Accent3 71 5" xfId="7251"/>
    <cellStyle name="40% - Accent3 71 5 2" xfId="18539"/>
    <cellStyle name="40% - Accent3 71 6" xfId="5257"/>
    <cellStyle name="40% - Accent3 71 6 2" xfId="16545"/>
    <cellStyle name="40% - Accent3 71 7" xfId="14551"/>
    <cellStyle name="40% - Accent3 71 8" xfId="13237"/>
    <cellStyle name="40% - Accent3 72" xfId="1302"/>
    <cellStyle name="40% - Accent3 72 2" xfId="4258"/>
    <cellStyle name="40% - Accent3 72 2 2" xfId="12237"/>
    <cellStyle name="40% - Accent3 72 2 2 2" xfId="23525"/>
    <cellStyle name="40% - Accent3 72 2 3" xfId="10243"/>
    <cellStyle name="40% - Accent3 72 2 3 2" xfId="21531"/>
    <cellStyle name="40% - Accent3 72 2 4" xfId="8249"/>
    <cellStyle name="40% - Accent3 72 2 4 2" xfId="19537"/>
    <cellStyle name="40% - Accent3 72 2 5" xfId="6255"/>
    <cellStyle name="40% - Accent3 72 2 5 2" xfId="17543"/>
    <cellStyle name="40% - Accent3 72 2 6" xfId="15549"/>
    <cellStyle name="40% - Accent3 72 3" xfId="11240"/>
    <cellStyle name="40% - Accent3 72 3 2" xfId="22528"/>
    <cellStyle name="40% - Accent3 72 4" xfId="9246"/>
    <cellStyle name="40% - Accent3 72 4 2" xfId="20534"/>
    <cellStyle name="40% - Accent3 72 5" xfId="7252"/>
    <cellStyle name="40% - Accent3 72 5 2" xfId="18540"/>
    <cellStyle name="40% - Accent3 72 6" xfId="5258"/>
    <cellStyle name="40% - Accent3 72 6 2" xfId="16546"/>
    <cellStyle name="40% - Accent3 72 7" xfId="14552"/>
    <cellStyle name="40% - Accent3 72 8" xfId="13238"/>
    <cellStyle name="40% - Accent3 8" xfId="1303"/>
    <cellStyle name="40% - Accent3 8 2" xfId="4259"/>
    <cellStyle name="40% - Accent3 8 2 2" xfId="12238"/>
    <cellStyle name="40% - Accent3 8 2 2 2" xfId="23526"/>
    <cellStyle name="40% - Accent3 8 2 3" xfId="10244"/>
    <cellStyle name="40% - Accent3 8 2 3 2" xfId="21532"/>
    <cellStyle name="40% - Accent3 8 2 4" xfId="8250"/>
    <cellStyle name="40% - Accent3 8 2 4 2" xfId="19538"/>
    <cellStyle name="40% - Accent3 8 2 5" xfId="6256"/>
    <cellStyle name="40% - Accent3 8 2 5 2" xfId="17544"/>
    <cellStyle name="40% - Accent3 8 2 6" xfId="15550"/>
    <cellStyle name="40% - Accent3 8 3" xfId="11241"/>
    <cellStyle name="40% - Accent3 8 3 2" xfId="22529"/>
    <cellStyle name="40% - Accent3 8 4" xfId="9247"/>
    <cellStyle name="40% - Accent3 8 4 2" xfId="20535"/>
    <cellStyle name="40% - Accent3 8 5" xfId="7253"/>
    <cellStyle name="40% - Accent3 8 5 2" xfId="18541"/>
    <cellStyle name="40% - Accent3 8 6" xfId="5259"/>
    <cellStyle name="40% - Accent3 8 6 2" xfId="16547"/>
    <cellStyle name="40% - Accent3 8 7" xfId="14553"/>
    <cellStyle name="40% - Accent3 8 8" xfId="13239"/>
    <cellStyle name="40% - Accent3 9" xfId="1304"/>
    <cellStyle name="40% - Accent3 9 2" xfId="4260"/>
    <cellStyle name="40% - Accent3 9 2 2" xfId="12239"/>
    <cellStyle name="40% - Accent3 9 2 2 2" xfId="23527"/>
    <cellStyle name="40% - Accent3 9 2 3" xfId="10245"/>
    <cellStyle name="40% - Accent3 9 2 3 2" xfId="21533"/>
    <cellStyle name="40% - Accent3 9 2 4" xfId="8251"/>
    <cellStyle name="40% - Accent3 9 2 4 2" xfId="19539"/>
    <cellStyle name="40% - Accent3 9 2 5" xfId="6257"/>
    <cellStyle name="40% - Accent3 9 2 5 2" xfId="17545"/>
    <cellStyle name="40% - Accent3 9 2 6" xfId="15551"/>
    <cellStyle name="40% - Accent3 9 3" xfId="11242"/>
    <cellStyle name="40% - Accent3 9 3 2" xfId="22530"/>
    <cellStyle name="40% - Accent3 9 4" xfId="9248"/>
    <cellStyle name="40% - Accent3 9 4 2" xfId="20536"/>
    <cellStyle name="40% - Accent3 9 5" xfId="7254"/>
    <cellStyle name="40% - Accent3 9 5 2" xfId="18542"/>
    <cellStyle name="40% - Accent3 9 6" xfId="5260"/>
    <cellStyle name="40% - Accent3 9 6 2" xfId="16548"/>
    <cellStyle name="40% - Accent3 9 7" xfId="14554"/>
    <cellStyle name="40% - Accent3 9 8" xfId="13240"/>
    <cellStyle name="40% - Accent4 10" xfId="1305"/>
    <cellStyle name="40% - Accent4 10 2" xfId="4261"/>
    <cellStyle name="40% - Accent4 10 2 2" xfId="12240"/>
    <cellStyle name="40% - Accent4 10 2 2 2" xfId="23528"/>
    <cellStyle name="40% - Accent4 10 2 3" xfId="10246"/>
    <cellStyle name="40% - Accent4 10 2 3 2" xfId="21534"/>
    <cellStyle name="40% - Accent4 10 2 4" xfId="8252"/>
    <cellStyle name="40% - Accent4 10 2 4 2" xfId="19540"/>
    <cellStyle name="40% - Accent4 10 2 5" xfId="6258"/>
    <cellStyle name="40% - Accent4 10 2 5 2" xfId="17546"/>
    <cellStyle name="40% - Accent4 10 2 6" xfId="15552"/>
    <cellStyle name="40% - Accent4 10 3" xfId="11243"/>
    <cellStyle name="40% - Accent4 10 3 2" xfId="22531"/>
    <cellStyle name="40% - Accent4 10 4" xfId="9249"/>
    <cellStyle name="40% - Accent4 10 4 2" xfId="20537"/>
    <cellStyle name="40% - Accent4 10 5" xfId="7255"/>
    <cellStyle name="40% - Accent4 10 5 2" xfId="18543"/>
    <cellStyle name="40% - Accent4 10 6" xfId="5261"/>
    <cellStyle name="40% - Accent4 10 6 2" xfId="16549"/>
    <cellStyle name="40% - Accent4 10 7" xfId="14555"/>
    <cellStyle name="40% - Accent4 10 8" xfId="13241"/>
    <cellStyle name="40% - Accent4 11" xfId="1306"/>
    <cellStyle name="40% - Accent4 11 2" xfId="4262"/>
    <cellStyle name="40% - Accent4 11 2 2" xfId="12241"/>
    <cellStyle name="40% - Accent4 11 2 2 2" xfId="23529"/>
    <cellStyle name="40% - Accent4 11 2 3" xfId="10247"/>
    <cellStyle name="40% - Accent4 11 2 3 2" xfId="21535"/>
    <cellStyle name="40% - Accent4 11 2 4" xfId="8253"/>
    <cellStyle name="40% - Accent4 11 2 4 2" xfId="19541"/>
    <cellStyle name="40% - Accent4 11 2 5" xfId="6259"/>
    <cellStyle name="40% - Accent4 11 2 5 2" xfId="17547"/>
    <cellStyle name="40% - Accent4 11 2 6" xfId="15553"/>
    <cellStyle name="40% - Accent4 11 3" xfId="11244"/>
    <cellStyle name="40% - Accent4 11 3 2" xfId="22532"/>
    <cellStyle name="40% - Accent4 11 4" xfId="9250"/>
    <cellStyle name="40% - Accent4 11 4 2" xfId="20538"/>
    <cellStyle name="40% - Accent4 11 5" xfId="7256"/>
    <cellStyle name="40% - Accent4 11 5 2" xfId="18544"/>
    <cellStyle name="40% - Accent4 11 6" xfId="5262"/>
    <cellStyle name="40% - Accent4 11 6 2" xfId="16550"/>
    <cellStyle name="40% - Accent4 11 7" xfId="14556"/>
    <cellStyle name="40% - Accent4 11 8" xfId="13242"/>
    <cellStyle name="40% - Accent4 12" xfId="1307"/>
    <cellStyle name="40% - Accent4 12 2" xfId="4263"/>
    <cellStyle name="40% - Accent4 12 2 2" xfId="12242"/>
    <cellStyle name="40% - Accent4 12 2 2 2" xfId="23530"/>
    <cellStyle name="40% - Accent4 12 2 3" xfId="10248"/>
    <cellStyle name="40% - Accent4 12 2 3 2" xfId="21536"/>
    <cellStyle name="40% - Accent4 12 2 4" xfId="8254"/>
    <cellStyle name="40% - Accent4 12 2 4 2" xfId="19542"/>
    <cellStyle name="40% - Accent4 12 2 5" xfId="6260"/>
    <cellStyle name="40% - Accent4 12 2 5 2" xfId="17548"/>
    <cellStyle name="40% - Accent4 12 2 6" xfId="15554"/>
    <cellStyle name="40% - Accent4 12 3" xfId="11245"/>
    <cellStyle name="40% - Accent4 12 3 2" xfId="22533"/>
    <cellStyle name="40% - Accent4 12 4" xfId="9251"/>
    <cellStyle name="40% - Accent4 12 4 2" xfId="20539"/>
    <cellStyle name="40% - Accent4 12 5" xfId="7257"/>
    <cellStyle name="40% - Accent4 12 5 2" xfId="18545"/>
    <cellStyle name="40% - Accent4 12 6" xfId="5263"/>
    <cellStyle name="40% - Accent4 12 6 2" xfId="16551"/>
    <cellStyle name="40% - Accent4 12 7" xfId="14557"/>
    <cellStyle name="40% - Accent4 12 8" xfId="13243"/>
    <cellStyle name="40% - Accent4 13" xfId="1308"/>
    <cellStyle name="40% - Accent4 13 2" xfId="4264"/>
    <cellStyle name="40% - Accent4 13 2 2" xfId="12243"/>
    <cellStyle name="40% - Accent4 13 2 2 2" xfId="23531"/>
    <cellStyle name="40% - Accent4 13 2 3" xfId="10249"/>
    <cellStyle name="40% - Accent4 13 2 3 2" xfId="21537"/>
    <cellStyle name="40% - Accent4 13 2 4" xfId="8255"/>
    <cellStyle name="40% - Accent4 13 2 4 2" xfId="19543"/>
    <cellStyle name="40% - Accent4 13 2 5" xfId="6261"/>
    <cellStyle name="40% - Accent4 13 2 5 2" xfId="17549"/>
    <cellStyle name="40% - Accent4 13 2 6" xfId="15555"/>
    <cellStyle name="40% - Accent4 13 3" xfId="11246"/>
    <cellStyle name="40% - Accent4 13 3 2" xfId="22534"/>
    <cellStyle name="40% - Accent4 13 4" xfId="9252"/>
    <cellStyle name="40% - Accent4 13 4 2" xfId="20540"/>
    <cellStyle name="40% - Accent4 13 5" xfId="7258"/>
    <cellStyle name="40% - Accent4 13 5 2" xfId="18546"/>
    <cellStyle name="40% - Accent4 13 6" xfId="5264"/>
    <cellStyle name="40% - Accent4 13 6 2" xfId="16552"/>
    <cellStyle name="40% - Accent4 13 7" xfId="14558"/>
    <cellStyle name="40% - Accent4 13 8" xfId="13244"/>
    <cellStyle name="40% - Accent4 14" xfId="1309"/>
    <cellStyle name="40% - Accent4 14 2" xfId="4265"/>
    <cellStyle name="40% - Accent4 14 2 2" xfId="12244"/>
    <cellStyle name="40% - Accent4 14 2 2 2" xfId="23532"/>
    <cellStyle name="40% - Accent4 14 2 3" xfId="10250"/>
    <cellStyle name="40% - Accent4 14 2 3 2" xfId="21538"/>
    <cellStyle name="40% - Accent4 14 2 4" xfId="8256"/>
    <cellStyle name="40% - Accent4 14 2 4 2" xfId="19544"/>
    <cellStyle name="40% - Accent4 14 2 5" xfId="6262"/>
    <cellStyle name="40% - Accent4 14 2 5 2" xfId="17550"/>
    <cellStyle name="40% - Accent4 14 2 6" xfId="15556"/>
    <cellStyle name="40% - Accent4 14 3" xfId="11247"/>
    <cellStyle name="40% - Accent4 14 3 2" xfId="22535"/>
    <cellStyle name="40% - Accent4 14 4" xfId="9253"/>
    <cellStyle name="40% - Accent4 14 4 2" xfId="20541"/>
    <cellStyle name="40% - Accent4 14 5" xfId="7259"/>
    <cellStyle name="40% - Accent4 14 5 2" xfId="18547"/>
    <cellStyle name="40% - Accent4 14 6" xfId="5265"/>
    <cellStyle name="40% - Accent4 14 6 2" xfId="16553"/>
    <cellStyle name="40% - Accent4 14 7" xfId="14559"/>
    <cellStyle name="40% - Accent4 14 8" xfId="13245"/>
    <cellStyle name="40% - Accent4 15" xfId="1310"/>
    <cellStyle name="40% - Accent4 15 2" xfId="4266"/>
    <cellStyle name="40% - Accent4 15 2 2" xfId="12245"/>
    <cellStyle name="40% - Accent4 15 2 2 2" xfId="23533"/>
    <cellStyle name="40% - Accent4 15 2 3" xfId="10251"/>
    <cellStyle name="40% - Accent4 15 2 3 2" xfId="21539"/>
    <cellStyle name="40% - Accent4 15 2 4" xfId="8257"/>
    <cellStyle name="40% - Accent4 15 2 4 2" xfId="19545"/>
    <cellStyle name="40% - Accent4 15 2 5" xfId="6263"/>
    <cellStyle name="40% - Accent4 15 2 5 2" xfId="17551"/>
    <cellStyle name="40% - Accent4 15 2 6" xfId="15557"/>
    <cellStyle name="40% - Accent4 15 3" xfId="11248"/>
    <cellStyle name="40% - Accent4 15 3 2" xfId="22536"/>
    <cellStyle name="40% - Accent4 15 4" xfId="9254"/>
    <cellStyle name="40% - Accent4 15 4 2" xfId="20542"/>
    <cellStyle name="40% - Accent4 15 5" xfId="7260"/>
    <cellStyle name="40% - Accent4 15 5 2" xfId="18548"/>
    <cellStyle name="40% - Accent4 15 6" xfId="5266"/>
    <cellStyle name="40% - Accent4 15 6 2" xfId="16554"/>
    <cellStyle name="40% - Accent4 15 7" xfId="14560"/>
    <cellStyle name="40% - Accent4 15 8" xfId="13246"/>
    <cellStyle name="40% - Accent4 16" xfId="1311"/>
    <cellStyle name="40% - Accent4 16 2" xfId="4267"/>
    <cellStyle name="40% - Accent4 16 2 2" xfId="12246"/>
    <cellStyle name="40% - Accent4 16 2 2 2" xfId="23534"/>
    <cellStyle name="40% - Accent4 16 2 3" xfId="10252"/>
    <cellStyle name="40% - Accent4 16 2 3 2" xfId="21540"/>
    <cellStyle name="40% - Accent4 16 2 4" xfId="8258"/>
    <cellStyle name="40% - Accent4 16 2 4 2" xfId="19546"/>
    <cellStyle name="40% - Accent4 16 2 5" xfId="6264"/>
    <cellStyle name="40% - Accent4 16 2 5 2" xfId="17552"/>
    <cellStyle name="40% - Accent4 16 2 6" xfId="15558"/>
    <cellStyle name="40% - Accent4 16 3" xfId="11249"/>
    <cellStyle name="40% - Accent4 16 3 2" xfId="22537"/>
    <cellStyle name="40% - Accent4 16 4" xfId="9255"/>
    <cellStyle name="40% - Accent4 16 4 2" xfId="20543"/>
    <cellStyle name="40% - Accent4 16 5" xfId="7261"/>
    <cellStyle name="40% - Accent4 16 5 2" xfId="18549"/>
    <cellStyle name="40% - Accent4 16 6" xfId="5267"/>
    <cellStyle name="40% - Accent4 16 6 2" xfId="16555"/>
    <cellStyle name="40% - Accent4 16 7" xfId="14561"/>
    <cellStyle name="40% - Accent4 16 8" xfId="13247"/>
    <cellStyle name="40% - Accent4 17" xfId="1312"/>
    <cellStyle name="40% - Accent4 17 2" xfId="4268"/>
    <cellStyle name="40% - Accent4 17 2 2" xfId="12247"/>
    <cellStyle name="40% - Accent4 17 2 2 2" xfId="23535"/>
    <cellStyle name="40% - Accent4 17 2 3" xfId="10253"/>
    <cellStyle name="40% - Accent4 17 2 3 2" xfId="21541"/>
    <cellStyle name="40% - Accent4 17 2 4" xfId="8259"/>
    <cellStyle name="40% - Accent4 17 2 4 2" xfId="19547"/>
    <cellStyle name="40% - Accent4 17 2 5" xfId="6265"/>
    <cellStyle name="40% - Accent4 17 2 5 2" xfId="17553"/>
    <cellStyle name="40% - Accent4 17 2 6" xfId="15559"/>
    <cellStyle name="40% - Accent4 17 3" xfId="11250"/>
    <cellStyle name="40% - Accent4 17 3 2" xfId="22538"/>
    <cellStyle name="40% - Accent4 17 4" xfId="9256"/>
    <cellStyle name="40% - Accent4 17 4 2" xfId="20544"/>
    <cellStyle name="40% - Accent4 17 5" xfId="7262"/>
    <cellStyle name="40% - Accent4 17 5 2" xfId="18550"/>
    <cellStyle name="40% - Accent4 17 6" xfId="5268"/>
    <cellStyle name="40% - Accent4 17 6 2" xfId="16556"/>
    <cellStyle name="40% - Accent4 17 7" xfId="14562"/>
    <cellStyle name="40% - Accent4 17 8" xfId="13248"/>
    <cellStyle name="40% - Accent4 18" xfId="1313"/>
    <cellStyle name="40% - Accent4 18 2" xfId="4269"/>
    <cellStyle name="40% - Accent4 18 2 2" xfId="12248"/>
    <cellStyle name="40% - Accent4 18 2 2 2" xfId="23536"/>
    <cellStyle name="40% - Accent4 18 2 3" xfId="10254"/>
    <cellStyle name="40% - Accent4 18 2 3 2" xfId="21542"/>
    <cellStyle name="40% - Accent4 18 2 4" xfId="8260"/>
    <cellStyle name="40% - Accent4 18 2 4 2" xfId="19548"/>
    <cellStyle name="40% - Accent4 18 2 5" xfId="6266"/>
    <cellStyle name="40% - Accent4 18 2 5 2" xfId="17554"/>
    <cellStyle name="40% - Accent4 18 2 6" xfId="15560"/>
    <cellStyle name="40% - Accent4 18 3" xfId="11251"/>
    <cellStyle name="40% - Accent4 18 3 2" xfId="22539"/>
    <cellStyle name="40% - Accent4 18 4" xfId="9257"/>
    <cellStyle name="40% - Accent4 18 4 2" xfId="20545"/>
    <cellStyle name="40% - Accent4 18 5" xfId="7263"/>
    <cellStyle name="40% - Accent4 18 5 2" xfId="18551"/>
    <cellStyle name="40% - Accent4 18 6" xfId="5269"/>
    <cellStyle name="40% - Accent4 18 6 2" xfId="16557"/>
    <cellStyle name="40% - Accent4 18 7" xfId="14563"/>
    <cellStyle name="40% - Accent4 18 8" xfId="13249"/>
    <cellStyle name="40% - Accent4 19" xfId="1314"/>
    <cellStyle name="40% - Accent4 19 2" xfId="4270"/>
    <cellStyle name="40% - Accent4 19 2 2" xfId="12249"/>
    <cellStyle name="40% - Accent4 19 2 2 2" xfId="23537"/>
    <cellStyle name="40% - Accent4 19 2 3" xfId="10255"/>
    <cellStyle name="40% - Accent4 19 2 3 2" xfId="21543"/>
    <cellStyle name="40% - Accent4 19 2 4" xfId="8261"/>
    <cellStyle name="40% - Accent4 19 2 4 2" xfId="19549"/>
    <cellStyle name="40% - Accent4 19 2 5" xfId="6267"/>
    <cellStyle name="40% - Accent4 19 2 5 2" xfId="17555"/>
    <cellStyle name="40% - Accent4 19 2 6" xfId="15561"/>
    <cellStyle name="40% - Accent4 19 3" xfId="11252"/>
    <cellStyle name="40% - Accent4 19 3 2" xfId="22540"/>
    <cellStyle name="40% - Accent4 19 4" xfId="9258"/>
    <cellStyle name="40% - Accent4 19 4 2" xfId="20546"/>
    <cellStyle name="40% - Accent4 19 5" xfId="7264"/>
    <cellStyle name="40% - Accent4 19 5 2" xfId="18552"/>
    <cellStyle name="40% - Accent4 19 6" xfId="5270"/>
    <cellStyle name="40% - Accent4 19 6 2" xfId="16558"/>
    <cellStyle name="40% - Accent4 19 7" xfId="14564"/>
    <cellStyle name="40% - Accent4 19 8" xfId="13250"/>
    <cellStyle name="40% - Accent4 2" xfId="1315"/>
    <cellStyle name="40% - Accent4 2 10" xfId="24613"/>
    <cellStyle name="40% - Accent4 2 11" xfId="25003"/>
    <cellStyle name="40% - Accent4 2 2" xfId="4271"/>
    <cellStyle name="40% - Accent4 2 2 2" xfId="12250"/>
    <cellStyle name="40% - Accent4 2 2 2 2" xfId="23538"/>
    <cellStyle name="40% - Accent4 2 2 3" xfId="10256"/>
    <cellStyle name="40% - Accent4 2 2 3 2" xfId="21544"/>
    <cellStyle name="40% - Accent4 2 2 4" xfId="8262"/>
    <cellStyle name="40% - Accent4 2 2 4 2" xfId="19550"/>
    <cellStyle name="40% - Accent4 2 2 5" xfId="6268"/>
    <cellStyle name="40% - Accent4 2 2 5 2" xfId="17556"/>
    <cellStyle name="40% - Accent4 2 2 6" xfId="15562"/>
    <cellStyle name="40% - Accent4 2 2 7" xfId="24374"/>
    <cellStyle name="40% - Accent4 2 2 8" xfId="24838"/>
    <cellStyle name="40% - Accent4 2 2 9" xfId="25205"/>
    <cellStyle name="40% - Accent4 2 3" xfId="11253"/>
    <cellStyle name="40% - Accent4 2 3 2" xfId="22541"/>
    <cellStyle name="40% - Accent4 2 4" xfId="9259"/>
    <cellStyle name="40% - Accent4 2 4 2" xfId="20547"/>
    <cellStyle name="40% - Accent4 2 5" xfId="7265"/>
    <cellStyle name="40% - Accent4 2 5 2" xfId="18553"/>
    <cellStyle name="40% - Accent4 2 6" xfId="5271"/>
    <cellStyle name="40% - Accent4 2 6 2" xfId="16559"/>
    <cellStyle name="40% - Accent4 2 7" xfId="14565"/>
    <cellStyle name="40% - Accent4 2 8" xfId="13251"/>
    <cellStyle name="40% - Accent4 2 9" xfId="23986"/>
    <cellStyle name="40% - Accent4 20" xfId="1316"/>
    <cellStyle name="40% - Accent4 20 2" xfId="4272"/>
    <cellStyle name="40% - Accent4 20 2 2" xfId="12251"/>
    <cellStyle name="40% - Accent4 20 2 2 2" xfId="23539"/>
    <cellStyle name="40% - Accent4 20 2 3" xfId="10257"/>
    <cellStyle name="40% - Accent4 20 2 3 2" xfId="21545"/>
    <cellStyle name="40% - Accent4 20 2 4" xfId="8263"/>
    <cellStyle name="40% - Accent4 20 2 4 2" xfId="19551"/>
    <cellStyle name="40% - Accent4 20 2 5" xfId="6269"/>
    <cellStyle name="40% - Accent4 20 2 5 2" xfId="17557"/>
    <cellStyle name="40% - Accent4 20 2 6" xfId="15563"/>
    <cellStyle name="40% - Accent4 20 3" xfId="11254"/>
    <cellStyle name="40% - Accent4 20 3 2" xfId="22542"/>
    <cellStyle name="40% - Accent4 20 4" xfId="9260"/>
    <cellStyle name="40% - Accent4 20 4 2" xfId="20548"/>
    <cellStyle name="40% - Accent4 20 5" xfId="7266"/>
    <cellStyle name="40% - Accent4 20 5 2" xfId="18554"/>
    <cellStyle name="40% - Accent4 20 6" xfId="5272"/>
    <cellStyle name="40% - Accent4 20 6 2" xfId="16560"/>
    <cellStyle name="40% - Accent4 20 7" xfId="14566"/>
    <cellStyle name="40% - Accent4 20 8" xfId="13252"/>
    <cellStyle name="40% - Accent4 21" xfId="1317"/>
    <cellStyle name="40% - Accent4 21 2" xfId="4273"/>
    <cellStyle name="40% - Accent4 21 2 2" xfId="12252"/>
    <cellStyle name="40% - Accent4 21 2 2 2" xfId="23540"/>
    <cellStyle name="40% - Accent4 21 2 3" xfId="10258"/>
    <cellStyle name="40% - Accent4 21 2 3 2" xfId="21546"/>
    <cellStyle name="40% - Accent4 21 2 4" xfId="8264"/>
    <cellStyle name="40% - Accent4 21 2 4 2" xfId="19552"/>
    <cellStyle name="40% - Accent4 21 2 5" xfId="6270"/>
    <cellStyle name="40% - Accent4 21 2 5 2" xfId="17558"/>
    <cellStyle name="40% - Accent4 21 2 6" xfId="15564"/>
    <cellStyle name="40% - Accent4 21 3" xfId="11255"/>
    <cellStyle name="40% - Accent4 21 3 2" xfId="22543"/>
    <cellStyle name="40% - Accent4 21 4" xfId="9261"/>
    <cellStyle name="40% - Accent4 21 4 2" xfId="20549"/>
    <cellStyle name="40% - Accent4 21 5" xfId="7267"/>
    <cellStyle name="40% - Accent4 21 5 2" xfId="18555"/>
    <cellStyle name="40% - Accent4 21 6" xfId="5273"/>
    <cellStyle name="40% - Accent4 21 6 2" xfId="16561"/>
    <cellStyle name="40% - Accent4 21 7" xfId="14567"/>
    <cellStyle name="40% - Accent4 21 8" xfId="13253"/>
    <cellStyle name="40% - Accent4 22" xfId="1318"/>
    <cellStyle name="40% - Accent4 22 2" xfId="4274"/>
    <cellStyle name="40% - Accent4 22 2 2" xfId="12253"/>
    <cellStyle name="40% - Accent4 22 2 2 2" xfId="23541"/>
    <cellStyle name="40% - Accent4 22 2 3" xfId="10259"/>
    <cellStyle name="40% - Accent4 22 2 3 2" xfId="21547"/>
    <cellStyle name="40% - Accent4 22 2 4" xfId="8265"/>
    <cellStyle name="40% - Accent4 22 2 4 2" xfId="19553"/>
    <cellStyle name="40% - Accent4 22 2 5" xfId="6271"/>
    <cellStyle name="40% - Accent4 22 2 5 2" xfId="17559"/>
    <cellStyle name="40% - Accent4 22 2 6" xfId="15565"/>
    <cellStyle name="40% - Accent4 22 3" xfId="11256"/>
    <cellStyle name="40% - Accent4 22 3 2" xfId="22544"/>
    <cellStyle name="40% - Accent4 22 4" xfId="9262"/>
    <cellStyle name="40% - Accent4 22 4 2" xfId="20550"/>
    <cellStyle name="40% - Accent4 22 5" xfId="7268"/>
    <cellStyle name="40% - Accent4 22 5 2" xfId="18556"/>
    <cellStyle name="40% - Accent4 22 6" xfId="5274"/>
    <cellStyle name="40% - Accent4 22 6 2" xfId="16562"/>
    <cellStyle name="40% - Accent4 22 7" xfId="14568"/>
    <cellStyle name="40% - Accent4 22 8" xfId="13254"/>
    <cellStyle name="40% - Accent4 23" xfId="1319"/>
    <cellStyle name="40% - Accent4 23 2" xfId="4275"/>
    <cellStyle name="40% - Accent4 23 2 2" xfId="12254"/>
    <cellStyle name="40% - Accent4 23 2 2 2" xfId="23542"/>
    <cellStyle name="40% - Accent4 23 2 3" xfId="10260"/>
    <cellStyle name="40% - Accent4 23 2 3 2" xfId="21548"/>
    <cellStyle name="40% - Accent4 23 2 4" xfId="8266"/>
    <cellStyle name="40% - Accent4 23 2 4 2" xfId="19554"/>
    <cellStyle name="40% - Accent4 23 2 5" xfId="6272"/>
    <cellStyle name="40% - Accent4 23 2 5 2" xfId="17560"/>
    <cellStyle name="40% - Accent4 23 2 6" xfId="15566"/>
    <cellStyle name="40% - Accent4 23 3" xfId="11257"/>
    <cellStyle name="40% - Accent4 23 3 2" xfId="22545"/>
    <cellStyle name="40% - Accent4 23 4" xfId="9263"/>
    <cellStyle name="40% - Accent4 23 4 2" xfId="20551"/>
    <cellStyle name="40% - Accent4 23 5" xfId="7269"/>
    <cellStyle name="40% - Accent4 23 5 2" xfId="18557"/>
    <cellStyle name="40% - Accent4 23 6" xfId="5275"/>
    <cellStyle name="40% - Accent4 23 6 2" xfId="16563"/>
    <cellStyle name="40% - Accent4 23 7" xfId="14569"/>
    <cellStyle name="40% - Accent4 23 8" xfId="13255"/>
    <cellStyle name="40% - Accent4 24" xfId="1320"/>
    <cellStyle name="40% - Accent4 24 2" xfId="4276"/>
    <cellStyle name="40% - Accent4 24 2 2" xfId="12255"/>
    <cellStyle name="40% - Accent4 24 2 2 2" xfId="23543"/>
    <cellStyle name="40% - Accent4 24 2 3" xfId="10261"/>
    <cellStyle name="40% - Accent4 24 2 3 2" xfId="21549"/>
    <cellStyle name="40% - Accent4 24 2 4" xfId="8267"/>
    <cellStyle name="40% - Accent4 24 2 4 2" xfId="19555"/>
    <cellStyle name="40% - Accent4 24 2 5" xfId="6273"/>
    <cellStyle name="40% - Accent4 24 2 5 2" xfId="17561"/>
    <cellStyle name="40% - Accent4 24 2 6" xfId="15567"/>
    <cellStyle name="40% - Accent4 24 3" xfId="11258"/>
    <cellStyle name="40% - Accent4 24 3 2" xfId="22546"/>
    <cellStyle name="40% - Accent4 24 4" xfId="9264"/>
    <cellStyle name="40% - Accent4 24 4 2" xfId="20552"/>
    <cellStyle name="40% - Accent4 24 5" xfId="7270"/>
    <cellStyle name="40% - Accent4 24 5 2" xfId="18558"/>
    <cellStyle name="40% - Accent4 24 6" xfId="5276"/>
    <cellStyle name="40% - Accent4 24 6 2" xfId="16564"/>
    <cellStyle name="40% - Accent4 24 7" xfId="14570"/>
    <cellStyle name="40% - Accent4 24 8" xfId="13256"/>
    <cellStyle name="40% - Accent4 25" xfId="1321"/>
    <cellStyle name="40% - Accent4 25 2" xfId="4277"/>
    <cellStyle name="40% - Accent4 25 2 2" xfId="12256"/>
    <cellStyle name="40% - Accent4 25 2 2 2" xfId="23544"/>
    <cellStyle name="40% - Accent4 25 2 3" xfId="10262"/>
    <cellStyle name="40% - Accent4 25 2 3 2" xfId="21550"/>
    <cellStyle name="40% - Accent4 25 2 4" xfId="8268"/>
    <cellStyle name="40% - Accent4 25 2 4 2" xfId="19556"/>
    <cellStyle name="40% - Accent4 25 2 5" xfId="6274"/>
    <cellStyle name="40% - Accent4 25 2 5 2" xfId="17562"/>
    <cellStyle name="40% - Accent4 25 2 6" xfId="15568"/>
    <cellStyle name="40% - Accent4 25 3" xfId="11259"/>
    <cellStyle name="40% - Accent4 25 3 2" xfId="22547"/>
    <cellStyle name="40% - Accent4 25 4" xfId="9265"/>
    <cellStyle name="40% - Accent4 25 4 2" xfId="20553"/>
    <cellStyle name="40% - Accent4 25 5" xfId="7271"/>
    <cellStyle name="40% - Accent4 25 5 2" xfId="18559"/>
    <cellStyle name="40% - Accent4 25 6" xfId="5277"/>
    <cellStyle name="40% - Accent4 25 6 2" xfId="16565"/>
    <cellStyle name="40% - Accent4 25 7" xfId="14571"/>
    <cellStyle name="40% - Accent4 25 8" xfId="13257"/>
    <cellStyle name="40% - Accent4 26" xfId="1322"/>
    <cellStyle name="40% - Accent4 26 2" xfId="4278"/>
    <cellStyle name="40% - Accent4 26 2 2" xfId="12257"/>
    <cellStyle name="40% - Accent4 26 2 2 2" xfId="23545"/>
    <cellStyle name="40% - Accent4 26 2 3" xfId="10263"/>
    <cellStyle name="40% - Accent4 26 2 3 2" xfId="21551"/>
    <cellStyle name="40% - Accent4 26 2 4" xfId="8269"/>
    <cellStyle name="40% - Accent4 26 2 4 2" xfId="19557"/>
    <cellStyle name="40% - Accent4 26 2 5" xfId="6275"/>
    <cellStyle name="40% - Accent4 26 2 5 2" xfId="17563"/>
    <cellStyle name="40% - Accent4 26 2 6" xfId="15569"/>
    <cellStyle name="40% - Accent4 26 3" xfId="11260"/>
    <cellStyle name="40% - Accent4 26 3 2" xfId="22548"/>
    <cellStyle name="40% - Accent4 26 4" xfId="9266"/>
    <cellStyle name="40% - Accent4 26 4 2" xfId="20554"/>
    <cellStyle name="40% - Accent4 26 5" xfId="7272"/>
    <cellStyle name="40% - Accent4 26 5 2" xfId="18560"/>
    <cellStyle name="40% - Accent4 26 6" xfId="5278"/>
    <cellStyle name="40% - Accent4 26 6 2" xfId="16566"/>
    <cellStyle name="40% - Accent4 26 7" xfId="14572"/>
    <cellStyle name="40% - Accent4 26 8" xfId="13258"/>
    <cellStyle name="40% - Accent4 27" xfId="1323"/>
    <cellStyle name="40% - Accent4 27 2" xfId="4279"/>
    <cellStyle name="40% - Accent4 27 2 2" xfId="12258"/>
    <cellStyle name="40% - Accent4 27 2 2 2" xfId="23546"/>
    <cellStyle name="40% - Accent4 27 2 3" xfId="10264"/>
    <cellStyle name="40% - Accent4 27 2 3 2" xfId="21552"/>
    <cellStyle name="40% - Accent4 27 2 4" xfId="8270"/>
    <cellStyle name="40% - Accent4 27 2 4 2" xfId="19558"/>
    <cellStyle name="40% - Accent4 27 2 5" xfId="6276"/>
    <cellStyle name="40% - Accent4 27 2 5 2" xfId="17564"/>
    <cellStyle name="40% - Accent4 27 2 6" xfId="15570"/>
    <cellStyle name="40% - Accent4 27 3" xfId="11261"/>
    <cellStyle name="40% - Accent4 27 3 2" xfId="22549"/>
    <cellStyle name="40% - Accent4 27 4" xfId="9267"/>
    <cellStyle name="40% - Accent4 27 4 2" xfId="20555"/>
    <cellStyle name="40% - Accent4 27 5" xfId="7273"/>
    <cellStyle name="40% - Accent4 27 5 2" xfId="18561"/>
    <cellStyle name="40% - Accent4 27 6" xfId="5279"/>
    <cellStyle name="40% - Accent4 27 6 2" xfId="16567"/>
    <cellStyle name="40% - Accent4 27 7" xfId="14573"/>
    <cellStyle name="40% - Accent4 27 8" xfId="13259"/>
    <cellStyle name="40% - Accent4 28" xfId="1324"/>
    <cellStyle name="40% - Accent4 28 2" xfId="4280"/>
    <cellStyle name="40% - Accent4 28 2 2" xfId="12259"/>
    <cellStyle name="40% - Accent4 28 2 2 2" xfId="23547"/>
    <cellStyle name="40% - Accent4 28 2 3" xfId="10265"/>
    <cellStyle name="40% - Accent4 28 2 3 2" xfId="21553"/>
    <cellStyle name="40% - Accent4 28 2 4" xfId="8271"/>
    <cellStyle name="40% - Accent4 28 2 4 2" xfId="19559"/>
    <cellStyle name="40% - Accent4 28 2 5" xfId="6277"/>
    <cellStyle name="40% - Accent4 28 2 5 2" xfId="17565"/>
    <cellStyle name="40% - Accent4 28 2 6" xfId="15571"/>
    <cellStyle name="40% - Accent4 28 3" xfId="11262"/>
    <cellStyle name="40% - Accent4 28 3 2" xfId="22550"/>
    <cellStyle name="40% - Accent4 28 4" xfId="9268"/>
    <cellStyle name="40% - Accent4 28 4 2" xfId="20556"/>
    <cellStyle name="40% - Accent4 28 5" xfId="7274"/>
    <cellStyle name="40% - Accent4 28 5 2" xfId="18562"/>
    <cellStyle name="40% - Accent4 28 6" xfId="5280"/>
    <cellStyle name="40% - Accent4 28 6 2" xfId="16568"/>
    <cellStyle name="40% - Accent4 28 7" xfId="14574"/>
    <cellStyle name="40% - Accent4 28 8" xfId="13260"/>
    <cellStyle name="40% - Accent4 29" xfId="1325"/>
    <cellStyle name="40% - Accent4 29 2" xfId="4281"/>
    <cellStyle name="40% - Accent4 29 2 2" xfId="12260"/>
    <cellStyle name="40% - Accent4 29 2 2 2" xfId="23548"/>
    <cellStyle name="40% - Accent4 29 2 3" xfId="10266"/>
    <cellStyle name="40% - Accent4 29 2 3 2" xfId="21554"/>
    <cellStyle name="40% - Accent4 29 2 4" xfId="8272"/>
    <cellStyle name="40% - Accent4 29 2 4 2" xfId="19560"/>
    <cellStyle name="40% - Accent4 29 2 5" xfId="6278"/>
    <cellStyle name="40% - Accent4 29 2 5 2" xfId="17566"/>
    <cellStyle name="40% - Accent4 29 2 6" xfId="15572"/>
    <cellStyle name="40% - Accent4 29 3" xfId="11263"/>
    <cellStyle name="40% - Accent4 29 3 2" xfId="22551"/>
    <cellStyle name="40% - Accent4 29 4" xfId="9269"/>
    <cellStyle name="40% - Accent4 29 4 2" xfId="20557"/>
    <cellStyle name="40% - Accent4 29 5" xfId="7275"/>
    <cellStyle name="40% - Accent4 29 5 2" xfId="18563"/>
    <cellStyle name="40% - Accent4 29 6" xfId="5281"/>
    <cellStyle name="40% - Accent4 29 6 2" xfId="16569"/>
    <cellStyle name="40% - Accent4 29 7" xfId="14575"/>
    <cellStyle name="40% - Accent4 29 8" xfId="13261"/>
    <cellStyle name="40% - Accent4 3" xfId="1326"/>
    <cellStyle name="40% - Accent4 3 10" xfId="24614"/>
    <cellStyle name="40% - Accent4 3 11" xfId="25004"/>
    <cellStyle name="40% - Accent4 3 2" xfId="4282"/>
    <cellStyle name="40% - Accent4 3 2 2" xfId="12261"/>
    <cellStyle name="40% - Accent4 3 2 2 2" xfId="23549"/>
    <cellStyle name="40% - Accent4 3 2 3" xfId="10267"/>
    <cellStyle name="40% - Accent4 3 2 3 2" xfId="21555"/>
    <cellStyle name="40% - Accent4 3 2 4" xfId="8273"/>
    <cellStyle name="40% - Accent4 3 2 4 2" xfId="19561"/>
    <cellStyle name="40% - Accent4 3 2 5" xfId="6279"/>
    <cellStyle name="40% - Accent4 3 2 5 2" xfId="17567"/>
    <cellStyle name="40% - Accent4 3 2 6" xfId="15573"/>
    <cellStyle name="40% - Accent4 3 2 7" xfId="24375"/>
    <cellStyle name="40% - Accent4 3 2 8" xfId="24839"/>
    <cellStyle name="40% - Accent4 3 2 9" xfId="25206"/>
    <cellStyle name="40% - Accent4 3 3" xfId="11264"/>
    <cellStyle name="40% - Accent4 3 3 2" xfId="22552"/>
    <cellStyle name="40% - Accent4 3 4" xfId="9270"/>
    <cellStyle name="40% - Accent4 3 4 2" xfId="20558"/>
    <cellStyle name="40% - Accent4 3 5" xfId="7276"/>
    <cellStyle name="40% - Accent4 3 5 2" xfId="18564"/>
    <cellStyle name="40% - Accent4 3 6" xfId="5282"/>
    <cellStyle name="40% - Accent4 3 6 2" xfId="16570"/>
    <cellStyle name="40% - Accent4 3 7" xfId="14576"/>
    <cellStyle name="40% - Accent4 3 8" xfId="13262"/>
    <cellStyle name="40% - Accent4 3 9" xfId="23987"/>
    <cellStyle name="40% - Accent4 30" xfId="1327"/>
    <cellStyle name="40% - Accent4 30 2" xfId="4283"/>
    <cellStyle name="40% - Accent4 30 2 2" xfId="12262"/>
    <cellStyle name="40% - Accent4 30 2 2 2" xfId="23550"/>
    <cellStyle name="40% - Accent4 30 2 3" xfId="10268"/>
    <cellStyle name="40% - Accent4 30 2 3 2" xfId="21556"/>
    <cellStyle name="40% - Accent4 30 2 4" xfId="8274"/>
    <cellStyle name="40% - Accent4 30 2 4 2" xfId="19562"/>
    <cellStyle name="40% - Accent4 30 2 5" xfId="6280"/>
    <cellStyle name="40% - Accent4 30 2 5 2" xfId="17568"/>
    <cellStyle name="40% - Accent4 30 2 6" xfId="15574"/>
    <cellStyle name="40% - Accent4 30 3" xfId="11265"/>
    <cellStyle name="40% - Accent4 30 3 2" xfId="22553"/>
    <cellStyle name="40% - Accent4 30 4" xfId="9271"/>
    <cellStyle name="40% - Accent4 30 4 2" xfId="20559"/>
    <cellStyle name="40% - Accent4 30 5" xfId="7277"/>
    <cellStyle name="40% - Accent4 30 5 2" xfId="18565"/>
    <cellStyle name="40% - Accent4 30 6" xfId="5283"/>
    <cellStyle name="40% - Accent4 30 6 2" xfId="16571"/>
    <cellStyle name="40% - Accent4 30 7" xfId="14577"/>
    <cellStyle name="40% - Accent4 30 8" xfId="13263"/>
    <cellStyle name="40% - Accent4 31" xfId="1328"/>
    <cellStyle name="40% - Accent4 31 2" xfId="4284"/>
    <cellStyle name="40% - Accent4 31 2 2" xfId="12263"/>
    <cellStyle name="40% - Accent4 31 2 2 2" xfId="23551"/>
    <cellStyle name="40% - Accent4 31 2 3" xfId="10269"/>
    <cellStyle name="40% - Accent4 31 2 3 2" xfId="21557"/>
    <cellStyle name="40% - Accent4 31 2 4" xfId="8275"/>
    <cellStyle name="40% - Accent4 31 2 4 2" xfId="19563"/>
    <cellStyle name="40% - Accent4 31 2 5" xfId="6281"/>
    <cellStyle name="40% - Accent4 31 2 5 2" xfId="17569"/>
    <cellStyle name="40% - Accent4 31 2 6" xfId="15575"/>
    <cellStyle name="40% - Accent4 31 3" xfId="11266"/>
    <cellStyle name="40% - Accent4 31 3 2" xfId="22554"/>
    <cellStyle name="40% - Accent4 31 4" xfId="9272"/>
    <cellStyle name="40% - Accent4 31 4 2" xfId="20560"/>
    <cellStyle name="40% - Accent4 31 5" xfId="7278"/>
    <cellStyle name="40% - Accent4 31 5 2" xfId="18566"/>
    <cellStyle name="40% - Accent4 31 6" xfId="5284"/>
    <cellStyle name="40% - Accent4 31 6 2" xfId="16572"/>
    <cellStyle name="40% - Accent4 31 7" xfId="14578"/>
    <cellStyle name="40% - Accent4 31 8" xfId="13264"/>
    <cellStyle name="40% - Accent4 32" xfId="1329"/>
    <cellStyle name="40% - Accent4 32 2" xfId="4285"/>
    <cellStyle name="40% - Accent4 32 2 2" xfId="12264"/>
    <cellStyle name="40% - Accent4 32 2 2 2" xfId="23552"/>
    <cellStyle name="40% - Accent4 32 2 3" xfId="10270"/>
    <cellStyle name="40% - Accent4 32 2 3 2" xfId="21558"/>
    <cellStyle name="40% - Accent4 32 2 4" xfId="8276"/>
    <cellStyle name="40% - Accent4 32 2 4 2" xfId="19564"/>
    <cellStyle name="40% - Accent4 32 2 5" xfId="6282"/>
    <cellStyle name="40% - Accent4 32 2 5 2" xfId="17570"/>
    <cellStyle name="40% - Accent4 32 2 6" xfId="15576"/>
    <cellStyle name="40% - Accent4 32 3" xfId="11267"/>
    <cellStyle name="40% - Accent4 32 3 2" xfId="22555"/>
    <cellStyle name="40% - Accent4 32 4" xfId="9273"/>
    <cellStyle name="40% - Accent4 32 4 2" xfId="20561"/>
    <cellStyle name="40% - Accent4 32 5" xfId="7279"/>
    <cellStyle name="40% - Accent4 32 5 2" xfId="18567"/>
    <cellStyle name="40% - Accent4 32 6" xfId="5285"/>
    <cellStyle name="40% - Accent4 32 6 2" xfId="16573"/>
    <cellStyle name="40% - Accent4 32 7" xfId="14579"/>
    <cellStyle name="40% - Accent4 32 8" xfId="13265"/>
    <cellStyle name="40% - Accent4 33" xfId="1330"/>
    <cellStyle name="40% - Accent4 33 2" xfId="4286"/>
    <cellStyle name="40% - Accent4 33 2 2" xfId="12265"/>
    <cellStyle name="40% - Accent4 33 2 2 2" xfId="23553"/>
    <cellStyle name="40% - Accent4 33 2 3" xfId="10271"/>
    <cellStyle name="40% - Accent4 33 2 3 2" xfId="21559"/>
    <cellStyle name="40% - Accent4 33 2 4" xfId="8277"/>
    <cellStyle name="40% - Accent4 33 2 4 2" xfId="19565"/>
    <cellStyle name="40% - Accent4 33 2 5" xfId="6283"/>
    <cellStyle name="40% - Accent4 33 2 5 2" xfId="17571"/>
    <cellStyle name="40% - Accent4 33 2 6" xfId="15577"/>
    <cellStyle name="40% - Accent4 33 3" xfId="11268"/>
    <cellStyle name="40% - Accent4 33 3 2" xfId="22556"/>
    <cellStyle name="40% - Accent4 33 4" xfId="9274"/>
    <cellStyle name="40% - Accent4 33 4 2" xfId="20562"/>
    <cellStyle name="40% - Accent4 33 5" xfId="7280"/>
    <cellStyle name="40% - Accent4 33 5 2" xfId="18568"/>
    <cellStyle name="40% - Accent4 33 6" xfId="5286"/>
    <cellStyle name="40% - Accent4 33 6 2" xfId="16574"/>
    <cellStyle name="40% - Accent4 33 7" xfId="14580"/>
    <cellStyle name="40% - Accent4 33 8" xfId="13266"/>
    <cellStyle name="40% - Accent4 34" xfId="1331"/>
    <cellStyle name="40% - Accent4 34 2" xfId="4287"/>
    <cellStyle name="40% - Accent4 34 2 2" xfId="12266"/>
    <cellStyle name="40% - Accent4 34 2 2 2" xfId="23554"/>
    <cellStyle name="40% - Accent4 34 2 3" xfId="10272"/>
    <cellStyle name="40% - Accent4 34 2 3 2" xfId="21560"/>
    <cellStyle name="40% - Accent4 34 2 4" xfId="8278"/>
    <cellStyle name="40% - Accent4 34 2 4 2" xfId="19566"/>
    <cellStyle name="40% - Accent4 34 2 5" xfId="6284"/>
    <cellStyle name="40% - Accent4 34 2 5 2" xfId="17572"/>
    <cellStyle name="40% - Accent4 34 2 6" xfId="15578"/>
    <cellStyle name="40% - Accent4 34 3" xfId="11269"/>
    <cellStyle name="40% - Accent4 34 3 2" xfId="22557"/>
    <cellStyle name="40% - Accent4 34 4" xfId="9275"/>
    <cellStyle name="40% - Accent4 34 4 2" xfId="20563"/>
    <cellStyle name="40% - Accent4 34 5" xfId="7281"/>
    <cellStyle name="40% - Accent4 34 5 2" xfId="18569"/>
    <cellStyle name="40% - Accent4 34 6" xfId="5287"/>
    <cellStyle name="40% - Accent4 34 6 2" xfId="16575"/>
    <cellStyle name="40% - Accent4 34 7" xfId="14581"/>
    <cellStyle name="40% - Accent4 34 8" xfId="13267"/>
    <cellStyle name="40% - Accent4 35" xfId="1332"/>
    <cellStyle name="40% - Accent4 35 2" xfId="4288"/>
    <cellStyle name="40% - Accent4 35 2 2" xfId="12267"/>
    <cellStyle name="40% - Accent4 35 2 2 2" xfId="23555"/>
    <cellStyle name="40% - Accent4 35 2 3" xfId="10273"/>
    <cellStyle name="40% - Accent4 35 2 3 2" xfId="21561"/>
    <cellStyle name="40% - Accent4 35 2 4" xfId="8279"/>
    <cellStyle name="40% - Accent4 35 2 4 2" xfId="19567"/>
    <cellStyle name="40% - Accent4 35 2 5" xfId="6285"/>
    <cellStyle name="40% - Accent4 35 2 5 2" xfId="17573"/>
    <cellStyle name="40% - Accent4 35 2 6" xfId="15579"/>
    <cellStyle name="40% - Accent4 35 3" xfId="11270"/>
    <cellStyle name="40% - Accent4 35 3 2" xfId="22558"/>
    <cellStyle name="40% - Accent4 35 4" xfId="9276"/>
    <cellStyle name="40% - Accent4 35 4 2" xfId="20564"/>
    <cellStyle name="40% - Accent4 35 5" xfId="7282"/>
    <cellStyle name="40% - Accent4 35 5 2" xfId="18570"/>
    <cellStyle name="40% - Accent4 35 6" xfId="5288"/>
    <cellStyle name="40% - Accent4 35 6 2" xfId="16576"/>
    <cellStyle name="40% - Accent4 35 7" xfId="14582"/>
    <cellStyle name="40% - Accent4 35 8" xfId="13268"/>
    <cellStyle name="40% - Accent4 36" xfId="1333"/>
    <cellStyle name="40% - Accent4 36 2" xfId="4289"/>
    <cellStyle name="40% - Accent4 36 2 2" xfId="12268"/>
    <cellStyle name="40% - Accent4 36 2 2 2" xfId="23556"/>
    <cellStyle name="40% - Accent4 36 2 3" xfId="10274"/>
    <cellStyle name="40% - Accent4 36 2 3 2" xfId="21562"/>
    <cellStyle name="40% - Accent4 36 2 4" xfId="8280"/>
    <cellStyle name="40% - Accent4 36 2 4 2" xfId="19568"/>
    <cellStyle name="40% - Accent4 36 2 5" xfId="6286"/>
    <cellStyle name="40% - Accent4 36 2 5 2" xfId="17574"/>
    <cellStyle name="40% - Accent4 36 2 6" xfId="15580"/>
    <cellStyle name="40% - Accent4 36 3" xfId="11271"/>
    <cellStyle name="40% - Accent4 36 3 2" xfId="22559"/>
    <cellStyle name="40% - Accent4 36 4" xfId="9277"/>
    <cellStyle name="40% - Accent4 36 4 2" xfId="20565"/>
    <cellStyle name="40% - Accent4 36 5" xfId="7283"/>
    <cellStyle name="40% - Accent4 36 5 2" xfId="18571"/>
    <cellStyle name="40% - Accent4 36 6" xfId="5289"/>
    <cellStyle name="40% - Accent4 36 6 2" xfId="16577"/>
    <cellStyle name="40% - Accent4 36 7" xfId="14583"/>
    <cellStyle name="40% - Accent4 36 8" xfId="13269"/>
    <cellStyle name="40% - Accent4 37" xfId="1334"/>
    <cellStyle name="40% - Accent4 37 2" xfId="4290"/>
    <cellStyle name="40% - Accent4 37 2 2" xfId="12269"/>
    <cellStyle name="40% - Accent4 37 2 2 2" xfId="23557"/>
    <cellStyle name="40% - Accent4 37 2 3" xfId="10275"/>
    <cellStyle name="40% - Accent4 37 2 3 2" xfId="21563"/>
    <cellStyle name="40% - Accent4 37 2 4" xfId="8281"/>
    <cellStyle name="40% - Accent4 37 2 4 2" xfId="19569"/>
    <cellStyle name="40% - Accent4 37 2 5" xfId="6287"/>
    <cellStyle name="40% - Accent4 37 2 5 2" xfId="17575"/>
    <cellStyle name="40% - Accent4 37 2 6" xfId="15581"/>
    <cellStyle name="40% - Accent4 37 3" xfId="11272"/>
    <cellStyle name="40% - Accent4 37 3 2" xfId="22560"/>
    <cellStyle name="40% - Accent4 37 4" xfId="9278"/>
    <cellStyle name="40% - Accent4 37 4 2" xfId="20566"/>
    <cellStyle name="40% - Accent4 37 5" xfId="7284"/>
    <cellStyle name="40% - Accent4 37 5 2" xfId="18572"/>
    <cellStyle name="40% - Accent4 37 6" xfId="5290"/>
    <cellStyle name="40% - Accent4 37 6 2" xfId="16578"/>
    <cellStyle name="40% - Accent4 37 7" xfId="14584"/>
    <cellStyle name="40% - Accent4 37 8" xfId="13270"/>
    <cellStyle name="40% - Accent4 38" xfId="1335"/>
    <cellStyle name="40% - Accent4 38 2" xfId="4291"/>
    <cellStyle name="40% - Accent4 38 2 2" xfId="12270"/>
    <cellStyle name="40% - Accent4 38 2 2 2" xfId="23558"/>
    <cellStyle name="40% - Accent4 38 2 3" xfId="10276"/>
    <cellStyle name="40% - Accent4 38 2 3 2" xfId="21564"/>
    <cellStyle name="40% - Accent4 38 2 4" xfId="8282"/>
    <cellStyle name="40% - Accent4 38 2 4 2" xfId="19570"/>
    <cellStyle name="40% - Accent4 38 2 5" xfId="6288"/>
    <cellStyle name="40% - Accent4 38 2 5 2" xfId="17576"/>
    <cellStyle name="40% - Accent4 38 2 6" xfId="15582"/>
    <cellStyle name="40% - Accent4 38 3" xfId="11273"/>
    <cellStyle name="40% - Accent4 38 3 2" xfId="22561"/>
    <cellStyle name="40% - Accent4 38 4" xfId="9279"/>
    <cellStyle name="40% - Accent4 38 4 2" xfId="20567"/>
    <cellStyle name="40% - Accent4 38 5" xfId="7285"/>
    <cellStyle name="40% - Accent4 38 5 2" xfId="18573"/>
    <cellStyle name="40% - Accent4 38 6" xfId="5291"/>
    <cellStyle name="40% - Accent4 38 6 2" xfId="16579"/>
    <cellStyle name="40% - Accent4 38 7" xfId="14585"/>
    <cellStyle name="40% - Accent4 38 8" xfId="13271"/>
    <cellStyle name="40% - Accent4 39" xfId="1336"/>
    <cellStyle name="40% - Accent4 39 2" xfId="4292"/>
    <cellStyle name="40% - Accent4 39 2 2" xfId="12271"/>
    <cellStyle name="40% - Accent4 39 2 2 2" xfId="23559"/>
    <cellStyle name="40% - Accent4 39 2 3" xfId="10277"/>
    <cellStyle name="40% - Accent4 39 2 3 2" xfId="21565"/>
    <cellStyle name="40% - Accent4 39 2 4" xfId="8283"/>
    <cellStyle name="40% - Accent4 39 2 4 2" xfId="19571"/>
    <cellStyle name="40% - Accent4 39 2 5" xfId="6289"/>
    <cellStyle name="40% - Accent4 39 2 5 2" xfId="17577"/>
    <cellStyle name="40% - Accent4 39 2 6" xfId="15583"/>
    <cellStyle name="40% - Accent4 39 3" xfId="11274"/>
    <cellStyle name="40% - Accent4 39 3 2" xfId="22562"/>
    <cellStyle name="40% - Accent4 39 4" xfId="9280"/>
    <cellStyle name="40% - Accent4 39 4 2" xfId="20568"/>
    <cellStyle name="40% - Accent4 39 5" xfId="7286"/>
    <cellStyle name="40% - Accent4 39 5 2" xfId="18574"/>
    <cellStyle name="40% - Accent4 39 6" xfId="5292"/>
    <cellStyle name="40% - Accent4 39 6 2" xfId="16580"/>
    <cellStyle name="40% - Accent4 39 7" xfId="14586"/>
    <cellStyle name="40% - Accent4 39 8" xfId="13272"/>
    <cellStyle name="40% - Accent4 4" xfId="1337"/>
    <cellStyle name="40% - Accent4 4 10" xfId="24615"/>
    <cellStyle name="40% - Accent4 4 11" xfId="25005"/>
    <cellStyle name="40% - Accent4 4 2" xfId="4293"/>
    <cellStyle name="40% - Accent4 4 2 2" xfId="12272"/>
    <cellStyle name="40% - Accent4 4 2 2 2" xfId="23560"/>
    <cellStyle name="40% - Accent4 4 2 3" xfId="10278"/>
    <cellStyle name="40% - Accent4 4 2 3 2" xfId="21566"/>
    <cellStyle name="40% - Accent4 4 2 4" xfId="8284"/>
    <cellStyle name="40% - Accent4 4 2 4 2" xfId="19572"/>
    <cellStyle name="40% - Accent4 4 2 5" xfId="6290"/>
    <cellStyle name="40% - Accent4 4 2 5 2" xfId="17578"/>
    <cellStyle name="40% - Accent4 4 2 6" xfId="15584"/>
    <cellStyle name="40% - Accent4 4 2 7" xfId="24376"/>
    <cellStyle name="40% - Accent4 4 2 8" xfId="24840"/>
    <cellStyle name="40% - Accent4 4 2 9" xfId="25207"/>
    <cellStyle name="40% - Accent4 4 3" xfId="11275"/>
    <cellStyle name="40% - Accent4 4 3 2" xfId="22563"/>
    <cellStyle name="40% - Accent4 4 4" xfId="9281"/>
    <cellStyle name="40% - Accent4 4 4 2" xfId="20569"/>
    <cellStyle name="40% - Accent4 4 5" xfId="7287"/>
    <cellStyle name="40% - Accent4 4 5 2" xfId="18575"/>
    <cellStyle name="40% - Accent4 4 6" xfId="5293"/>
    <cellStyle name="40% - Accent4 4 6 2" xfId="16581"/>
    <cellStyle name="40% - Accent4 4 7" xfId="14587"/>
    <cellStyle name="40% - Accent4 4 8" xfId="13273"/>
    <cellStyle name="40% - Accent4 4 9" xfId="23988"/>
    <cellStyle name="40% - Accent4 40" xfId="1338"/>
    <cellStyle name="40% - Accent4 40 2" xfId="4294"/>
    <cellStyle name="40% - Accent4 40 2 2" xfId="12273"/>
    <cellStyle name="40% - Accent4 40 2 2 2" xfId="23561"/>
    <cellStyle name="40% - Accent4 40 2 3" xfId="10279"/>
    <cellStyle name="40% - Accent4 40 2 3 2" xfId="21567"/>
    <cellStyle name="40% - Accent4 40 2 4" xfId="8285"/>
    <cellStyle name="40% - Accent4 40 2 4 2" xfId="19573"/>
    <cellStyle name="40% - Accent4 40 2 5" xfId="6291"/>
    <cellStyle name="40% - Accent4 40 2 5 2" xfId="17579"/>
    <cellStyle name="40% - Accent4 40 2 6" xfId="15585"/>
    <cellStyle name="40% - Accent4 40 3" xfId="11276"/>
    <cellStyle name="40% - Accent4 40 3 2" xfId="22564"/>
    <cellStyle name="40% - Accent4 40 4" xfId="9282"/>
    <cellStyle name="40% - Accent4 40 4 2" xfId="20570"/>
    <cellStyle name="40% - Accent4 40 5" xfId="7288"/>
    <cellStyle name="40% - Accent4 40 5 2" xfId="18576"/>
    <cellStyle name="40% - Accent4 40 6" xfId="5294"/>
    <cellStyle name="40% - Accent4 40 6 2" xfId="16582"/>
    <cellStyle name="40% - Accent4 40 7" xfId="14588"/>
    <cellStyle name="40% - Accent4 40 8" xfId="13274"/>
    <cellStyle name="40% - Accent4 41" xfId="1339"/>
    <cellStyle name="40% - Accent4 41 2" xfId="4295"/>
    <cellStyle name="40% - Accent4 41 2 2" xfId="12274"/>
    <cellStyle name="40% - Accent4 41 2 2 2" xfId="23562"/>
    <cellStyle name="40% - Accent4 41 2 3" xfId="10280"/>
    <cellStyle name="40% - Accent4 41 2 3 2" xfId="21568"/>
    <cellStyle name="40% - Accent4 41 2 4" xfId="8286"/>
    <cellStyle name="40% - Accent4 41 2 4 2" xfId="19574"/>
    <cellStyle name="40% - Accent4 41 2 5" xfId="6292"/>
    <cellStyle name="40% - Accent4 41 2 5 2" xfId="17580"/>
    <cellStyle name="40% - Accent4 41 2 6" xfId="15586"/>
    <cellStyle name="40% - Accent4 41 3" xfId="11277"/>
    <cellStyle name="40% - Accent4 41 3 2" xfId="22565"/>
    <cellStyle name="40% - Accent4 41 4" xfId="9283"/>
    <cellStyle name="40% - Accent4 41 4 2" xfId="20571"/>
    <cellStyle name="40% - Accent4 41 5" xfId="7289"/>
    <cellStyle name="40% - Accent4 41 5 2" xfId="18577"/>
    <cellStyle name="40% - Accent4 41 6" xfId="5295"/>
    <cellStyle name="40% - Accent4 41 6 2" xfId="16583"/>
    <cellStyle name="40% - Accent4 41 7" xfId="14589"/>
    <cellStyle name="40% - Accent4 41 8" xfId="13275"/>
    <cellStyle name="40% - Accent4 42" xfId="1340"/>
    <cellStyle name="40% - Accent4 42 2" xfId="4296"/>
    <cellStyle name="40% - Accent4 42 2 2" xfId="12275"/>
    <cellStyle name="40% - Accent4 42 2 2 2" xfId="23563"/>
    <cellStyle name="40% - Accent4 42 2 3" xfId="10281"/>
    <cellStyle name="40% - Accent4 42 2 3 2" xfId="21569"/>
    <cellStyle name="40% - Accent4 42 2 4" xfId="8287"/>
    <cellStyle name="40% - Accent4 42 2 4 2" xfId="19575"/>
    <cellStyle name="40% - Accent4 42 2 5" xfId="6293"/>
    <cellStyle name="40% - Accent4 42 2 5 2" xfId="17581"/>
    <cellStyle name="40% - Accent4 42 2 6" xfId="15587"/>
    <cellStyle name="40% - Accent4 42 3" xfId="11278"/>
    <cellStyle name="40% - Accent4 42 3 2" xfId="22566"/>
    <cellStyle name="40% - Accent4 42 4" xfId="9284"/>
    <cellStyle name="40% - Accent4 42 4 2" xfId="20572"/>
    <cellStyle name="40% - Accent4 42 5" xfId="7290"/>
    <cellStyle name="40% - Accent4 42 5 2" xfId="18578"/>
    <cellStyle name="40% - Accent4 42 6" xfId="5296"/>
    <cellStyle name="40% - Accent4 42 6 2" xfId="16584"/>
    <cellStyle name="40% - Accent4 42 7" xfId="14590"/>
    <cellStyle name="40% - Accent4 42 8" xfId="13276"/>
    <cellStyle name="40% - Accent4 43" xfId="1341"/>
    <cellStyle name="40% - Accent4 43 2" xfId="4297"/>
    <cellStyle name="40% - Accent4 43 2 2" xfId="12276"/>
    <cellStyle name="40% - Accent4 43 2 2 2" xfId="23564"/>
    <cellStyle name="40% - Accent4 43 2 3" xfId="10282"/>
    <cellStyle name="40% - Accent4 43 2 3 2" xfId="21570"/>
    <cellStyle name="40% - Accent4 43 2 4" xfId="8288"/>
    <cellStyle name="40% - Accent4 43 2 4 2" xfId="19576"/>
    <cellStyle name="40% - Accent4 43 2 5" xfId="6294"/>
    <cellStyle name="40% - Accent4 43 2 5 2" xfId="17582"/>
    <cellStyle name="40% - Accent4 43 2 6" xfId="15588"/>
    <cellStyle name="40% - Accent4 43 3" xfId="11279"/>
    <cellStyle name="40% - Accent4 43 3 2" xfId="22567"/>
    <cellStyle name="40% - Accent4 43 4" xfId="9285"/>
    <cellStyle name="40% - Accent4 43 4 2" xfId="20573"/>
    <cellStyle name="40% - Accent4 43 5" xfId="7291"/>
    <cellStyle name="40% - Accent4 43 5 2" xfId="18579"/>
    <cellStyle name="40% - Accent4 43 6" xfId="5297"/>
    <cellStyle name="40% - Accent4 43 6 2" xfId="16585"/>
    <cellStyle name="40% - Accent4 43 7" xfId="14591"/>
    <cellStyle name="40% - Accent4 43 8" xfId="13277"/>
    <cellStyle name="40% - Accent4 44" xfId="1342"/>
    <cellStyle name="40% - Accent4 44 2" xfId="4298"/>
    <cellStyle name="40% - Accent4 44 2 2" xfId="12277"/>
    <cellStyle name="40% - Accent4 44 2 2 2" xfId="23565"/>
    <cellStyle name="40% - Accent4 44 2 3" xfId="10283"/>
    <cellStyle name="40% - Accent4 44 2 3 2" xfId="21571"/>
    <cellStyle name="40% - Accent4 44 2 4" xfId="8289"/>
    <cellStyle name="40% - Accent4 44 2 4 2" xfId="19577"/>
    <cellStyle name="40% - Accent4 44 2 5" xfId="6295"/>
    <cellStyle name="40% - Accent4 44 2 5 2" xfId="17583"/>
    <cellStyle name="40% - Accent4 44 2 6" xfId="15589"/>
    <cellStyle name="40% - Accent4 44 3" xfId="11280"/>
    <cellStyle name="40% - Accent4 44 3 2" xfId="22568"/>
    <cellStyle name="40% - Accent4 44 4" xfId="9286"/>
    <cellStyle name="40% - Accent4 44 4 2" xfId="20574"/>
    <cellStyle name="40% - Accent4 44 5" xfId="7292"/>
    <cellStyle name="40% - Accent4 44 5 2" xfId="18580"/>
    <cellStyle name="40% - Accent4 44 6" xfId="5298"/>
    <cellStyle name="40% - Accent4 44 6 2" xfId="16586"/>
    <cellStyle name="40% - Accent4 44 7" xfId="14592"/>
    <cellStyle name="40% - Accent4 44 8" xfId="13278"/>
    <cellStyle name="40% - Accent4 45" xfId="1343"/>
    <cellStyle name="40% - Accent4 45 2" xfId="4299"/>
    <cellStyle name="40% - Accent4 45 2 2" xfId="12278"/>
    <cellStyle name="40% - Accent4 45 2 2 2" xfId="23566"/>
    <cellStyle name="40% - Accent4 45 2 3" xfId="10284"/>
    <cellStyle name="40% - Accent4 45 2 3 2" xfId="21572"/>
    <cellStyle name="40% - Accent4 45 2 4" xfId="8290"/>
    <cellStyle name="40% - Accent4 45 2 4 2" xfId="19578"/>
    <cellStyle name="40% - Accent4 45 2 5" xfId="6296"/>
    <cellStyle name="40% - Accent4 45 2 5 2" xfId="17584"/>
    <cellStyle name="40% - Accent4 45 2 6" xfId="15590"/>
    <cellStyle name="40% - Accent4 45 3" xfId="11281"/>
    <cellStyle name="40% - Accent4 45 3 2" xfId="22569"/>
    <cellStyle name="40% - Accent4 45 4" xfId="9287"/>
    <cellStyle name="40% - Accent4 45 4 2" xfId="20575"/>
    <cellStyle name="40% - Accent4 45 5" xfId="7293"/>
    <cellStyle name="40% - Accent4 45 5 2" xfId="18581"/>
    <cellStyle name="40% - Accent4 45 6" xfId="5299"/>
    <cellStyle name="40% - Accent4 45 6 2" xfId="16587"/>
    <cellStyle name="40% - Accent4 45 7" xfId="14593"/>
    <cellStyle name="40% - Accent4 45 8" xfId="13279"/>
    <cellStyle name="40% - Accent4 46" xfId="1344"/>
    <cellStyle name="40% - Accent4 46 2" xfId="4300"/>
    <cellStyle name="40% - Accent4 46 2 2" xfId="12279"/>
    <cellStyle name="40% - Accent4 46 2 2 2" xfId="23567"/>
    <cellStyle name="40% - Accent4 46 2 3" xfId="10285"/>
    <cellStyle name="40% - Accent4 46 2 3 2" xfId="21573"/>
    <cellStyle name="40% - Accent4 46 2 4" xfId="8291"/>
    <cellStyle name="40% - Accent4 46 2 4 2" xfId="19579"/>
    <cellStyle name="40% - Accent4 46 2 5" xfId="6297"/>
    <cellStyle name="40% - Accent4 46 2 5 2" xfId="17585"/>
    <cellStyle name="40% - Accent4 46 2 6" xfId="15591"/>
    <cellStyle name="40% - Accent4 46 3" xfId="11282"/>
    <cellStyle name="40% - Accent4 46 3 2" xfId="22570"/>
    <cellStyle name="40% - Accent4 46 4" xfId="9288"/>
    <cellStyle name="40% - Accent4 46 4 2" xfId="20576"/>
    <cellStyle name="40% - Accent4 46 5" xfId="7294"/>
    <cellStyle name="40% - Accent4 46 5 2" xfId="18582"/>
    <cellStyle name="40% - Accent4 46 6" xfId="5300"/>
    <cellStyle name="40% - Accent4 46 6 2" xfId="16588"/>
    <cellStyle name="40% - Accent4 46 7" xfId="14594"/>
    <cellStyle name="40% - Accent4 46 8" xfId="13280"/>
    <cellStyle name="40% - Accent4 47" xfId="1345"/>
    <cellStyle name="40% - Accent4 47 2" xfId="4301"/>
    <cellStyle name="40% - Accent4 47 2 2" xfId="12280"/>
    <cellStyle name="40% - Accent4 47 2 2 2" xfId="23568"/>
    <cellStyle name="40% - Accent4 47 2 3" xfId="10286"/>
    <cellStyle name="40% - Accent4 47 2 3 2" xfId="21574"/>
    <cellStyle name="40% - Accent4 47 2 4" xfId="8292"/>
    <cellStyle name="40% - Accent4 47 2 4 2" xfId="19580"/>
    <cellStyle name="40% - Accent4 47 2 5" xfId="6298"/>
    <cellStyle name="40% - Accent4 47 2 5 2" xfId="17586"/>
    <cellStyle name="40% - Accent4 47 2 6" xfId="15592"/>
    <cellStyle name="40% - Accent4 47 3" xfId="11283"/>
    <cellStyle name="40% - Accent4 47 3 2" xfId="22571"/>
    <cellStyle name="40% - Accent4 47 4" xfId="9289"/>
    <cellStyle name="40% - Accent4 47 4 2" xfId="20577"/>
    <cellStyle name="40% - Accent4 47 5" xfId="7295"/>
    <cellStyle name="40% - Accent4 47 5 2" xfId="18583"/>
    <cellStyle name="40% - Accent4 47 6" xfId="5301"/>
    <cellStyle name="40% - Accent4 47 6 2" xfId="16589"/>
    <cellStyle name="40% - Accent4 47 7" xfId="14595"/>
    <cellStyle name="40% - Accent4 47 8" xfId="13281"/>
    <cellStyle name="40% - Accent4 48" xfId="1346"/>
    <cellStyle name="40% - Accent4 48 2" xfId="4302"/>
    <cellStyle name="40% - Accent4 48 2 2" xfId="12281"/>
    <cellStyle name="40% - Accent4 48 2 2 2" xfId="23569"/>
    <cellStyle name="40% - Accent4 48 2 3" xfId="10287"/>
    <cellStyle name="40% - Accent4 48 2 3 2" xfId="21575"/>
    <cellStyle name="40% - Accent4 48 2 4" xfId="8293"/>
    <cellStyle name="40% - Accent4 48 2 4 2" xfId="19581"/>
    <cellStyle name="40% - Accent4 48 2 5" xfId="6299"/>
    <cellStyle name="40% - Accent4 48 2 5 2" xfId="17587"/>
    <cellStyle name="40% - Accent4 48 2 6" xfId="15593"/>
    <cellStyle name="40% - Accent4 48 3" xfId="11284"/>
    <cellStyle name="40% - Accent4 48 3 2" xfId="22572"/>
    <cellStyle name="40% - Accent4 48 4" xfId="9290"/>
    <cellStyle name="40% - Accent4 48 4 2" xfId="20578"/>
    <cellStyle name="40% - Accent4 48 5" xfId="7296"/>
    <cellStyle name="40% - Accent4 48 5 2" xfId="18584"/>
    <cellStyle name="40% - Accent4 48 6" xfId="5302"/>
    <cellStyle name="40% - Accent4 48 6 2" xfId="16590"/>
    <cellStyle name="40% - Accent4 48 7" xfId="14596"/>
    <cellStyle name="40% - Accent4 48 8" xfId="13282"/>
    <cellStyle name="40% - Accent4 49" xfId="1347"/>
    <cellStyle name="40% - Accent4 49 2" xfId="4303"/>
    <cellStyle name="40% - Accent4 49 2 2" xfId="12282"/>
    <cellStyle name="40% - Accent4 49 2 2 2" xfId="23570"/>
    <cellStyle name="40% - Accent4 49 2 3" xfId="10288"/>
    <cellStyle name="40% - Accent4 49 2 3 2" xfId="21576"/>
    <cellStyle name="40% - Accent4 49 2 4" xfId="8294"/>
    <cellStyle name="40% - Accent4 49 2 4 2" xfId="19582"/>
    <cellStyle name="40% - Accent4 49 2 5" xfId="6300"/>
    <cellStyle name="40% - Accent4 49 2 5 2" xfId="17588"/>
    <cellStyle name="40% - Accent4 49 2 6" xfId="15594"/>
    <cellStyle name="40% - Accent4 49 3" xfId="11285"/>
    <cellStyle name="40% - Accent4 49 3 2" xfId="22573"/>
    <cellStyle name="40% - Accent4 49 4" xfId="9291"/>
    <cellStyle name="40% - Accent4 49 4 2" xfId="20579"/>
    <cellStyle name="40% - Accent4 49 5" xfId="7297"/>
    <cellStyle name="40% - Accent4 49 5 2" xfId="18585"/>
    <cellStyle name="40% - Accent4 49 6" xfId="5303"/>
    <cellStyle name="40% - Accent4 49 6 2" xfId="16591"/>
    <cellStyle name="40% - Accent4 49 7" xfId="14597"/>
    <cellStyle name="40% - Accent4 49 8" xfId="13283"/>
    <cellStyle name="40% - Accent4 5" xfId="1348"/>
    <cellStyle name="40% - Accent4 5 10" xfId="24616"/>
    <cellStyle name="40% - Accent4 5 11" xfId="25006"/>
    <cellStyle name="40% - Accent4 5 2" xfId="4304"/>
    <cellStyle name="40% - Accent4 5 2 2" xfId="12283"/>
    <cellStyle name="40% - Accent4 5 2 2 2" xfId="23571"/>
    <cellStyle name="40% - Accent4 5 2 3" xfId="10289"/>
    <cellStyle name="40% - Accent4 5 2 3 2" xfId="21577"/>
    <cellStyle name="40% - Accent4 5 2 4" xfId="8295"/>
    <cellStyle name="40% - Accent4 5 2 4 2" xfId="19583"/>
    <cellStyle name="40% - Accent4 5 2 5" xfId="6301"/>
    <cellStyle name="40% - Accent4 5 2 5 2" xfId="17589"/>
    <cellStyle name="40% - Accent4 5 2 6" xfId="15595"/>
    <cellStyle name="40% - Accent4 5 2 7" xfId="24377"/>
    <cellStyle name="40% - Accent4 5 2 8" xfId="24841"/>
    <cellStyle name="40% - Accent4 5 2 9" xfId="25208"/>
    <cellStyle name="40% - Accent4 5 3" xfId="11286"/>
    <cellStyle name="40% - Accent4 5 3 2" xfId="22574"/>
    <cellStyle name="40% - Accent4 5 4" xfId="9292"/>
    <cellStyle name="40% - Accent4 5 4 2" xfId="20580"/>
    <cellStyle name="40% - Accent4 5 5" xfId="7298"/>
    <cellStyle name="40% - Accent4 5 5 2" xfId="18586"/>
    <cellStyle name="40% - Accent4 5 6" xfId="5304"/>
    <cellStyle name="40% - Accent4 5 6 2" xfId="16592"/>
    <cellStyle name="40% - Accent4 5 7" xfId="14598"/>
    <cellStyle name="40% - Accent4 5 8" xfId="13284"/>
    <cellStyle name="40% - Accent4 5 9" xfId="23989"/>
    <cellStyle name="40% - Accent4 50" xfId="1349"/>
    <cellStyle name="40% - Accent4 50 2" xfId="4305"/>
    <cellStyle name="40% - Accent4 50 2 2" xfId="12284"/>
    <cellStyle name="40% - Accent4 50 2 2 2" xfId="23572"/>
    <cellStyle name="40% - Accent4 50 2 3" xfId="10290"/>
    <cellStyle name="40% - Accent4 50 2 3 2" xfId="21578"/>
    <cellStyle name="40% - Accent4 50 2 4" xfId="8296"/>
    <cellStyle name="40% - Accent4 50 2 4 2" xfId="19584"/>
    <cellStyle name="40% - Accent4 50 2 5" xfId="6302"/>
    <cellStyle name="40% - Accent4 50 2 5 2" xfId="17590"/>
    <cellStyle name="40% - Accent4 50 2 6" xfId="15596"/>
    <cellStyle name="40% - Accent4 50 3" xfId="11287"/>
    <cellStyle name="40% - Accent4 50 3 2" xfId="22575"/>
    <cellStyle name="40% - Accent4 50 4" xfId="9293"/>
    <cellStyle name="40% - Accent4 50 4 2" xfId="20581"/>
    <cellStyle name="40% - Accent4 50 5" xfId="7299"/>
    <cellStyle name="40% - Accent4 50 5 2" xfId="18587"/>
    <cellStyle name="40% - Accent4 50 6" xfId="5305"/>
    <cellStyle name="40% - Accent4 50 6 2" xfId="16593"/>
    <cellStyle name="40% - Accent4 50 7" xfId="14599"/>
    <cellStyle name="40% - Accent4 50 8" xfId="13285"/>
    <cellStyle name="40% - Accent4 51" xfId="1350"/>
    <cellStyle name="40% - Accent4 51 2" xfId="4306"/>
    <cellStyle name="40% - Accent4 51 2 2" xfId="12285"/>
    <cellStyle name="40% - Accent4 51 2 2 2" xfId="23573"/>
    <cellStyle name="40% - Accent4 51 2 3" xfId="10291"/>
    <cellStyle name="40% - Accent4 51 2 3 2" xfId="21579"/>
    <cellStyle name="40% - Accent4 51 2 4" xfId="8297"/>
    <cellStyle name="40% - Accent4 51 2 4 2" xfId="19585"/>
    <cellStyle name="40% - Accent4 51 2 5" xfId="6303"/>
    <cellStyle name="40% - Accent4 51 2 5 2" xfId="17591"/>
    <cellStyle name="40% - Accent4 51 2 6" xfId="15597"/>
    <cellStyle name="40% - Accent4 51 3" xfId="11288"/>
    <cellStyle name="40% - Accent4 51 3 2" xfId="22576"/>
    <cellStyle name="40% - Accent4 51 4" xfId="9294"/>
    <cellStyle name="40% - Accent4 51 4 2" xfId="20582"/>
    <cellStyle name="40% - Accent4 51 5" xfId="7300"/>
    <cellStyle name="40% - Accent4 51 5 2" xfId="18588"/>
    <cellStyle name="40% - Accent4 51 6" xfId="5306"/>
    <cellStyle name="40% - Accent4 51 6 2" xfId="16594"/>
    <cellStyle name="40% - Accent4 51 7" xfId="14600"/>
    <cellStyle name="40% - Accent4 51 8" xfId="13286"/>
    <cellStyle name="40% - Accent4 52" xfId="1351"/>
    <cellStyle name="40% - Accent4 52 2" xfId="4307"/>
    <cellStyle name="40% - Accent4 52 2 2" xfId="12286"/>
    <cellStyle name="40% - Accent4 52 2 2 2" xfId="23574"/>
    <cellStyle name="40% - Accent4 52 2 3" xfId="10292"/>
    <cellStyle name="40% - Accent4 52 2 3 2" xfId="21580"/>
    <cellStyle name="40% - Accent4 52 2 4" xfId="8298"/>
    <cellStyle name="40% - Accent4 52 2 4 2" xfId="19586"/>
    <cellStyle name="40% - Accent4 52 2 5" xfId="6304"/>
    <cellStyle name="40% - Accent4 52 2 5 2" xfId="17592"/>
    <cellStyle name="40% - Accent4 52 2 6" xfId="15598"/>
    <cellStyle name="40% - Accent4 52 3" xfId="11289"/>
    <cellStyle name="40% - Accent4 52 3 2" xfId="22577"/>
    <cellStyle name="40% - Accent4 52 4" xfId="9295"/>
    <cellStyle name="40% - Accent4 52 4 2" xfId="20583"/>
    <cellStyle name="40% - Accent4 52 5" xfId="7301"/>
    <cellStyle name="40% - Accent4 52 5 2" xfId="18589"/>
    <cellStyle name="40% - Accent4 52 6" xfId="5307"/>
    <cellStyle name="40% - Accent4 52 6 2" xfId="16595"/>
    <cellStyle name="40% - Accent4 52 7" xfId="14601"/>
    <cellStyle name="40% - Accent4 52 8" xfId="13287"/>
    <cellStyle name="40% - Accent4 53" xfId="1352"/>
    <cellStyle name="40% - Accent4 53 2" xfId="4308"/>
    <cellStyle name="40% - Accent4 53 2 2" xfId="12287"/>
    <cellStyle name="40% - Accent4 53 2 2 2" xfId="23575"/>
    <cellStyle name="40% - Accent4 53 2 3" xfId="10293"/>
    <cellStyle name="40% - Accent4 53 2 3 2" xfId="21581"/>
    <cellStyle name="40% - Accent4 53 2 4" xfId="8299"/>
    <cellStyle name="40% - Accent4 53 2 4 2" xfId="19587"/>
    <cellStyle name="40% - Accent4 53 2 5" xfId="6305"/>
    <cellStyle name="40% - Accent4 53 2 5 2" xfId="17593"/>
    <cellStyle name="40% - Accent4 53 2 6" xfId="15599"/>
    <cellStyle name="40% - Accent4 53 3" xfId="11290"/>
    <cellStyle name="40% - Accent4 53 3 2" xfId="22578"/>
    <cellStyle name="40% - Accent4 53 4" xfId="9296"/>
    <cellStyle name="40% - Accent4 53 4 2" xfId="20584"/>
    <cellStyle name="40% - Accent4 53 5" xfId="7302"/>
    <cellStyle name="40% - Accent4 53 5 2" xfId="18590"/>
    <cellStyle name="40% - Accent4 53 6" xfId="5308"/>
    <cellStyle name="40% - Accent4 53 6 2" xfId="16596"/>
    <cellStyle name="40% - Accent4 53 7" xfId="14602"/>
    <cellStyle name="40% - Accent4 53 8" xfId="13288"/>
    <cellStyle name="40% - Accent4 54" xfId="1353"/>
    <cellStyle name="40% - Accent4 54 2" xfId="4309"/>
    <cellStyle name="40% - Accent4 54 2 2" xfId="12288"/>
    <cellStyle name="40% - Accent4 54 2 2 2" xfId="23576"/>
    <cellStyle name="40% - Accent4 54 2 3" xfId="10294"/>
    <cellStyle name="40% - Accent4 54 2 3 2" xfId="21582"/>
    <cellStyle name="40% - Accent4 54 2 4" xfId="8300"/>
    <cellStyle name="40% - Accent4 54 2 4 2" xfId="19588"/>
    <cellStyle name="40% - Accent4 54 2 5" xfId="6306"/>
    <cellStyle name="40% - Accent4 54 2 5 2" xfId="17594"/>
    <cellStyle name="40% - Accent4 54 2 6" xfId="15600"/>
    <cellStyle name="40% - Accent4 54 3" xfId="11291"/>
    <cellStyle name="40% - Accent4 54 3 2" xfId="22579"/>
    <cellStyle name="40% - Accent4 54 4" xfId="9297"/>
    <cellStyle name="40% - Accent4 54 4 2" xfId="20585"/>
    <cellStyle name="40% - Accent4 54 5" xfId="7303"/>
    <cellStyle name="40% - Accent4 54 5 2" xfId="18591"/>
    <cellStyle name="40% - Accent4 54 6" xfId="5309"/>
    <cellStyle name="40% - Accent4 54 6 2" xfId="16597"/>
    <cellStyle name="40% - Accent4 54 7" xfId="14603"/>
    <cellStyle name="40% - Accent4 54 8" xfId="13289"/>
    <cellStyle name="40% - Accent4 55" xfId="1354"/>
    <cellStyle name="40% - Accent4 55 2" xfId="4310"/>
    <cellStyle name="40% - Accent4 55 2 2" xfId="12289"/>
    <cellStyle name="40% - Accent4 55 2 2 2" xfId="23577"/>
    <cellStyle name="40% - Accent4 55 2 3" xfId="10295"/>
    <cellStyle name="40% - Accent4 55 2 3 2" xfId="21583"/>
    <cellStyle name="40% - Accent4 55 2 4" xfId="8301"/>
    <cellStyle name="40% - Accent4 55 2 4 2" xfId="19589"/>
    <cellStyle name="40% - Accent4 55 2 5" xfId="6307"/>
    <cellStyle name="40% - Accent4 55 2 5 2" xfId="17595"/>
    <cellStyle name="40% - Accent4 55 2 6" xfId="15601"/>
    <cellStyle name="40% - Accent4 55 3" xfId="11292"/>
    <cellStyle name="40% - Accent4 55 3 2" xfId="22580"/>
    <cellStyle name="40% - Accent4 55 4" xfId="9298"/>
    <cellStyle name="40% - Accent4 55 4 2" xfId="20586"/>
    <cellStyle name="40% - Accent4 55 5" xfId="7304"/>
    <cellStyle name="40% - Accent4 55 5 2" xfId="18592"/>
    <cellStyle name="40% - Accent4 55 6" xfId="5310"/>
    <cellStyle name="40% - Accent4 55 6 2" xfId="16598"/>
    <cellStyle name="40% - Accent4 55 7" xfId="14604"/>
    <cellStyle name="40% - Accent4 55 8" xfId="13290"/>
    <cellStyle name="40% - Accent4 56" xfId="1355"/>
    <cellStyle name="40% - Accent4 56 2" xfId="4311"/>
    <cellStyle name="40% - Accent4 56 2 2" xfId="12290"/>
    <cellStyle name="40% - Accent4 56 2 2 2" xfId="23578"/>
    <cellStyle name="40% - Accent4 56 2 3" xfId="10296"/>
    <cellStyle name="40% - Accent4 56 2 3 2" xfId="21584"/>
    <cellStyle name="40% - Accent4 56 2 4" xfId="8302"/>
    <cellStyle name="40% - Accent4 56 2 4 2" xfId="19590"/>
    <cellStyle name="40% - Accent4 56 2 5" xfId="6308"/>
    <cellStyle name="40% - Accent4 56 2 5 2" xfId="17596"/>
    <cellStyle name="40% - Accent4 56 2 6" xfId="15602"/>
    <cellStyle name="40% - Accent4 56 3" xfId="11293"/>
    <cellStyle name="40% - Accent4 56 3 2" xfId="22581"/>
    <cellStyle name="40% - Accent4 56 4" xfId="9299"/>
    <cellStyle name="40% - Accent4 56 4 2" xfId="20587"/>
    <cellStyle name="40% - Accent4 56 5" xfId="7305"/>
    <cellStyle name="40% - Accent4 56 5 2" xfId="18593"/>
    <cellStyle name="40% - Accent4 56 6" xfId="5311"/>
    <cellStyle name="40% - Accent4 56 6 2" xfId="16599"/>
    <cellStyle name="40% - Accent4 56 7" xfId="14605"/>
    <cellStyle name="40% - Accent4 56 8" xfId="13291"/>
    <cellStyle name="40% - Accent4 57" xfId="1356"/>
    <cellStyle name="40% - Accent4 57 2" xfId="4312"/>
    <cellStyle name="40% - Accent4 57 2 2" xfId="12291"/>
    <cellStyle name="40% - Accent4 57 2 2 2" xfId="23579"/>
    <cellStyle name="40% - Accent4 57 2 3" xfId="10297"/>
    <cellStyle name="40% - Accent4 57 2 3 2" xfId="21585"/>
    <cellStyle name="40% - Accent4 57 2 4" xfId="8303"/>
    <cellStyle name="40% - Accent4 57 2 4 2" xfId="19591"/>
    <cellStyle name="40% - Accent4 57 2 5" xfId="6309"/>
    <cellStyle name="40% - Accent4 57 2 5 2" xfId="17597"/>
    <cellStyle name="40% - Accent4 57 2 6" xfId="15603"/>
    <cellStyle name="40% - Accent4 57 3" xfId="11294"/>
    <cellStyle name="40% - Accent4 57 3 2" xfId="22582"/>
    <cellStyle name="40% - Accent4 57 4" xfId="9300"/>
    <cellStyle name="40% - Accent4 57 4 2" xfId="20588"/>
    <cellStyle name="40% - Accent4 57 5" xfId="7306"/>
    <cellStyle name="40% - Accent4 57 5 2" xfId="18594"/>
    <cellStyle name="40% - Accent4 57 6" xfId="5312"/>
    <cellStyle name="40% - Accent4 57 6 2" xfId="16600"/>
    <cellStyle name="40% - Accent4 57 7" xfId="14606"/>
    <cellStyle name="40% - Accent4 57 8" xfId="13292"/>
    <cellStyle name="40% - Accent4 58" xfId="1357"/>
    <cellStyle name="40% - Accent4 58 2" xfId="4313"/>
    <cellStyle name="40% - Accent4 58 2 2" xfId="12292"/>
    <cellStyle name="40% - Accent4 58 2 2 2" xfId="23580"/>
    <cellStyle name="40% - Accent4 58 2 3" xfId="10298"/>
    <cellStyle name="40% - Accent4 58 2 3 2" xfId="21586"/>
    <cellStyle name="40% - Accent4 58 2 4" xfId="8304"/>
    <cellStyle name="40% - Accent4 58 2 4 2" xfId="19592"/>
    <cellStyle name="40% - Accent4 58 2 5" xfId="6310"/>
    <cellStyle name="40% - Accent4 58 2 5 2" xfId="17598"/>
    <cellStyle name="40% - Accent4 58 2 6" xfId="15604"/>
    <cellStyle name="40% - Accent4 58 3" xfId="11295"/>
    <cellStyle name="40% - Accent4 58 3 2" xfId="22583"/>
    <cellStyle name="40% - Accent4 58 4" xfId="9301"/>
    <cellStyle name="40% - Accent4 58 4 2" xfId="20589"/>
    <cellStyle name="40% - Accent4 58 5" xfId="7307"/>
    <cellStyle name="40% - Accent4 58 5 2" xfId="18595"/>
    <cellStyle name="40% - Accent4 58 6" xfId="5313"/>
    <cellStyle name="40% - Accent4 58 6 2" xfId="16601"/>
    <cellStyle name="40% - Accent4 58 7" xfId="14607"/>
    <cellStyle name="40% - Accent4 58 8" xfId="13293"/>
    <cellStyle name="40% - Accent4 59" xfId="1358"/>
    <cellStyle name="40% - Accent4 59 2" xfId="4314"/>
    <cellStyle name="40% - Accent4 59 2 2" xfId="12293"/>
    <cellStyle name="40% - Accent4 59 2 2 2" xfId="23581"/>
    <cellStyle name="40% - Accent4 59 2 3" xfId="10299"/>
    <cellStyle name="40% - Accent4 59 2 3 2" xfId="21587"/>
    <cellStyle name="40% - Accent4 59 2 4" xfId="8305"/>
    <cellStyle name="40% - Accent4 59 2 4 2" xfId="19593"/>
    <cellStyle name="40% - Accent4 59 2 5" xfId="6311"/>
    <cellStyle name="40% - Accent4 59 2 5 2" xfId="17599"/>
    <cellStyle name="40% - Accent4 59 2 6" xfId="15605"/>
    <cellStyle name="40% - Accent4 59 3" xfId="11296"/>
    <cellStyle name="40% - Accent4 59 3 2" xfId="22584"/>
    <cellStyle name="40% - Accent4 59 4" xfId="9302"/>
    <cellStyle name="40% - Accent4 59 4 2" xfId="20590"/>
    <cellStyle name="40% - Accent4 59 5" xfId="7308"/>
    <cellStyle name="40% - Accent4 59 5 2" xfId="18596"/>
    <cellStyle name="40% - Accent4 59 6" xfId="5314"/>
    <cellStyle name="40% - Accent4 59 6 2" xfId="16602"/>
    <cellStyle name="40% - Accent4 59 7" xfId="14608"/>
    <cellStyle name="40% - Accent4 59 8" xfId="13294"/>
    <cellStyle name="40% - Accent4 6" xfId="1359"/>
    <cellStyle name="40% - Accent4 6 10" xfId="24617"/>
    <cellStyle name="40% - Accent4 6 11" xfId="25007"/>
    <cellStyle name="40% - Accent4 6 2" xfId="4315"/>
    <cellStyle name="40% - Accent4 6 2 2" xfId="12294"/>
    <cellStyle name="40% - Accent4 6 2 2 2" xfId="23582"/>
    <cellStyle name="40% - Accent4 6 2 3" xfId="10300"/>
    <cellStyle name="40% - Accent4 6 2 3 2" xfId="21588"/>
    <cellStyle name="40% - Accent4 6 2 4" xfId="8306"/>
    <cellStyle name="40% - Accent4 6 2 4 2" xfId="19594"/>
    <cellStyle name="40% - Accent4 6 2 5" xfId="6312"/>
    <cellStyle name="40% - Accent4 6 2 5 2" xfId="17600"/>
    <cellStyle name="40% - Accent4 6 2 6" xfId="15606"/>
    <cellStyle name="40% - Accent4 6 2 7" xfId="24378"/>
    <cellStyle name="40% - Accent4 6 2 8" xfId="24842"/>
    <cellStyle name="40% - Accent4 6 2 9" xfId="25209"/>
    <cellStyle name="40% - Accent4 6 3" xfId="11297"/>
    <cellStyle name="40% - Accent4 6 3 2" xfId="22585"/>
    <cellStyle name="40% - Accent4 6 4" xfId="9303"/>
    <cellStyle name="40% - Accent4 6 4 2" xfId="20591"/>
    <cellStyle name="40% - Accent4 6 5" xfId="7309"/>
    <cellStyle name="40% - Accent4 6 5 2" xfId="18597"/>
    <cellStyle name="40% - Accent4 6 6" xfId="5315"/>
    <cellStyle name="40% - Accent4 6 6 2" xfId="16603"/>
    <cellStyle name="40% - Accent4 6 7" xfId="14609"/>
    <cellStyle name="40% - Accent4 6 8" xfId="13295"/>
    <cellStyle name="40% - Accent4 6 9" xfId="23990"/>
    <cellStyle name="40% - Accent4 60" xfId="1360"/>
    <cellStyle name="40% - Accent4 60 2" xfId="4316"/>
    <cellStyle name="40% - Accent4 60 2 2" xfId="12295"/>
    <cellStyle name="40% - Accent4 60 2 2 2" xfId="23583"/>
    <cellStyle name="40% - Accent4 60 2 3" xfId="10301"/>
    <cellStyle name="40% - Accent4 60 2 3 2" xfId="21589"/>
    <cellStyle name="40% - Accent4 60 2 4" xfId="8307"/>
    <cellStyle name="40% - Accent4 60 2 4 2" xfId="19595"/>
    <cellStyle name="40% - Accent4 60 2 5" xfId="6313"/>
    <cellStyle name="40% - Accent4 60 2 5 2" xfId="17601"/>
    <cellStyle name="40% - Accent4 60 2 6" xfId="15607"/>
    <cellStyle name="40% - Accent4 60 3" xfId="11298"/>
    <cellStyle name="40% - Accent4 60 3 2" xfId="22586"/>
    <cellStyle name="40% - Accent4 60 4" xfId="9304"/>
    <cellStyle name="40% - Accent4 60 4 2" xfId="20592"/>
    <cellStyle name="40% - Accent4 60 5" xfId="7310"/>
    <cellStyle name="40% - Accent4 60 5 2" xfId="18598"/>
    <cellStyle name="40% - Accent4 60 6" xfId="5316"/>
    <cellStyle name="40% - Accent4 60 6 2" xfId="16604"/>
    <cellStyle name="40% - Accent4 60 7" xfId="14610"/>
    <cellStyle name="40% - Accent4 60 8" xfId="13296"/>
    <cellStyle name="40% - Accent4 61" xfId="1361"/>
    <cellStyle name="40% - Accent4 61 2" xfId="4317"/>
    <cellStyle name="40% - Accent4 61 2 2" xfId="12296"/>
    <cellStyle name="40% - Accent4 61 2 2 2" xfId="23584"/>
    <cellStyle name="40% - Accent4 61 2 3" xfId="10302"/>
    <cellStyle name="40% - Accent4 61 2 3 2" xfId="21590"/>
    <cellStyle name="40% - Accent4 61 2 4" xfId="8308"/>
    <cellStyle name="40% - Accent4 61 2 4 2" xfId="19596"/>
    <cellStyle name="40% - Accent4 61 2 5" xfId="6314"/>
    <cellStyle name="40% - Accent4 61 2 5 2" xfId="17602"/>
    <cellStyle name="40% - Accent4 61 2 6" xfId="15608"/>
    <cellStyle name="40% - Accent4 61 3" xfId="11299"/>
    <cellStyle name="40% - Accent4 61 3 2" xfId="22587"/>
    <cellStyle name="40% - Accent4 61 4" xfId="9305"/>
    <cellStyle name="40% - Accent4 61 4 2" xfId="20593"/>
    <cellStyle name="40% - Accent4 61 5" xfId="7311"/>
    <cellStyle name="40% - Accent4 61 5 2" xfId="18599"/>
    <cellStyle name="40% - Accent4 61 6" xfId="5317"/>
    <cellStyle name="40% - Accent4 61 6 2" xfId="16605"/>
    <cellStyle name="40% - Accent4 61 7" xfId="14611"/>
    <cellStyle name="40% - Accent4 61 8" xfId="13297"/>
    <cellStyle name="40% - Accent4 62" xfId="1362"/>
    <cellStyle name="40% - Accent4 62 2" xfId="4318"/>
    <cellStyle name="40% - Accent4 62 2 2" xfId="12297"/>
    <cellStyle name="40% - Accent4 62 2 2 2" xfId="23585"/>
    <cellStyle name="40% - Accent4 62 2 3" xfId="10303"/>
    <cellStyle name="40% - Accent4 62 2 3 2" xfId="21591"/>
    <cellStyle name="40% - Accent4 62 2 4" xfId="8309"/>
    <cellStyle name="40% - Accent4 62 2 4 2" xfId="19597"/>
    <cellStyle name="40% - Accent4 62 2 5" xfId="6315"/>
    <cellStyle name="40% - Accent4 62 2 5 2" xfId="17603"/>
    <cellStyle name="40% - Accent4 62 2 6" xfId="15609"/>
    <cellStyle name="40% - Accent4 62 3" xfId="11300"/>
    <cellStyle name="40% - Accent4 62 3 2" xfId="22588"/>
    <cellStyle name="40% - Accent4 62 4" xfId="9306"/>
    <cellStyle name="40% - Accent4 62 4 2" xfId="20594"/>
    <cellStyle name="40% - Accent4 62 5" xfId="7312"/>
    <cellStyle name="40% - Accent4 62 5 2" xfId="18600"/>
    <cellStyle name="40% - Accent4 62 6" xfId="5318"/>
    <cellStyle name="40% - Accent4 62 6 2" xfId="16606"/>
    <cellStyle name="40% - Accent4 62 7" xfId="14612"/>
    <cellStyle name="40% - Accent4 62 8" xfId="13298"/>
    <cellStyle name="40% - Accent4 63" xfId="1363"/>
    <cellStyle name="40% - Accent4 63 2" xfId="4319"/>
    <cellStyle name="40% - Accent4 63 2 2" xfId="12298"/>
    <cellStyle name="40% - Accent4 63 2 2 2" xfId="23586"/>
    <cellStyle name="40% - Accent4 63 2 3" xfId="10304"/>
    <cellStyle name="40% - Accent4 63 2 3 2" xfId="21592"/>
    <cellStyle name="40% - Accent4 63 2 4" xfId="8310"/>
    <cellStyle name="40% - Accent4 63 2 4 2" xfId="19598"/>
    <cellStyle name="40% - Accent4 63 2 5" xfId="6316"/>
    <cellStyle name="40% - Accent4 63 2 5 2" xfId="17604"/>
    <cellStyle name="40% - Accent4 63 2 6" xfId="15610"/>
    <cellStyle name="40% - Accent4 63 3" xfId="11301"/>
    <cellStyle name="40% - Accent4 63 3 2" xfId="22589"/>
    <cellStyle name="40% - Accent4 63 4" xfId="9307"/>
    <cellStyle name="40% - Accent4 63 4 2" xfId="20595"/>
    <cellStyle name="40% - Accent4 63 5" xfId="7313"/>
    <cellStyle name="40% - Accent4 63 5 2" xfId="18601"/>
    <cellStyle name="40% - Accent4 63 6" xfId="5319"/>
    <cellStyle name="40% - Accent4 63 6 2" xfId="16607"/>
    <cellStyle name="40% - Accent4 63 7" xfId="14613"/>
    <cellStyle name="40% - Accent4 63 8" xfId="13299"/>
    <cellStyle name="40% - Accent4 64" xfId="1364"/>
    <cellStyle name="40% - Accent4 64 2" xfId="4320"/>
    <cellStyle name="40% - Accent4 64 2 2" xfId="12299"/>
    <cellStyle name="40% - Accent4 64 2 2 2" xfId="23587"/>
    <cellStyle name="40% - Accent4 64 2 3" xfId="10305"/>
    <cellStyle name="40% - Accent4 64 2 3 2" xfId="21593"/>
    <cellStyle name="40% - Accent4 64 2 4" xfId="8311"/>
    <cellStyle name="40% - Accent4 64 2 4 2" xfId="19599"/>
    <cellStyle name="40% - Accent4 64 2 5" xfId="6317"/>
    <cellStyle name="40% - Accent4 64 2 5 2" xfId="17605"/>
    <cellStyle name="40% - Accent4 64 2 6" xfId="15611"/>
    <cellStyle name="40% - Accent4 64 3" xfId="11302"/>
    <cellStyle name="40% - Accent4 64 3 2" xfId="22590"/>
    <cellStyle name="40% - Accent4 64 4" xfId="9308"/>
    <cellStyle name="40% - Accent4 64 4 2" xfId="20596"/>
    <cellStyle name="40% - Accent4 64 5" xfId="7314"/>
    <cellStyle name="40% - Accent4 64 5 2" xfId="18602"/>
    <cellStyle name="40% - Accent4 64 6" xfId="5320"/>
    <cellStyle name="40% - Accent4 64 6 2" xfId="16608"/>
    <cellStyle name="40% - Accent4 64 7" xfId="14614"/>
    <cellStyle name="40% - Accent4 64 8" xfId="13300"/>
    <cellStyle name="40% - Accent4 65" xfId="1365"/>
    <cellStyle name="40% - Accent4 65 2" xfId="4321"/>
    <cellStyle name="40% - Accent4 65 2 2" xfId="12300"/>
    <cellStyle name="40% - Accent4 65 2 2 2" xfId="23588"/>
    <cellStyle name="40% - Accent4 65 2 3" xfId="10306"/>
    <cellStyle name="40% - Accent4 65 2 3 2" xfId="21594"/>
    <cellStyle name="40% - Accent4 65 2 4" xfId="8312"/>
    <cellStyle name="40% - Accent4 65 2 4 2" xfId="19600"/>
    <cellStyle name="40% - Accent4 65 2 5" xfId="6318"/>
    <cellStyle name="40% - Accent4 65 2 5 2" xfId="17606"/>
    <cellStyle name="40% - Accent4 65 2 6" xfId="15612"/>
    <cellStyle name="40% - Accent4 65 3" xfId="11303"/>
    <cellStyle name="40% - Accent4 65 3 2" xfId="22591"/>
    <cellStyle name="40% - Accent4 65 4" xfId="9309"/>
    <cellStyle name="40% - Accent4 65 4 2" xfId="20597"/>
    <cellStyle name="40% - Accent4 65 5" xfId="7315"/>
    <cellStyle name="40% - Accent4 65 5 2" xfId="18603"/>
    <cellStyle name="40% - Accent4 65 6" xfId="5321"/>
    <cellStyle name="40% - Accent4 65 6 2" xfId="16609"/>
    <cellStyle name="40% - Accent4 65 7" xfId="14615"/>
    <cellStyle name="40% - Accent4 65 8" xfId="13301"/>
    <cellStyle name="40% - Accent4 66" xfId="1366"/>
    <cellStyle name="40% - Accent4 66 2" xfId="4322"/>
    <cellStyle name="40% - Accent4 66 2 2" xfId="12301"/>
    <cellStyle name="40% - Accent4 66 2 2 2" xfId="23589"/>
    <cellStyle name="40% - Accent4 66 2 3" xfId="10307"/>
    <cellStyle name="40% - Accent4 66 2 3 2" xfId="21595"/>
    <cellStyle name="40% - Accent4 66 2 4" xfId="8313"/>
    <cellStyle name="40% - Accent4 66 2 4 2" xfId="19601"/>
    <cellStyle name="40% - Accent4 66 2 5" xfId="6319"/>
    <cellStyle name="40% - Accent4 66 2 5 2" xfId="17607"/>
    <cellStyle name="40% - Accent4 66 2 6" xfId="15613"/>
    <cellStyle name="40% - Accent4 66 3" xfId="11304"/>
    <cellStyle name="40% - Accent4 66 3 2" xfId="22592"/>
    <cellStyle name="40% - Accent4 66 4" xfId="9310"/>
    <cellStyle name="40% - Accent4 66 4 2" xfId="20598"/>
    <cellStyle name="40% - Accent4 66 5" xfId="7316"/>
    <cellStyle name="40% - Accent4 66 5 2" xfId="18604"/>
    <cellStyle name="40% - Accent4 66 6" xfId="5322"/>
    <cellStyle name="40% - Accent4 66 6 2" xfId="16610"/>
    <cellStyle name="40% - Accent4 66 7" xfId="14616"/>
    <cellStyle name="40% - Accent4 66 8" xfId="13302"/>
    <cellStyle name="40% - Accent4 67" xfId="1367"/>
    <cellStyle name="40% - Accent4 67 2" xfId="4323"/>
    <cellStyle name="40% - Accent4 67 2 2" xfId="12302"/>
    <cellStyle name="40% - Accent4 67 2 2 2" xfId="23590"/>
    <cellStyle name="40% - Accent4 67 2 3" xfId="10308"/>
    <cellStyle name="40% - Accent4 67 2 3 2" xfId="21596"/>
    <cellStyle name="40% - Accent4 67 2 4" xfId="8314"/>
    <cellStyle name="40% - Accent4 67 2 4 2" xfId="19602"/>
    <cellStyle name="40% - Accent4 67 2 5" xfId="6320"/>
    <cellStyle name="40% - Accent4 67 2 5 2" xfId="17608"/>
    <cellStyle name="40% - Accent4 67 2 6" xfId="15614"/>
    <cellStyle name="40% - Accent4 67 3" xfId="11305"/>
    <cellStyle name="40% - Accent4 67 3 2" xfId="22593"/>
    <cellStyle name="40% - Accent4 67 4" xfId="9311"/>
    <cellStyle name="40% - Accent4 67 4 2" xfId="20599"/>
    <cellStyle name="40% - Accent4 67 5" xfId="7317"/>
    <cellStyle name="40% - Accent4 67 5 2" xfId="18605"/>
    <cellStyle name="40% - Accent4 67 6" xfId="5323"/>
    <cellStyle name="40% - Accent4 67 6 2" xfId="16611"/>
    <cellStyle name="40% - Accent4 67 7" xfId="14617"/>
    <cellStyle name="40% - Accent4 67 8" xfId="13303"/>
    <cellStyle name="40% - Accent4 68" xfId="1368"/>
    <cellStyle name="40% - Accent4 68 2" xfId="4324"/>
    <cellStyle name="40% - Accent4 68 2 2" xfId="12303"/>
    <cellStyle name="40% - Accent4 68 2 2 2" xfId="23591"/>
    <cellStyle name="40% - Accent4 68 2 3" xfId="10309"/>
    <cellStyle name="40% - Accent4 68 2 3 2" xfId="21597"/>
    <cellStyle name="40% - Accent4 68 2 4" xfId="8315"/>
    <cellStyle name="40% - Accent4 68 2 4 2" xfId="19603"/>
    <cellStyle name="40% - Accent4 68 2 5" xfId="6321"/>
    <cellStyle name="40% - Accent4 68 2 5 2" xfId="17609"/>
    <cellStyle name="40% - Accent4 68 2 6" xfId="15615"/>
    <cellStyle name="40% - Accent4 68 3" xfId="11306"/>
    <cellStyle name="40% - Accent4 68 3 2" xfId="22594"/>
    <cellStyle name="40% - Accent4 68 4" xfId="9312"/>
    <cellStyle name="40% - Accent4 68 4 2" xfId="20600"/>
    <cellStyle name="40% - Accent4 68 5" xfId="7318"/>
    <cellStyle name="40% - Accent4 68 5 2" xfId="18606"/>
    <cellStyle name="40% - Accent4 68 6" xfId="5324"/>
    <cellStyle name="40% - Accent4 68 6 2" xfId="16612"/>
    <cellStyle name="40% - Accent4 68 7" xfId="14618"/>
    <cellStyle name="40% - Accent4 68 8" xfId="13304"/>
    <cellStyle name="40% - Accent4 69" xfId="1369"/>
    <cellStyle name="40% - Accent4 69 2" xfId="4325"/>
    <cellStyle name="40% - Accent4 69 2 2" xfId="12304"/>
    <cellStyle name="40% - Accent4 69 2 2 2" xfId="23592"/>
    <cellStyle name="40% - Accent4 69 2 3" xfId="10310"/>
    <cellStyle name="40% - Accent4 69 2 3 2" xfId="21598"/>
    <cellStyle name="40% - Accent4 69 2 4" xfId="8316"/>
    <cellStyle name="40% - Accent4 69 2 4 2" xfId="19604"/>
    <cellStyle name="40% - Accent4 69 2 5" xfId="6322"/>
    <cellStyle name="40% - Accent4 69 2 5 2" xfId="17610"/>
    <cellStyle name="40% - Accent4 69 2 6" xfId="15616"/>
    <cellStyle name="40% - Accent4 69 3" xfId="11307"/>
    <cellStyle name="40% - Accent4 69 3 2" xfId="22595"/>
    <cellStyle name="40% - Accent4 69 4" xfId="9313"/>
    <cellStyle name="40% - Accent4 69 4 2" xfId="20601"/>
    <cellStyle name="40% - Accent4 69 5" xfId="7319"/>
    <cellStyle name="40% - Accent4 69 5 2" xfId="18607"/>
    <cellStyle name="40% - Accent4 69 6" xfId="5325"/>
    <cellStyle name="40% - Accent4 69 6 2" xfId="16613"/>
    <cellStyle name="40% - Accent4 69 7" xfId="14619"/>
    <cellStyle name="40% - Accent4 69 8" xfId="13305"/>
    <cellStyle name="40% - Accent4 7" xfId="1370"/>
    <cellStyle name="40% - Accent4 7 10" xfId="24618"/>
    <cellStyle name="40% - Accent4 7 11" xfId="25008"/>
    <cellStyle name="40% - Accent4 7 2" xfId="4326"/>
    <cellStyle name="40% - Accent4 7 2 2" xfId="12305"/>
    <cellStyle name="40% - Accent4 7 2 2 2" xfId="23593"/>
    <cellStyle name="40% - Accent4 7 2 3" xfId="10311"/>
    <cellStyle name="40% - Accent4 7 2 3 2" xfId="21599"/>
    <cellStyle name="40% - Accent4 7 2 4" xfId="8317"/>
    <cellStyle name="40% - Accent4 7 2 4 2" xfId="19605"/>
    <cellStyle name="40% - Accent4 7 2 5" xfId="6323"/>
    <cellStyle name="40% - Accent4 7 2 5 2" xfId="17611"/>
    <cellStyle name="40% - Accent4 7 2 6" xfId="15617"/>
    <cellStyle name="40% - Accent4 7 2 7" xfId="24379"/>
    <cellStyle name="40% - Accent4 7 2 8" xfId="24843"/>
    <cellStyle name="40% - Accent4 7 2 9" xfId="25210"/>
    <cellStyle name="40% - Accent4 7 3" xfId="11308"/>
    <cellStyle name="40% - Accent4 7 3 2" xfId="22596"/>
    <cellStyle name="40% - Accent4 7 4" xfId="9314"/>
    <cellStyle name="40% - Accent4 7 4 2" xfId="20602"/>
    <cellStyle name="40% - Accent4 7 5" xfId="7320"/>
    <cellStyle name="40% - Accent4 7 5 2" xfId="18608"/>
    <cellStyle name="40% - Accent4 7 6" xfId="5326"/>
    <cellStyle name="40% - Accent4 7 6 2" xfId="16614"/>
    <cellStyle name="40% - Accent4 7 7" xfId="14620"/>
    <cellStyle name="40% - Accent4 7 8" xfId="13306"/>
    <cellStyle name="40% - Accent4 7 9" xfId="23991"/>
    <cellStyle name="40% - Accent4 70" xfId="1371"/>
    <cellStyle name="40% - Accent4 70 2" xfId="4327"/>
    <cellStyle name="40% - Accent4 70 2 2" xfId="12306"/>
    <cellStyle name="40% - Accent4 70 2 2 2" xfId="23594"/>
    <cellStyle name="40% - Accent4 70 2 3" xfId="10312"/>
    <cellStyle name="40% - Accent4 70 2 3 2" xfId="21600"/>
    <cellStyle name="40% - Accent4 70 2 4" xfId="8318"/>
    <cellStyle name="40% - Accent4 70 2 4 2" xfId="19606"/>
    <cellStyle name="40% - Accent4 70 2 5" xfId="6324"/>
    <cellStyle name="40% - Accent4 70 2 5 2" xfId="17612"/>
    <cellStyle name="40% - Accent4 70 2 6" xfId="15618"/>
    <cellStyle name="40% - Accent4 70 3" xfId="11309"/>
    <cellStyle name="40% - Accent4 70 3 2" xfId="22597"/>
    <cellStyle name="40% - Accent4 70 4" xfId="9315"/>
    <cellStyle name="40% - Accent4 70 4 2" xfId="20603"/>
    <cellStyle name="40% - Accent4 70 5" xfId="7321"/>
    <cellStyle name="40% - Accent4 70 5 2" xfId="18609"/>
    <cellStyle name="40% - Accent4 70 6" xfId="5327"/>
    <cellStyle name="40% - Accent4 70 6 2" xfId="16615"/>
    <cellStyle name="40% - Accent4 70 7" xfId="14621"/>
    <cellStyle name="40% - Accent4 70 8" xfId="13307"/>
    <cellStyle name="40% - Accent4 71" xfId="1372"/>
    <cellStyle name="40% - Accent4 71 2" xfId="4328"/>
    <cellStyle name="40% - Accent4 71 2 2" xfId="12307"/>
    <cellStyle name="40% - Accent4 71 2 2 2" xfId="23595"/>
    <cellStyle name="40% - Accent4 71 2 3" xfId="10313"/>
    <cellStyle name="40% - Accent4 71 2 3 2" xfId="21601"/>
    <cellStyle name="40% - Accent4 71 2 4" xfId="8319"/>
    <cellStyle name="40% - Accent4 71 2 4 2" xfId="19607"/>
    <cellStyle name="40% - Accent4 71 2 5" xfId="6325"/>
    <cellStyle name="40% - Accent4 71 2 5 2" xfId="17613"/>
    <cellStyle name="40% - Accent4 71 2 6" xfId="15619"/>
    <cellStyle name="40% - Accent4 71 3" xfId="11310"/>
    <cellStyle name="40% - Accent4 71 3 2" xfId="22598"/>
    <cellStyle name="40% - Accent4 71 4" xfId="9316"/>
    <cellStyle name="40% - Accent4 71 4 2" xfId="20604"/>
    <cellStyle name="40% - Accent4 71 5" xfId="7322"/>
    <cellStyle name="40% - Accent4 71 5 2" xfId="18610"/>
    <cellStyle name="40% - Accent4 71 6" xfId="5328"/>
    <cellStyle name="40% - Accent4 71 6 2" xfId="16616"/>
    <cellStyle name="40% - Accent4 71 7" xfId="14622"/>
    <cellStyle name="40% - Accent4 71 8" xfId="13308"/>
    <cellStyle name="40% - Accent4 72" xfId="1373"/>
    <cellStyle name="40% - Accent4 72 2" xfId="4329"/>
    <cellStyle name="40% - Accent4 72 2 2" xfId="12308"/>
    <cellStyle name="40% - Accent4 72 2 2 2" xfId="23596"/>
    <cellStyle name="40% - Accent4 72 2 3" xfId="10314"/>
    <cellStyle name="40% - Accent4 72 2 3 2" xfId="21602"/>
    <cellStyle name="40% - Accent4 72 2 4" xfId="8320"/>
    <cellStyle name="40% - Accent4 72 2 4 2" xfId="19608"/>
    <cellStyle name="40% - Accent4 72 2 5" xfId="6326"/>
    <cellStyle name="40% - Accent4 72 2 5 2" xfId="17614"/>
    <cellStyle name="40% - Accent4 72 2 6" xfId="15620"/>
    <cellStyle name="40% - Accent4 72 3" xfId="11311"/>
    <cellStyle name="40% - Accent4 72 3 2" xfId="22599"/>
    <cellStyle name="40% - Accent4 72 4" xfId="9317"/>
    <cellStyle name="40% - Accent4 72 4 2" xfId="20605"/>
    <cellStyle name="40% - Accent4 72 5" xfId="7323"/>
    <cellStyle name="40% - Accent4 72 5 2" xfId="18611"/>
    <cellStyle name="40% - Accent4 72 6" xfId="5329"/>
    <cellStyle name="40% - Accent4 72 6 2" xfId="16617"/>
    <cellStyle name="40% - Accent4 72 7" xfId="14623"/>
    <cellStyle name="40% - Accent4 72 8" xfId="13309"/>
    <cellStyle name="40% - Accent4 8" xfId="1374"/>
    <cellStyle name="40% - Accent4 8 2" xfId="4330"/>
    <cellStyle name="40% - Accent4 8 2 2" xfId="12309"/>
    <cellStyle name="40% - Accent4 8 2 2 2" xfId="23597"/>
    <cellStyle name="40% - Accent4 8 2 3" xfId="10315"/>
    <cellStyle name="40% - Accent4 8 2 3 2" xfId="21603"/>
    <cellStyle name="40% - Accent4 8 2 4" xfId="8321"/>
    <cellStyle name="40% - Accent4 8 2 4 2" xfId="19609"/>
    <cellStyle name="40% - Accent4 8 2 5" xfId="6327"/>
    <cellStyle name="40% - Accent4 8 2 5 2" xfId="17615"/>
    <cellStyle name="40% - Accent4 8 2 6" xfId="15621"/>
    <cellStyle name="40% - Accent4 8 3" xfId="11312"/>
    <cellStyle name="40% - Accent4 8 3 2" xfId="22600"/>
    <cellStyle name="40% - Accent4 8 4" xfId="9318"/>
    <cellStyle name="40% - Accent4 8 4 2" xfId="20606"/>
    <cellStyle name="40% - Accent4 8 5" xfId="7324"/>
    <cellStyle name="40% - Accent4 8 5 2" xfId="18612"/>
    <cellStyle name="40% - Accent4 8 6" xfId="5330"/>
    <cellStyle name="40% - Accent4 8 6 2" xfId="16618"/>
    <cellStyle name="40% - Accent4 8 7" xfId="14624"/>
    <cellStyle name="40% - Accent4 8 8" xfId="13310"/>
    <cellStyle name="40% - Accent4 9" xfId="1375"/>
    <cellStyle name="40% - Accent4 9 2" xfId="4331"/>
    <cellStyle name="40% - Accent4 9 2 2" xfId="12310"/>
    <cellStyle name="40% - Accent4 9 2 2 2" xfId="23598"/>
    <cellStyle name="40% - Accent4 9 2 3" xfId="10316"/>
    <cellStyle name="40% - Accent4 9 2 3 2" xfId="21604"/>
    <cellStyle name="40% - Accent4 9 2 4" xfId="8322"/>
    <cellStyle name="40% - Accent4 9 2 4 2" xfId="19610"/>
    <cellStyle name="40% - Accent4 9 2 5" xfId="6328"/>
    <cellStyle name="40% - Accent4 9 2 5 2" xfId="17616"/>
    <cellStyle name="40% - Accent4 9 2 6" xfId="15622"/>
    <cellStyle name="40% - Accent4 9 3" xfId="11313"/>
    <cellStyle name="40% - Accent4 9 3 2" xfId="22601"/>
    <cellStyle name="40% - Accent4 9 4" xfId="9319"/>
    <cellStyle name="40% - Accent4 9 4 2" xfId="20607"/>
    <cellStyle name="40% - Accent4 9 5" xfId="7325"/>
    <cellStyle name="40% - Accent4 9 5 2" xfId="18613"/>
    <cellStyle name="40% - Accent4 9 6" xfId="5331"/>
    <cellStyle name="40% - Accent4 9 6 2" xfId="16619"/>
    <cellStyle name="40% - Accent4 9 7" xfId="14625"/>
    <cellStyle name="40% - Accent4 9 8" xfId="13311"/>
    <cellStyle name="40% - Accent5 10" xfId="1376"/>
    <cellStyle name="40% - Accent5 10 2" xfId="4332"/>
    <cellStyle name="40% - Accent5 10 2 2" xfId="12311"/>
    <cellStyle name="40% - Accent5 10 2 2 2" xfId="23599"/>
    <cellStyle name="40% - Accent5 10 2 3" xfId="10317"/>
    <cellStyle name="40% - Accent5 10 2 3 2" xfId="21605"/>
    <cellStyle name="40% - Accent5 10 2 4" xfId="8323"/>
    <cellStyle name="40% - Accent5 10 2 4 2" xfId="19611"/>
    <cellStyle name="40% - Accent5 10 2 5" xfId="6329"/>
    <cellStyle name="40% - Accent5 10 2 5 2" xfId="17617"/>
    <cellStyle name="40% - Accent5 10 2 6" xfId="15623"/>
    <cellStyle name="40% - Accent5 10 3" xfId="11314"/>
    <cellStyle name="40% - Accent5 10 3 2" xfId="22602"/>
    <cellStyle name="40% - Accent5 10 4" xfId="9320"/>
    <cellStyle name="40% - Accent5 10 4 2" xfId="20608"/>
    <cellStyle name="40% - Accent5 10 5" xfId="7326"/>
    <cellStyle name="40% - Accent5 10 5 2" xfId="18614"/>
    <cellStyle name="40% - Accent5 10 6" xfId="5332"/>
    <cellStyle name="40% - Accent5 10 6 2" xfId="16620"/>
    <cellStyle name="40% - Accent5 10 7" xfId="14626"/>
    <cellStyle name="40% - Accent5 10 8" xfId="13312"/>
    <cellStyle name="40% - Accent5 11" xfId="1377"/>
    <cellStyle name="40% - Accent5 11 2" xfId="4333"/>
    <cellStyle name="40% - Accent5 11 2 2" xfId="12312"/>
    <cellStyle name="40% - Accent5 11 2 2 2" xfId="23600"/>
    <cellStyle name="40% - Accent5 11 2 3" xfId="10318"/>
    <cellStyle name="40% - Accent5 11 2 3 2" xfId="21606"/>
    <cellStyle name="40% - Accent5 11 2 4" xfId="8324"/>
    <cellStyle name="40% - Accent5 11 2 4 2" xfId="19612"/>
    <cellStyle name="40% - Accent5 11 2 5" xfId="6330"/>
    <cellStyle name="40% - Accent5 11 2 5 2" xfId="17618"/>
    <cellStyle name="40% - Accent5 11 2 6" xfId="15624"/>
    <cellStyle name="40% - Accent5 11 3" xfId="11315"/>
    <cellStyle name="40% - Accent5 11 3 2" xfId="22603"/>
    <cellStyle name="40% - Accent5 11 4" xfId="9321"/>
    <cellStyle name="40% - Accent5 11 4 2" xfId="20609"/>
    <cellStyle name="40% - Accent5 11 5" xfId="7327"/>
    <cellStyle name="40% - Accent5 11 5 2" xfId="18615"/>
    <cellStyle name="40% - Accent5 11 6" xfId="5333"/>
    <cellStyle name="40% - Accent5 11 6 2" xfId="16621"/>
    <cellStyle name="40% - Accent5 11 7" xfId="14627"/>
    <cellStyle name="40% - Accent5 11 8" xfId="13313"/>
    <cellStyle name="40% - Accent5 12" xfId="1378"/>
    <cellStyle name="40% - Accent5 12 2" xfId="4334"/>
    <cellStyle name="40% - Accent5 12 2 2" xfId="12313"/>
    <cellStyle name="40% - Accent5 12 2 2 2" xfId="23601"/>
    <cellStyle name="40% - Accent5 12 2 3" xfId="10319"/>
    <cellStyle name="40% - Accent5 12 2 3 2" xfId="21607"/>
    <cellStyle name="40% - Accent5 12 2 4" xfId="8325"/>
    <cellStyle name="40% - Accent5 12 2 4 2" xfId="19613"/>
    <cellStyle name="40% - Accent5 12 2 5" xfId="6331"/>
    <cellStyle name="40% - Accent5 12 2 5 2" xfId="17619"/>
    <cellStyle name="40% - Accent5 12 2 6" xfId="15625"/>
    <cellStyle name="40% - Accent5 12 3" xfId="11316"/>
    <cellStyle name="40% - Accent5 12 3 2" xfId="22604"/>
    <cellStyle name="40% - Accent5 12 4" xfId="9322"/>
    <cellStyle name="40% - Accent5 12 4 2" xfId="20610"/>
    <cellStyle name="40% - Accent5 12 5" xfId="7328"/>
    <cellStyle name="40% - Accent5 12 5 2" xfId="18616"/>
    <cellStyle name="40% - Accent5 12 6" xfId="5334"/>
    <cellStyle name="40% - Accent5 12 6 2" xfId="16622"/>
    <cellStyle name="40% - Accent5 12 7" xfId="14628"/>
    <cellStyle name="40% - Accent5 12 8" xfId="13314"/>
    <cellStyle name="40% - Accent5 13" xfId="1379"/>
    <cellStyle name="40% - Accent5 13 2" xfId="4335"/>
    <cellStyle name="40% - Accent5 13 2 2" xfId="12314"/>
    <cellStyle name="40% - Accent5 13 2 2 2" xfId="23602"/>
    <cellStyle name="40% - Accent5 13 2 3" xfId="10320"/>
    <cellStyle name="40% - Accent5 13 2 3 2" xfId="21608"/>
    <cellStyle name="40% - Accent5 13 2 4" xfId="8326"/>
    <cellStyle name="40% - Accent5 13 2 4 2" xfId="19614"/>
    <cellStyle name="40% - Accent5 13 2 5" xfId="6332"/>
    <cellStyle name="40% - Accent5 13 2 5 2" xfId="17620"/>
    <cellStyle name="40% - Accent5 13 2 6" xfId="15626"/>
    <cellStyle name="40% - Accent5 13 3" xfId="11317"/>
    <cellStyle name="40% - Accent5 13 3 2" xfId="22605"/>
    <cellStyle name="40% - Accent5 13 4" xfId="9323"/>
    <cellStyle name="40% - Accent5 13 4 2" xfId="20611"/>
    <cellStyle name="40% - Accent5 13 5" xfId="7329"/>
    <cellStyle name="40% - Accent5 13 5 2" xfId="18617"/>
    <cellStyle name="40% - Accent5 13 6" xfId="5335"/>
    <cellStyle name="40% - Accent5 13 6 2" xfId="16623"/>
    <cellStyle name="40% - Accent5 13 7" xfId="14629"/>
    <cellStyle name="40% - Accent5 13 8" xfId="13315"/>
    <cellStyle name="40% - Accent5 14" xfId="1380"/>
    <cellStyle name="40% - Accent5 14 2" xfId="4336"/>
    <cellStyle name="40% - Accent5 14 2 2" xfId="12315"/>
    <cellStyle name="40% - Accent5 14 2 2 2" xfId="23603"/>
    <cellStyle name="40% - Accent5 14 2 3" xfId="10321"/>
    <cellStyle name="40% - Accent5 14 2 3 2" xfId="21609"/>
    <cellStyle name="40% - Accent5 14 2 4" xfId="8327"/>
    <cellStyle name="40% - Accent5 14 2 4 2" xfId="19615"/>
    <cellStyle name="40% - Accent5 14 2 5" xfId="6333"/>
    <cellStyle name="40% - Accent5 14 2 5 2" xfId="17621"/>
    <cellStyle name="40% - Accent5 14 2 6" xfId="15627"/>
    <cellStyle name="40% - Accent5 14 3" xfId="11318"/>
    <cellStyle name="40% - Accent5 14 3 2" xfId="22606"/>
    <cellStyle name="40% - Accent5 14 4" xfId="9324"/>
    <cellStyle name="40% - Accent5 14 4 2" xfId="20612"/>
    <cellStyle name="40% - Accent5 14 5" xfId="7330"/>
    <cellStyle name="40% - Accent5 14 5 2" xfId="18618"/>
    <cellStyle name="40% - Accent5 14 6" xfId="5336"/>
    <cellStyle name="40% - Accent5 14 6 2" xfId="16624"/>
    <cellStyle name="40% - Accent5 14 7" xfId="14630"/>
    <cellStyle name="40% - Accent5 14 8" xfId="13316"/>
    <cellStyle name="40% - Accent5 15" xfId="1381"/>
    <cellStyle name="40% - Accent5 15 2" xfId="4337"/>
    <cellStyle name="40% - Accent5 15 2 2" xfId="12316"/>
    <cellStyle name="40% - Accent5 15 2 2 2" xfId="23604"/>
    <cellStyle name="40% - Accent5 15 2 3" xfId="10322"/>
    <cellStyle name="40% - Accent5 15 2 3 2" xfId="21610"/>
    <cellStyle name="40% - Accent5 15 2 4" xfId="8328"/>
    <cellStyle name="40% - Accent5 15 2 4 2" xfId="19616"/>
    <cellStyle name="40% - Accent5 15 2 5" xfId="6334"/>
    <cellStyle name="40% - Accent5 15 2 5 2" xfId="17622"/>
    <cellStyle name="40% - Accent5 15 2 6" xfId="15628"/>
    <cellStyle name="40% - Accent5 15 3" xfId="11319"/>
    <cellStyle name="40% - Accent5 15 3 2" xfId="22607"/>
    <cellStyle name="40% - Accent5 15 4" xfId="9325"/>
    <cellStyle name="40% - Accent5 15 4 2" xfId="20613"/>
    <cellStyle name="40% - Accent5 15 5" xfId="7331"/>
    <cellStyle name="40% - Accent5 15 5 2" xfId="18619"/>
    <cellStyle name="40% - Accent5 15 6" xfId="5337"/>
    <cellStyle name="40% - Accent5 15 6 2" xfId="16625"/>
    <cellStyle name="40% - Accent5 15 7" xfId="14631"/>
    <cellStyle name="40% - Accent5 15 8" xfId="13317"/>
    <cellStyle name="40% - Accent5 16" xfId="1382"/>
    <cellStyle name="40% - Accent5 16 2" xfId="4338"/>
    <cellStyle name="40% - Accent5 16 2 2" xfId="12317"/>
    <cellStyle name="40% - Accent5 16 2 2 2" xfId="23605"/>
    <cellStyle name="40% - Accent5 16 2 3" xfId="10323"/>
    <cellStyle name="40% - Accent5 16 2 3 2" xfId="21611"/>
    <cellStyle name="40% - Accent5 16 2 4" xfId="8329"/>
    <cellStyle name="40% - Accent5 16 2 4 2" xfId="19617"/>
    <cellStyle name="40% - Accent5 16 2 5" xfId="6335"/>
    <cellStyle name="40% - Accent5 16 2 5 2" xfId="17623"/>
    <cellStyle name="40% - Accent5 16 2 6" xfId="15629"/>
    <cellStyle name="40% - Accent5 16 3" xfId="11320"/>
    <cellStyle name="40% - Accent5 16 3 2" xfId="22608"/>
    <cellStyle name="40% - Accent5 16 4" xfId="9326"/>
    <cellStyle name="40% - Accent5 16 4 2" xfId="20614"/>
    <cellStyle name="40% - Accent5 16 5" xfId="7332"/>
    <cellStyle name="40% - Accent5 16 5 2" xfId="18620"/>
    <cellStyle name="40% - Accent5 16 6" xfId="5338"/>
    <cellStyle name="40% - Accent5 16 6 2" xfId="16626"/>
    <cellStyle name="40% - Accent5 16 7" xfId="14632"/>
    <cellStyle name="40% - Accent5 16 8" xfId="13318"/>
    <cellStyle name="40% - Accent5 17" xfId="1383"/>
    <cellStyle name="40% - Accent5 17 2" xfId="4339"/>
    <cellStyle name="40% - Accent5 17 2 2" xfId="12318"/>
    <cellStyle name="40% - Accent5 17 2 2 2" xfId="23606"/>
    <cellStyle name="40% - Accent5 17 2 3" xfId="10324"/>
    <cellStyle name="40% - Accent5 17 2 3 2" xfId="21612"/>
    <cellStyle name="40% - Accent5 17 2 4" xfId="8330"/>
    <cellStyle name="40% - Accent5 17 2 4 2" xfId="19618"/>
    <cellStyle name="40% - Accent5 17 2 5" xfId="6336"/>
    <cellStyle name="40% - Accent5 17 2 5 2" xfId="17624"/>
    <cellStyle name="40% - Accent5 17 2 6" xfId="15630"/>
    <cellStyle name="40% - Accent5 17 3" xfId="11321"/>
    <cellStyle name="40% - Accent5 17 3 2" xfId="22609"/>
    <cellStyle name="40% - Accent5 17 4" xfId="9327"/>
    <cellStyle name="40% - Accent5 17 4 2" xfId="20615"/>
    <cellStyle name="40% - Accent5 17 5" xfId="7333"/>
    <cellStyle name="40% - Accent5 17 5 2" xfId="18621"/>
    <cellStyle name="40% - Accent5 17 6" xfId="5339"/>
    <cellStyle name="40% - Accent5 17 6 2" xfId="16627"/>
    <cellStyle name="40% - Accent5 17 7" xfId="14633"/>
    <cellStyle name="40% - Accent5 17 8" xfId="13319"/>
    <cellStyle name="40% - Accent5 18" xfId="1384"/>
    <cellStyle name="40% - Accent5 18 2" xfId="4340"/>
    <cellStyle name="40% - Accent5 18 2 2" xfId="12319"/>
    <cellStyle name="40% - Accent5 18 2 2 2" xfId="23607"/>
    <cellStyle name="40% - Accent5 18 2 3" xfId="10325"/>
    <cellStyle name="40% - Accent5 18 2 3 2" xfId="21613"/>
    <cellStyle name="40% - Accent5 18 2 4" xfId="8331"/>
    <cellStyle name="40% - Accent5 18 2 4 2" xfId="19619"/>
    <cellStyle name="40% - Accent5 18 2 5" xfId="6337"/>
    <cellStyle name="40% - Accent5 18 2 5 2" xfId="17625"/>
    <cellStyle name="40% - Accent5 18 2 6" xfId="15631"/>
    <cellStyle name="40% - Accent5 18 3" xfId="11322"/>
    <cellStyle name="40% - Accent5 18 3 2" xfId="22610"/>
    <cellStyle name="40% - Accent5 18 4" xfId="9328"/>
    <cellStyle name="40% - Accent5 18 4 2" xfId="20616"/>
    <cellStyle name="40% - Accent5 18 5" xfId="7334"/>
    <cellStyle name="40% - Accent5 18 5 2" xfId="18622"/>
    <cellStyle name="40% - Accent5 18 6" xfId="5340"/>
    <cellStyle name="40% - Accent5 18 6 2" xfId="16628"/>
    <cellStyle name="40% - Accent5 18 7" xfId="14634"/>
    <cellStyle name="40% - Accent5 18 8" xfId="13320"/>
    <cellStyle name="40% - Accent5 19" xfId="1385"/>
    <cellStyle name="40% - Accent5 19 2" xfId="4341"/>
    <cellStyle name="40% - Accent5 19 2 2" xfId="12320"/>
    <cellStyle name="40% - Accent5 19 2 2 2" xfId="23608"/>
    <cellStyle name="40% - Accent5 19 2 3" xfId="10326"/>
    <cellStyle name="40% - Accent5 19 2 3 2" xfId="21614"/>
    <cellStyle name="40% - Accent5 19 2 4" xfId="8332"/>
    <cellStyle name="40% - Accent5 19 2 4 2" xfId="19620"/>
    <cellStyle name="40% - Accent5 19 2 5" xfId="6338"/>
    <cellStyle name="40% - Accent5 19 2 5 2" xfId="17626"/>
    <cellStyle name="40% - Accent5 19 2 6" xfId="15632"/>
    <cellStyle name="40% - Accent5 19 3" xfId="11323"/>
    <cellStyle name="40% - Accent5 19 3 2" xfId="22611"/>
    <cellStyle name="40% - Accent5 19 4" xfId="9329"/>
    <cellStyle name="40% - Accent5 19 4 2" xfId="20617"/>
    <cellStyle name="40% - Accent5 19 5" xfId="7335"/>
    <cellStyle name="40% - Accent5 19 5 2" xfId="18623"/>
    <cellStyle name="40% - Accent5 19 6" xfId="5341"/>
    <cellStyle name="40% - Accent5 19 6 2" xfId="16629"/>
    <cellStyle name="40% - Accent5 19 7" xfId="14635"/>
    <cellStyle name="40% - Accent5 19 8" xfId="13321"/>
    <cellStyle name="40% - Accent5 2" xfId="1386"/>
    <cellStyle name="40% - Accent5 2 10" xfId="24619"/>
    <cellStyle name="40% - Accent5 2 11" xfId="25009"/>
    <cellStyle name="40% - Accent5 2 2" xfId="4342"/>
    <cellStyle name="40% - Accent5 2 2 2" xfId="12321"/>
    <cellStyle name="40% - Accent5 2 2 2 2" xfId="23609"/>
    <cellStyle name="40% - Accent5 2 2 3" xfId="10327"/>
    <cellStyle name="40% - Accent5 2 2 3 2" xfId="21615"/>
    <cellStyle name="40% - Accent5 2 2 4" xfId="8333"/>
    <cellStyle name="40% - Accent5 2 2 4 2" xfId="19621"/>
    <cellStyle name="40% - Accent5 2 2 5" xfId="6339"/>
    <cellStyle name="40% - Accent5 2 2 5 2" xfId="17627"/>
    <cellStyle name="40% - Accent5 2 2 6" xfId="15633"/>
    <cellStyle name="40% - Accent5 2 2 7" xfId="24380"/>
    <cellStyle name="40% - Accent5 2 2 8" xfId="24844"/>
    <cellStyle name="40% - Accent5 2 2 9" xfId="25211"/>
    <cellStyle name="40% - Accent5 2 3" xfId="11324"/>
    <cellStyle name="40% - Accent5 2 3 2" xfId="22612"/>
    <cellStyle name="40% - Accent5 2 4" xfId="9330"/>
    <cellStyle name="40% - Accent5 2 4 2" xfId="20618"/>
    <cellStyle name="40% - Accent5 2 5" xfId="7336"/>
    <cellStyle name="40% - Accent5 2 5 2" xfId="18624"/>
    <cellStyle name="40% - Accent5 2 6" xfId="5342"/>
    <cellStyle name="40% - Accent5 2 6 2" xfId="16630"/>
    <cellStyle name="40% - Accent5 2 7" xfId="14636"/>
    <cellStyle name="40% - Accent5 2 8" xfId="13322"/>
    <cellStyle name="40% - Accent5 2 9" xfId="23992"/>
    <cellStyle name="40% - Accent5 20" xfId="1387"/>
    <cellStyle name="40% - Accent5 20 2" xfId="4343"/>
    <cellStyle name="40% - Accent5 20 2 2" xfId="12322"/>
    <cellStyle name="40% - Accent5 20 2 2 2" xfId="23610"/>
    <cellStyle name="40% - Accent5 20 2 3" xfId="10328"/>
    <cellStyle name="40% - Accent5 20 2 3 2" xfId="21616"/>
    <cellStyle name="40% - Accent5 20 2 4" xfId="8334"/>
    <cellStyle name="40% - Accent5 20 2 4 2" xfId="19622"/>
    <cellStyle name="40% - Accent5 20 2 5" xfId="6340"/>
    <cellStyle name="40% - Accent5 20 2 5 2" xfId="17628"/>
    <cellStyle name="40% - Accent5 20 2 6" xfId="15634"/>
    <cellStyle name="40% - Accent5 20 3" xfId="11325"/>
    <cellStyle name="40% - Accent5 20 3 2" xfId="22613"/>
    <cellStyle name="40% - Accent5 20 4" xfId="9331"/>
    <cellStyle name="40% - Accent5 20 4 2" xfId="20619"/>
    <cellStyle name="40% - Accent5 20 5" xfId="7337"/>
    <cellStyle name="40% - Accent5 20 5 2" xfId="18625"/>
    <cellStyle name="40% - Accent5 20 6" xfId="5343"/>
    <cellStyle name="40% - Accent5 20 6 2" xfId="16631"/>
    <cellStyle name="40% - Accent5 20 7" xfId="14637"/>
    <cellStyle name="40% - Accent5 20 8" xfId="13323"/>
    <cellStyle name="40% - Accent5 21" xfId="1388"/>
    <cellStyle name="40% - Accent5 21 2" xfId="4344"/>
    <cellStyle name="40% - Accent5 21 2 2" xfId="12323"/>
    <cellStyle name="40% - Accent5 21 2 2 2" xfId="23611"/>
    <cellStyle name="40% - Accent5 21 2 3" xfId="10329"/>
    <cellStyle name="40% - Accent5 21 2 3 2" xfId="21617"/>
    <cellStyle name="40% - Accent5 21 2 4" xfId="8335"/>
    <cellStyle name="40% - Accent5 21 2 4 2" xfId="19623"/>
    <cellStyle name="40% - Accent5 21 2 5" xfId="6341"/>
    <cellStyle name="40% - Accent5 21 2 5 2" xfId="17629"/>
    <cellStyle name="40% - Accent5 21 2 6" xfId="15635"/>
    <cellStyle name="40% - Accent5 21 3" xfId="11326"/>
    <cellStyle name="40% - Accent5 21 3 2" xfId="22614"/>
    <cellStyle name="40% - Accent5 21 4" xfId="9332"/>
    <cellStyle name="40% - Accent5 21 4 2" xfId="20620"/>
    <cellStyle name="40% - Accent5 21 5" xfId="7338"/>
    <cellStyle name="40% - Accent5 21 5 2" xfId="18626"/>
    <cellStyle name="40% - Accent5 21 6" xfId="5344"/>
    <cellStyle name="40% - Accent5 21 6 2" xfId="16632"/>
    <cellStyle name="40% - Accent5 21 7" xfId="14638"/>
    <cellStyle name="40% - Accent5 21 8" xfId="13324"/>
    <cellStyle name="40% - Accent5 22" xfId="1389"/>
    <cellStyle name="40% - Accent5 22 2" xfId="4345"/>
    <cellStyle name="40% - Accent5 22 2 2" xfId="12324"/>
    <cellStyle name="40% - Accent5 22 2 2 2" xfId="23612"/>
    <cellStyle name="40% - Accent5 22 2 3" xfId="10330"/>
    <cellStyle name="40% - Accent5 22 2 3 2" xfId="21618"/>
    <cellStyle name="40% - Accent5 22 2 4" xfId="8336"/>
    <cellStyle name="40% - Accent5 22 2 4 2" xfId="19624"/>
    <cellStyle name="40% - Accent5 22 2 5" xfId="6342"/>
    <cellStyle name="40% - Accent5 22 2 5 2" xfId="17630"/>
    <cellStyle name="40% - Accent5 22 2 6" xfId="15636"/>
    <cellStyle name="40% - Accent5 22 3" xfId="11327"/>
    <cellStyle name="40% - Accent5 22 3 2" xfId="22615"/>
    <cellStyle name="40% - Accent5 22 4" xfId="9333"/>
    <cellStyle name="40% - Accent5 22 4 2" xfId="20621"/>
    <cellStyle name="40% - Accent5 22 5" xfId="7339"/>
    <cellStyle name="40% - Accent5 22 5 2" xfId="18627"/>
    <cellStyle name="40% - Accent5 22 6" xfId="5345"/>
    <cellStyle name="40% - Accent5 22 6 2" xfId="16633"/>
    <cellStyle name="40% - Accent5 22 7" xfId="14639"/>
    <cellStyle name="40% - Accent5 22 8" xfId="13325"/>
    <cellStyle name="40% - Accent5 23" xfId="1390"/>
    <cellStyle name="40% - Accent5 23 2" xfId="4346"/>
    <cellStyle name="40% - Accent5 23 2 2" xfId="12325"/>
    <cellStyle name="40% - Accent5 23 2 2 2" xfId="23613"/>
    <cellStyle name="40% - Accent5 23 2 3" xfId="10331"/>
    <cellStyle name="40% - Accent5 23 2 3 2" xfId="21619"/>
    <cellStyle name="40% - Accent5 23 2 4" xfId="8337"/>
    <cellStyle name="40% - Accent5 23 2 4 2" xfId="19625"/>
    <cellStyle name="40% - Accent5 23 2 5" xfId="6343"/>
    <cellStyle name="40% - Accent5 23 2 5 2" xfId="17631"/>
    <cellStyle name="40% - Accent5 23 2 6" xfId="15637"/>
    <cellStyle name="40% - Accent5 23 3" xfId="11328"/>
    <cellStyle name="40% - Accent5 23 3 2" xfId="22616"/>
    <cellStyle name="40% - Accent5 23 4" xfId="9334"/>
    <cellStyle name="40% - Accent5 23 4 2" xfId="20622"/>
    <cellStyle name="40% - Accent5 23 5" xfId="7340"/>
    <cellStyle name="40% - Accent5 23 5 2" xfId="18628"/>
    <cellStyle name="40% - Accent5 23 6" xfId="5346"/>
    <cellStyle name="40% - Accent5 23 6 2" xfId="16634"/>
    <cellStyle name="40% - Accent5 23 7" xfId="14640"/>
    <cellStyle name="40% - Accent5 23 8" xfId="13326"/>
    <cellStyle name="40% - Accent5 24" xfId="1391"/>
    <cellStyle name="40% - Accent5 24 2" xfId="4347"/>
    <cellStyle name="40% - Accent5 24 2 2" xfId="12326"/>
    <cellStyle name="40% - Accent5 24 2 2 2" xfId="23614"/>
    <cellStyle name="40% - Accent5 24 2 3" xfId="10332"/>
    <cellStyle name="40% - Accent5 24 2 3 2" xfId="21620"/>
    <cellStyle name="40% - Accent5 24 2 4" xfId="8338"/>
    <cellStyle name="40% - Accent5 24 2 4 2" xfId="19626"/>
    <cellStyle name="40% - Accent5 24 2 5" xfId="6344"/>
    <cellStyle name="40% - Accent5 24 2 5 2" xfId="17632"/>
    <cellStyle name="40% - Accent5 24 2 6" xfId="15638"/>
    <cellStyle name="40% - Accent5 24 3" xfId="11329"/>
    <cellStyle name="40% - Accent5 24 3 2" xfId="22617"/>
    <cellStyle name="40% - Accent5 24 4" xfId="9335"/>
    <cellStyle name="40% - Accent5 24 4 2" xfId="20623"/>
    <cellStyle name="40% - Accent5 24 5" xfId="7341"/>
    <cellStyle name="40% - Accent5 24 5 2" xfId="18629"/>
    <cellStyle name="40% - Accent5 24 6" xfId="5347"/>
    <cellStyle name="40% - Accent5 24 6 2" xfId="16635"/>
    <cellStyle name="40% - Accent5 24 7" xfId="14641"/>
    <cellStyle name="40% - Accent5 24 8" xfId="13327"/>
    <cellStyle name="40% - Accent5 25" xfId="1392"/>
    <cellStyle name="40% - Accent5 25 2" xfId="4348"/>
    <cellStyle name="40% - Accent5 25 2 2" xfId="12327"/>
    <cellStyle name="40% - Accent5 25 2 2 2" xfId="23615"/>
    <cellStyle name="40% - Accent5 25 2 3" xfId="10333"/>
    <cellStyle name="40% - Accent5 25 2 3 2" xfId="21621"/>
    <cellStyle name="40% - Accent5 25 2 4" xfId="8339"/>
    <cellStyle name="40% - Accent5 25 2 4 2" xfId="19627"/>
    <cellStyle name="40% - Accent5 25 2 5" xfId="6345"/>
    <cellStyle name="40% - Accent5 25 2 5 2" xfId="17633"/>
    <cellStyle name="40% - Accent5 25 2 6" xfId="15639"/>
    <cellStyle name="40% - Accent5 25 3" xfId="11330"/>
    <cellStyle name="40% - Accent5 25 3 2" xfId="22618"/>
    <cellStyle name="40% - Accent5 25 4" xfId="9336"/>
    <cellStyle name="40% - Accent5 25 4 2" xfId="20624"/>
    <cellStyle name="40% - Accent5 25 5" xfId="7342"/>
    <cellStyle name="40% - Accent5 25 5 2" xfId="18630"/>
    <cellStyle name="40% - Accent5 25 6" xfId="5348"/>
    <cellStyle name="40% - Accent5 25 6 2" xfId="16636"/>
    <cellStyle name="40% - Accent5 25 7" xfId="14642"/>
    <cellStyle name="40% - Accent5 25 8" xfId="13328"/>
    <cellStyle name="40% - Accent5 26" xfId="1393"/>
    <cellStyle name="40% - Accent5 26 2" xfId="4349"/>
    <cellStyle name="40% - Accent5 26 2 2" xfId="12328"/>
    <cellStyle name="40% - Accent5 26 2 2 2" xfId="23616"/>
    <cellStyle name="40% - Accent5 26 2 3" xfId="10334"/>
    <cellStyle name="40% - Accent5 26 2 3 2" xfId="21622"/>
    <cellStyle name="40% - Accent5 26 2 4" xfId="8340"/>
    <cellStyle name="40% - Accent5 26 2 4 2" xfId="19628"/>
    <cellStyle name="40% - Accent5 26 2 5" xfId="6346"/>
    <cellStyle name="40% - Accent5 26 2 5 2" xfId="17634"/>
    <cellStyle name="40% - Accent5 26 2 6" xfId="15640"/>
    <cellStyle name="40% - Accent5 26 3" xfId="11331"/>
    <cellStyle name="40% - Accent5 26 3 2" xfId="22619"/>
    <cellStyle name="40% - Accent5 26 4" xfId="9337"/>
    <cellStyle name="40% - Accent5 26 4 2" xfId="20625"/>
    <cellStyle name="40% - Accent5 26 5" xfId="7343"/>
    <cellStyle name="40% - Accent5 26 5 2" xfId="18631"/>
    <cellStyle name="40% - Accent5 26 6" xfId="5349"/>
    <cellStyle name="40% - Accent5 26 6 2" xfId="16637"/>
    <cellStyle name="40% - Accent5 26 7" xfId="14643"/>
    <cellStyle name="40% - Accent5 26 8" xfId="13329"/>
    <cellStyle name="40% - Accent5 27" xfId="1394"/>
    <cellStyle name="40% - Accent5 27 2" xfId="4350"/>
    <cellStyle name="40% - Accent5 27 2 2" xfId="12329"/>
    <cellStyle name="40% - Accent5 27 2 2 2" xfId="23617"/>
    <cellStyle name="40% - Accent5 27 2 3" xfId="10335"/>
    <cellStyle name="40% - Accent5 27 2 3 2" xfId="21623"/>
    <cellStyle name="40% - Accent5 27 2 4" xfId="8341"/>
    <cellStyle name="40% - Accent5 27 2 4 2" xfId="19629"/>
    <cellStyle name="40% - Accent5 27 2 5" xfId="6347"/>
    <cellStyle name="40% - Accent5 27 2 5 2" xfId="17635"/>
    <cellStyle name="40% - Accent5 27 2 6" xfId="15641"/>
    <cellStyle name="40% - Accent5 27 3" xfId="11332"/>
    <cellStyle name="40% - Accent5 27 3 2" xfId="22620"/>
    <cellStyle name="40% - Accent5 27 4" xfId="9338"/>
    <cellStyle name="40% - Accent5 27 4 2" xfId="20626"/>
    <cellStyle name="40% - Accent5 27 5" xfId="7344"/>
    <cellStyle name="40% - Accent5 27 5 2" xfId="18632"/>
    <cellStyle name="40% - Accent5 27 6" xfId="5350"/>
    <cellStyle name="40% - Accent5 27 6 2" xfId="16638"/>
    <cellStyle name="40% - Accent5 27 7" xfId="14644"/>
    <cellStyle name="40% - Accent5 27 8" xfId="13330"/>
    <cellStyle name="40% - Accent5 28" xfId="1395"/>
    <cellStyle name="40% - Accent5 28 2" xfId="4351"/>
    <cellStyle name="40% - Accent5 28 2 2" xfId="12330"/>
    <cellStyle name="40% - Accent5 28 2 2 2" xfId="23618"/>
    <cellStyle name="40% - Accent5 28 2 3" xfId="10336"/>
    <cellStyle name="40% - Accent5 28 2 3 2" xfId="21624"/>
    <cellStyle name="40% - Accent5 28 2 4" xfId="8342"/>
    <cellStyle name="40% - Accent5 28 2 4 2" xfId="19630"/>
    <cellStyle name="40% - Accent5 28 2 5" xfId="6348"/>
    <cellStyle name="40% - Accent5 28 2 5 2" xfId="17636"/>
    <cellStyle name="40% - Accent5 28 2 6" xfId="15642"/>
    <cellStyle name="40% - Accent5 28 3" xfId="11333"/>
    <cellStyle name="40% - Accent5 28 3 2" xfId="22621"/>
    <cellStyle name="40% - Accent5 28 4" xfId="9339"/>
    <cellStyle name="40% - Accent5 28 4 2" xfId="20627"/>
    <cellStyle name="40% - Accent5 28 5" xfId="7345"/>
    <cellStyle name="40% - Accent5 28 5 2" xfId="18633"/>
    <cellStyle name="40% - Accent5 28 6" xfId="5351"/>
    <cellStyle name="40% - Accent5 28 6 2" xfId="16639"/>
    <cellStyle name="40% - Accent5 28 7" xfId="14645"/>
    <cellStyle name="40% - Accent5 28 8" xfId="13331"/>
    <cellStyle name="40% - Accent5 29" xfId="1396"/>
    <cellStyle name="40% - Accent5 29 2" xfId="4352"/>
    <cellStyle name="40% - Accent5 29 2 2" xfId="12331"/>
    <cellStyle name="40% - Accent5 29 2 2 2" xfId="23619"/>
    <cellStyle name="40% - Accent5 29 2 3" xfId="10337"/>
    <cellStyle name="40% - Accent5 29 2 3 2" xfId="21625"/>
    <cellStyle name="40% - Accent5 29 2 4" xfId="8343"/>
    <cellStyle name="40% - Accent5 29 2 4 2" xfId="19631"/>
    <cellStyle name="40% - Accent5 29 2 5" xfId="6349"/>
    <cellStyle name="40% - Accent5 29 2 5 2" xfId="17637"/>
    <cellStyle name="40% - Accent5 29 2 6" xfId="15643"/>
    <cellStyle name="40% - Accent5 29 3" xfId="11334"/>
    <cellStyle name="40% - Accent5 29 3 2" xfId="22622"/>
    <cellStyle name="40% - Accent5 29 4" xfId="9340"/>
    <cellStyle name="40% - Accent5 29 4 2" xfId="20628"/>
    <cellStyle name="40% - Accent5 29 5" xfId="7346"/>
    <cellStyle name="40% - Accent5 29 5 2" xfId="18634"/>
    <cellStyle name="40% - Accent5 29 6" xfId="5352"/>
    <cellStyle name="40% - Accent5 29 6 2" xfId="16640"/>
    <cellStyle name="40% - Accent5 29 7" xfId="14646"/>
    <cellStyle name="40% - Accent5 29 8" xfId="13332"/>
    <cellStyle name="40% - Accent5 3" xfId="1397"/>
    <cellStyle name="40% - Accent5 3 10" xfId="24620"/>
    <cellStyle name="40% - Accent5 3 11" xfId="25010"/>
    <cellStyle name="40% - Accent5 3 2" xfId="4353"/>
    <cellStyle name="40% - Accent5 3 2 2" xfId="12332"/>
    <cellStyle name="40% - Accent5 3 2 2 2" xfId="23620"/>
    <cellStyle name="40% - Accent5 3 2 3" xfId="10338"/>
    <cellStyle name="40% - Accent5 3 2 3 2" xfId="21626"/>
    <cellStyle name="40% - Accent5 3 2 4" xfId="8344"/>
    <cellStyle name="40% - Accent5 3 2 4 2" xfId="19632"/>
    <cellStyle name="40% - Accent5 3 2 5" xfId="6350"/>
    <cellStyle name="40% - Accent5 3 2 5 2" xfId="17638"/>
    <cellStyle name="40% - Accent5 3 2 6" xfId="15644"/>
    <cellStyle name="40% - Accent5 3 2 7" xfId="24381"/>
    <cellStyle name="40% - Accent5 3 2 8" xfId="24845"/>
    <cellStyle name="40% - Accent5 3 2 9" xfId="25212"/>
    <cellStyle name="40% - Accent5 3 3" xfId="11335"/>
    <cellStyle name="40% - Accent5 3 3 2" xfId="22623"/>
    <cellStyle name="40% - Accent5 3 4" xfId="9341"/>
    <cellStyle name="40% - Accent5 3 4 2" xfId="20629"/>
    <cellStyle name="40% - Accent5 3 5" xfId="7347"/>
    <cellStyle name="40% - Accent5 3 5 2" xfId="18635"/>
    <cellStyle name="40% - Accent5 3 6" xfId="5353"/>
    <cellStyle name="40% - Accent5 3 6 2" xfId="16641"/>
    <cellStyle name="40% - Accent5 3 7" xfId="14647"/>
    <cellStyle name="40% - Accent5 3 8" xfId="13333"/>
    <cellStyle name="40% - Accent5 3 9" xfId="23993"/>
    <cellStyle name="40% - Accent5 30" xfId="1398"/>
    <cellStyle name="40% - Accent5 30 2" xfId="4354"/>
    <cellStyle name="40% - Accent5 30 2 2" xfId="12333"/>
    <cellStyle name="40% - Accent5 30 2 2 2" xfId="23621"/>
    <cellStyle name="40% - Accent5 30 2 3" xfId="10339"/>
    <cellStyle name="40% - Accent5 30 2 3 2" xfId="21627"/>
    <cellStyle name="40% - Accent5 30 2 4" xfId="8345"/>
    <cellStyle name="40% - Accent5 30 2 4 2" xfId="19633"/>
    <cellStyle name="40% - Accent5 30 2 5" xfId="6351"/>
    <cellStyle name="40% - Accent5 30 2 5 2" xfId="17639"/>
    <cellStyle name="40% - Accent5 30 2 6" xfId="15645"/>
    <cellStyle name="40% - Accent5 30 3" xfId="11336"/>
    <cellStyle name="40% - Accent5 30 3 2" xfId="22624"/>
    <cellStyle name="40% - Accent5 30 4" xfId="9342"/>
    <cellStyle name="40% - Accent5 30 4 2" xfId="20630"/>
    <cellStyle name="40% - Accent5 30 5" xfId="7348"/>
    <cellStyle name="40% - Accent5 30 5 2" xfId="18636"/>
    <cellStyle name="40% - Accent5 30 6" xfId="5354"/>
    <cellStyle name="40% - Accent5 30 6 2" xfId="16642"/>
    <cellStyle name="40% - Accent5 30 7" xfId="14648"/>
    <cellStyle name="40% - Accent5 30 8" xfId="13334"/>
    <cellStyle name="40% - Accent5 31" xfId="1399"/>
    <cellStyle name="40% - Accent5 31 2" xfId="4355"/>
    <cellStyle name="40% - Accent5 31 2 2" xfId="12334"/>
    <cellStyle name="40% - Accent5 31 2 2 2" xfId="23622"/>
    <cellStyle name="40% - Accent5 31 2 3" xfId="10340"/>
    <cellStyle name="40% - Accent5 31 2 3 2" xfId="21628"/>
    <cellStyle name="40% - Accent5 31 2 4" xfId="8346"/>
    <cellStyle name="40% - Accent5 31 2 4 2" xfId="19634"/>
    <cellStyle name="40% - Accent5 31 2 5" xfId="6352"/>
    <cellStyle name="40% - Accent5 31 2 5 2" xfId="17640"/>
    <cellStyle name="40% - Accent5 31 2 6" xfId="15646"/>
    <cellStyle name="40% - Accent5 31 3" xfId="11337"/>
    <cellStyle name="40% - Accent5 31 3 2" xfId="22625"/>
    <cellStyle name="40% - Accent5 31 4" xfId="9343"/>
    <cellStyle name="40% - Accent5 31 4 2" xfId="20631"/>
    <cellStyle name="40% - Accent5 31 5" xfId="7349"/>
    <cellStyle name="40% - Accent5 31 5 2" xfId="18637"/>
    <cellStyle name="40% - Accent5 31 6" xfId="5355"/>
    <cellStyle name="40% - Accent5 31 6 2" xfId="16643"/>
    <cellStyle name="40% - Accent5 31 7" xfId="14649"/>
    <cellStyle name="40% - Accent5 31 8" xfId="13335"/>
    <cellStyle name="40% - Accent5 32" xfId="1400"/>
    <cellStyle name="40% - Accent5 32 2" xfId="4356"/>
    <cellStyle name="40% - Accent5 32 2 2" xfId="12335"/>
    <cellStyle name="40% - Accent5 32 2 2 2" xfId="23623"/>
    <cellStyle name="40% - Accent5 32 2 3" xfId="10341"/>
    <cellStyle name="40% - Accent5 32 2 3 2" xfId="21629"/>
    <cellStyle name="40% - Accent5 32 2 4" xfId="8347"/>
    <cellStyle name="40% - Accent5 32 2 4 2" xfId="19635"/>
    <cellStyle name="40% - Accent5 32 2 5" xfId="6353"/>
    <cellStyle name="40% - Accent5 32 2 5 2" xfId="17641"/>
    <cellStyle name="40% - Accent5 32 2 6" xfId="15647"/>
    <cellStyle name="40% - Accent5 32 3" xfId="11338"/>
    <cellStyle name="40% - Accent5 32 3 2" xfId="22626"/>
    <cellStyle name="40% - Accent5 32 4" xfId="9344"/>
    <cellStyle name="40% - Accent5 32 4 2" xfId="20632"/>
    <cellStyle name="40% - Accent5 32 5" xfId="7350"/>
    <cellStyle name="40% - Accent5 32 5 2" xfId="18638"/>
    <cellStyle name="40% - Accent5 32 6" xfId="5356"/>
    <cellStyle name="40% - Accent5 32 6 2" xfId="16644"/>
    <cellStyle name="40% - Accent5 32 7" xfId="14650"/>
    <cellStyle name="40% - Accent5 32 8" xfId="13336"/>
    <cellStyle name="40% - Accent5 33" xfId="1401"/>
    <cellStyle name="40% - Accent5 33 2" xfId="4357"/>
    <cellStyle name="40% - Accent5 33 2 2" xfId="12336"/>
    <cellStyle name="40% - Accent5 33 2 2 2" xfId="23624"/>
    <cellStyle name="40% - Accent5 33 2 3" xfId="10342"/>
    <cellStyle name="40% - Accent5 33 2 3 2" xfId="21630"/>
    <cellStyle name="40% - Accent5 33 2 4" xfId="8348"/>
    <cellStyle name="40% - Accent5 33 2 4 2" xfId="19636"/>
    <cellStyle name="40% - Accent5 33 2 5" xfId="6354"/>
    <cellStyle name="40% - Accent5 33 2 5 2" xfId="17642"/>
    <cellStyle name="40% - Accent5 33 2 6" xfId="15648"/>
    <cellStyle name="40% - Accent5 33 3" xfId="11339"/>
    <cellStyle name="40% - Accent5 33 3 2" xfId="22627"/>
    <cellStyle name="40% - Accent5 33 4" xfId="9345"/>
    <cellStyle name="40% - Accent5 33 4 2" xfId="20633"/>
    <cellStyle name="40% - Accent5 33 5" xfId="7351"/>
    <cellStyle name="40% - Accent5 33 5 2" xfId="18639"/>
    <cellStyle name="40% - Accent5 33 6" xfId="5357"/>
    <cellStyle name="40% - Accent5 33 6 2" xfId="16645"/>
    <cellStyle name="40% - Accent5 33 7" xfId="14651"/>
    <cellStyle name="40% - Accent5 33 8" xfId="13337"/>
    <cellStyle name="40% - Accent5 34" xfId="1402"/>
    <cellStyle name="40% - Accent5 34 2" xfId="4358"/>
    <cellStyle name="40% - Accent5 34 2 2" xfId="12337"/>
    <cellStyle name="40% - Accent5 34 2 2 2" xfId="23625"/>
    <cellStyle name="40% - Accent5 34 2 3" xfId="10343"/>
    <cellStyle name="40% - Accent5 34 2 3 2" xfId="21631"/>
    <cellStyle name="40% - Accent5 34 2 4" xfId="8349"/>
    <cellStyle name="40% - Accent5 34 2 4 2" xfId="19637"/>
    <cellStyle name="40% - Accent5 34 2 5" xfId="6355"/>
    <cellStyle name="40% - Accent5 34 2 5 2" xfId="17643"/>
    <cellStyle name="40% - Accent5 34 2 6" xfId="15649"/>
    <cellStyle name="40% - Accent5 34 3" xfId="11340"/>
    <cellStyle name="40% - Accent5 34 3 2" xfId="22628"/>
    <cellStyle name="40% - Accent5 34 4" xfId="9346"/>
    <cellStyle name="40% - Accent5 34 4 2" xfId="20634"/>
    <cellStyle name="40% - Accent5 34 5" xfId="7352"/>
    <cellStyle name="40% - Accent5 34 5 2" xfId="18640"/>
    <cellStyle name="40% - Accent5 34 6" xfId="5358"/>
    <cellStyle name="40% - Accent5 34 6 2" xfId="16646"/>
    <cellStyle name="40% - Accent5 34 7" xfId="14652"/>
    <cellStyle name="40% - Accent5 34 8" xfId="13338"/>
    <cellStyle name="40% - Accent5 35" xfId="1403"/>
    <cellStyle name="40% - Accent5 35 2" xfId="4359"/>
    <cellStyle name="40% - Accent5 35 2 2" xfId="12338"/>
    <cellStyle name="40% - Accent5 35 2 2 2" xfId="23626"/>
    <cellStyle name="40% - Accent5 35 2 3" xfId="10344"/>
    <cellStyle name="40% - Accent5 35 2 3 2" xfId="21632"/>
    <cellStyle name="40% - Accent5 35 2 4" xfId="8350"/>
    <cellStyle name="40% - Accent5 35 2 4 2" xfId="19638"/>
    <cellStyle name="40% - Accent5 35 2 5" xfId="6356"/>
    <cellStyle name="40% - Accent5 35 2 5 2" xfId="17644"/>
    <cellStyle name="40% - Accent5 35 2 6" xfId="15650"/>
    <cellStyle name="40% - Accent5 35 3" xfId="11341"/>
    <cellStyle name="40% - Accent5 35 3 2" xfId="22629"/>
    <cellStyle name="40% - Accent5 35 4" xfId="9347"/>
    <cellStyle name="40% - Accent5 35 4 2" xfId="20635"/>
    <cellStyle name="40% - Accent5 35 5" xfId="7353"/>
    <cellStyle name="40% - Accent5 35 5 2" xfId="18641"/>
    <cellStyle name="40% - Accent5 35 6" xfId="5359"/>
    <cellStyle name="40% - Accent5 35 6 2" xfId="16647"/>
    <cellStyle name="40% - Accent5 35 7" xfId="14653"/>
    <cellStyle name="40% - Accent5 35 8" xfId="13339"/>
    <cellStyle name="40% - Accent5 36" xfId="1404"/>
    <cellStyle name="40% - Accent5 36 2" xfId="4360"/>
    <cellStyle name="40% - Accent5 36 2 2" xfId="12339"/>
    <cellStyle name="40% - Accent5 36 2 2 2" xfId="23627"/>
    <cellStyle name="40% - Accent5 36 2 3" xfId="10345"/>
    <cellStyle name="40% - Accent5 36 2 3 2" xfId="21633"/>
    <cellStyle name="40% - Accent5 36 2 4" xfId="8351"/>
    <cellStyle name="40% - Accent5 36 2 4 2" xfId="19639"/>
    <cellStyle name="40% - Accent5 36 2 5" xfId="6357"/>
    <cellStyle name="40% - Accent5 36 2 5 2" xfId="17645"/>
    <cellStyle name="40% - Accent5 36 2 6" xfId="15651"/>
    <cellStyle name="40% - Accent5 36 3" xfId="11342"/>
    <cellStyle name="40% - Accent5 36 3 2" xfId="22630"/>
    <cellStyle name="40% - Accent5 36 4" xfId="9348"/>
    <cellStyle name="40% - Accent5 36 4 2" xfId="20636"/>
    <cellStyle name="40% - Accent5 36 5" xfId="7354"/>
    <cellStyle name="40% - Accent5 36 5 2" xfId="18642"/>
    <cellStyle name="40% - Accent5 36 6" xfId="5360"/>
    <cellStyle name="40% - Accent5 36 6 2" xfId="16648"/>
    <cellStyle name="40% - Accent5 36 7" xfId="14654"/>
    <cellStyle name="40% - Accent5 36 8" xfId="13340"/>
    <cellStyle name="40% - Accent5 37" xfId="1405"/>
    <cellStyle name="40% - Accent5 37 2" xfId="4361"/>
    <cellStyle name="40% - Accent5 37 2 2" xfId="12340"/>
    <cellStyle name="40% - Accent5 37 2 2 2" xfId="23628"/>
    <cellStyle name="40% - Accent5 37 2 3" xfId="10346"/>
    <cellStyle name="40% - Accent5 37 2 3 2" xfId="21634"/>
    <cellStyle name="40% - Accent5 37 2 4" xfId="8352"/>
    <cellStyle name="40% - Accent5 37 2 4 2" xfId="19640"/>
    <cellStyle name="40% - Accent5 37 2 5" xfId="6358"/>
    <cellStyle name="40% - Accent5 37 2 5 2" xfId="17646"/>
    <cellStyle name="40% - Accent5 37 2 6" xfId="15652"/>
    <cellStyle name="40% - Accent5 37 3" xfId="11343"/>
    <cellStyle name="40% - Accent5 37 3 2" xfId="22631"/>
    <cellStyle name="40% - Accent5 37 4" xfId="9349"/>
    <cellStyle name="40% - Accent5 37 4 2" xfId="20637"/>
    <cellStyle name="40% - Accent5 37 5" xfId="7355"/>
    <cellStyle name="40% - Accent5 37 5 2" xfId="18643"/>
    <cellStyle name="40% - Accent5 37 6" xfId="5361"/>
    <cellStyle name="40% - Accent5 37 6 2" xfId="16649"/>
    <cellStyle name="40% - Accent5 37 7" xfId="14655"/>
    <cellStyle name="40% - Accent5 37 8" xfId="13341"/>
    <cellStyle name="40% - Accent5 38" xfId="1406"/>
    <cellStyle name="40% - Accent5 38 2" xfId="4362"/>
    <cellStyle name="40% - Accent5 38 2 2" xfId="12341"/>
    <cellStyle name="40% - Accent5 38 2 2 2" xfId="23629"/>
    <cellStyle name="40% - Accent5 38 2 3" xfId="10347"/>
    <cellStyle name="40% - Accent5 38 2 3 2" xfId="21635"/>
    <cellStyle name="40% - Accent5 38 2 4" xfId="8353"/>
    <cellStyle name="40% - Accent5 38 2 4 2" xfId="19641"/>
    <cellStyle name="40% - Accent5 38 2 5" xfId="6359"/>
    <cellStyle name="40% - Accent5 38 2 5 2" xfId="17647"/>
    <cellStyle name="40% - Accent5 38 2 6" xfId="15653"/>
    <cellStyle name="40% - Accent5 38 3" xfId="11344"/>
    <cellStyle name="40% - Accent5 38 3 2" xfId="22632"/>
    <cellStyle name="40% - Accent5 38 4" xfId="9350"/>
    <cellStyle name="40% - Accent5 38 4 2" xfId="20638"/>
    <cellStyle name="40% - Accent5 38 5" xfId="7356"/>
    <cellStyle name="40% - Accent5 38 5 2" xfId="18644"/>
    <cellStyle name="40% - Accent5 38 6" xfId="5362"/>
    <cellStyle name="40% - Accent5 38 6 2" xfId="16650"/>
    <cellStyle name="40% - Accent5 38 7" xfId="14656"/>
    <cellStyle name="40% - Accent5 38 8" xfId="13342"/>
    <cellStyle name="40% - Accent5 39" xfId="1407"/>
    <cellStyle name="40% - Accent5 39 2" xfId="4363"/>
    <cellStyle name="40% - Accent5 39 2 2" xfId="12342"/>
    <cellStyle name="40% - Accent5 39 2 2 2" xfId="23630"/>
    <cellStyle name="40% - Accent5 39 2 3" xfId="10348"/>
    <cellStyle name="40% - Accent5 39 2 3 2" xfId="21636"/>
    <cellStyle name="40% - Accent5 39 2 4" xfId="8354"/>
    <cellStyle name="40% - Accent5 39 2 4 2" xfId="19642"/>
    <cellStyle name="40% - Accent5 39 2 5" xfId="6360"/>
    <cellStyle name="40% - Accent5 39 2 5 2" xfId="17648"/>
    <cellStyle name="40% - Accent5 39 2 6" xfId="15654"/>
    <cellStyle name="40% - Accent5 39 3" xfId="11345"/>
    <cellStyle name="40% - Accent5 39 3 2" xfId="22633"/>
    <cellStyle name="40% - Accent5 39 4" xfId="9351"/>
    <cellStyle name="40% - Accent5 39 4 2" xfId="20639"/>
    <cellStyle name="40% - Accent5 39 5" xfId="7357"/>
    <cellStyle name="40% - Accent5 39 5 2" xfId="18645"/>
    <cellStyle name="40% - Accent5 39 6" xfId="5363"/>
    <cellStyle name="40% - Accent5 39 6 2" xfId="16651"/>
    <cellStyle name="40% - Accent5 39 7" xfId="14657"/>
    <cellStyle name="40% - Accent5 39 8" xfId="13343"/>
    <cellStyle name="40% - Accent5 4" xfId="1408"/>
    <cellStyle name="40% - Accent5 4 10" xfId="24621"/>
    <cellStyle name="40% - Accent5 4 11" xfId="25011"/>
    <cellStyle name="40% - Accent5 4 2" xfId="4364"/>
    <cellStyle name="40% - Accent5 4 2 2" xfId="12343"/>
    <cellStyle name="40% - Accent5 4 2 2 2" xfId="23631"/>
    <cellStyle name="40% - Accent5 4 2 3" xfId="10349"/>
    <cellStyle name="40% - Accent5 4 2 3 2" xfId="21637"/>
    <cellStyle name="40% - Accent5 4 2 4" xfId="8355"/>
    <cellStyle name="40% - Accent5 4 2 4 2" xfId="19643"/>
    <cellStyle name="40% - Accent5 4 2 5" xfId="6361"/>
    <cellStyle name="40% - Accent5 4 2 5 2" xfId="17649"/>
    <cellStyle name="40% - Accent5 4 2 6" xfId="15655"/>
    <cellStyle name="40% - Accent5 4 2 7" xfId="24382"/>
    <cellStyle name="40% - Accent5 4 2 8" xfId="24846"/>
    <cellStyle name="40% - Accent5 4 2 9" xfId="25213"/>
    <cellStyle name="40% - Accent5 4 3" xfId="11346"/>
    <cellStyle name="40% - Accent5 4 3 2" xfId="22634"/>
    <cellStyle name="40% - Accent5 4 4" xfId="9352"/>
    <cellStyle name="40% - Accent5 4 4 2" xfId="20640"/>
    <cellStyle name="40% - Accent5 4 5" xfId="7358"/>
    <cellStyle name="40% - Accent5 4 5 2" xfId="18646"/>
    <cellStyle name="40% - Accent5 4 6" xfId="5364"/>
    <cellStyle name="40% - Accent5 4 6 2" xfId="16652"/>
    <cellStyle name="40% - Accent5 4 7" xfId="14658"/>
    <cellStyle name="40% - Accent5 4 8" xfId="13344"/>
    <cellStyle name="40% - Accent5 4 9" xfId="23994"/>
    <cellStyle name="40% - Accent5 40" xfId="1409"/>
    <cellStyle name="40% - Accent5 40 2" xfId="4365"/>
    <cellStyle name="40% - Accent5 40 2 2" xfId="12344"/>
    <cellStyle name="40% - Accent5 40 2 2 2" xfId="23632"/>
    <cellStyle name="40% - Accent5 40 2 3" xfId="10350"/>
    <cellStyle name="40% - Accent5 40 2 3 2" xfId="21638"/>
    <cellStyle name="40% - Accent5 40 2 4" xfId="8356"/>
    <cellStyle name="40% - Accent5 40 2 4 2" xfId="19644"/>
    <cellStyle name="40% - Accent5 40 2 5" xfId="6362"/>
    <cellStyle name="40% - Accent5 40 2 5 2" xfId="17650"/>
    <cellStyle name="40% - Accent5 40 2 6" xfId="15656"/>
    <cellStyle name="40% - Accent5 40 3" xfId="11347"/>
    <cellStyle name="40% - Accent5 40 3 2" xfId="22635"/>
    <cellStyle name="40% - Accent5 40 4" xfId="9353"/>
    <cellStyle name="40% - Accent5 40 4 2" xfId="20641"/>
    <cellStyle name="40% - Accent5 40 5" xfId="7359"/>
    <cellStyle name="40% - Accent5 40 5 2" xfId="18647"/>
    <cellStyle name="40% - Accent5 40 6" xfId="5365"/>
    <cellStyle name="40% - Accent5 40 6 2" xfId="16653"/>
    <cellStyle name="40% - Accent5 40 7" xfId="14659"/>
    <cellStyle name="40% - Accent5 40 8" xfId="13345"/>
    <cellStyle name="40% - Accent5 41" xfId="1410"/>
    <cellStyle name="40% - Accent5 41 2" xfId="4366"/>
    <cellStyle name="40% - Accent5 41 2 2" xfId="12345"/>
    <cellStyle name="40% - Accent5 41 2 2 2" xfId="23633"/>
    <cellStyle name="40% - Accent5 41 2 3" xfId="10351"/>
    <cellStyle name="40% - Accent5 41 2 3 2" xfId="21639"/>
    <cellStyle name="40% - Accent5 41 2 4" xfId="8357"/>
    <cellStyle name="40% - Accent5 41 2 4 2" xfId="19645"/>
    <cellStyle name="40% - Accent5 41 2 5" xfId="6363"/>
    <cellStyle name="40% - Accent5 41 2 5 2" xfId="17651"/>
    <cellStyle name="40% - Accent5 41 2 6" xfId="15657"/>
    <cellStyle name="40% - Accent5 41 3" xfId="11348"/>
    <cellStyle name="40% - Accent5 41 3 2" xfId="22636"/>
    <cellStyle name="40% - Accent5 41 4" xfId="9354"/>
    <cellStyle name="40% - Accent5 41 4 2" xfId="20642"/>
    <cellStyle name="40% - Accent5 41 5" xfId="7360"/>
    <cellStyle name="40% - Accent5 41 5 2" xfId="18648"/>
    <cellStyle name="40% - Accent5 41 6" xfId="5366"/>
    <cellStyle name="40% - Accent5 41 6 2" xfId="16654"/>
    <cellStyle name="40% - Accent5 41 7" xfId="14660"/>
    <cellStyle name="40% - Accent5 41 8" xfId="13346"/>
    <cellStyle name="40% - Accent5 42" xfId="1411"/>
    <cellStyle name="40% - Accent5 42 2" xfId="4367"/>
    <cellStyle name="40% - Accent5 42 2 2" xfId="12346"/>
    <cellStyle name="40% - Accent5 42 2 2 2" xfId="23634"/>
    <cellStyle name="40% - Accent5 42 2 3" xfId="10352"/>
    <cellStyle name="40% - Accent5 42 2 3 2" xfId="21640"/>
    <cellStyle name="40% - Accent5 42 2 4" xfId="8358"/>
    <cellStyle name="40% - Accent5 42 2 4 2" xfId="19646"/>
    <cellStyle name="40% - Accent5 42 2 5" xfId="6364"/>
    <cellStyle name="40% - Accent5 42 2 5 2" xfId="17652"/>
    <cellStyle name="40% - Accent5 42 2 6" xfId="15658"/>
    <cellStyle name="40% - Accent5 42 3" xfId="11349"/>
    <cellStyle name="40% - Accent5 42 3 2" xfId="22637"/>
    <cellStyle name="40% - Accent5 42 4" xfId="9355"/>
    <cellStyle name="40% - Accent5 42 4 2" xfId="20643"/>
    <cellStyle name="40% - Accent5 42 5" xfId="7361"/>
    <cellStyle name="40% - Accent5 42 5 2" xfId="18649"/>
    <cellStyle name="40% - Accent5 42 6" xfId="5367"/>
    <cellStyle name="40% - Accent5 42 6 2" xfId="16655"/>
    <cellStyle name="40% - Accent5 42 7" xfId="14661"/>
    <cellStyle name="40% - Accent5 42 8" xfId="13347"/>
    <cellStyle name="40% - Accent5 43" xfId="1412"/>
    <cellStyle name="40% - Accent5 43 2" xfId="4368"/>
    <cellStyle name="40% - Accent5 43 2 2" xfId="12347"/>
    <cellStyle name="40% - Accent5 43 2 2 2" xfId="23635"/>
    <cellStyle name="40% - Accent5 43 2 3" xfId="10353"/>
    <cellStyle name="40% - Accent5 43 2 3 2" xfId="21641"/>
    <cellStyle name="40% - Accent5 43 2 4" xfId="8359"/>
    <cellStyle name="40% - Accent5 43 2 4 2" xfId="19647"/>
    <cellStyle name="40% - Accent5 43 2 5" xfId="6365"/>
    <cellStyle name="40% - Accent5 43 2 5 2" xfId="17653"/>
    <cellStyle name="40% - Accent5 43 2 6" xfId="15659"/>
    <cellStyle name="40% - Accent5 43 3" xfId="11350"/>
    <cellStyle name="40% - Accent5 43 3 2" xfId="22638"/>
    <cellStyle name="40% - Accent5 43 4" xfId="9356"/>
    <cellStyle name="40% - Accent5 43 4 2" xfId="20644"/>
    <cellStyle name="40% - Accent5 43 5" xfId="7362"/>
    <cellStyle name="40% - Accent5 43 5 2" xfId="18650"/>
    <cellStyle name="40% - Accent5 43 6" xfId="5368"/>
    <cellStyle name="40% - Accent5 43 6 2" xfId="16656"/>
    <cellStyle name="40% - Accent5 43 7" xfId="14662"/>
    <cellStyle name="40% - Accent5 43 8" xfId="13348"/>
    <cellStyle name="40% - Accent5 44" xfId="1413"/>
    <cellStyle name="40% - Accent5 44 2" xfId="4369"/>
    <cellStyle name="40% - Accent5 44 2 2" xfId="12348"/>
    <cellStyle name="40% - Accent5 44 2 2 2" xfId="23636"/>
    <cellStyle name="40% - Accent5 44 2 3" xfId="10354"/>
    <cellStyle name="40% - Accent5 44 2 3 2" xfId="21642"/>
    <cellStyle name="40% - Accent5 44 2 4" xfId="8360"/>
    <cellStyle name="40% - Accent5 44 2 4 2" xfId="19648"/>
    <cellStyle name="40% - Accent5 44 2 5" xfId="6366"/>
    <cellStyle name="40% - Accent5 44 2 5 2" xfId="17654"/>
    <cellStyle name="40% - Accent5 44 2 6" xfId="15660"/>
    <cellStyle name="40% - Accent5 44 3" xfId="11351"/>
    <cellStyle name="40% - Accent5 44 3 2" xfId="22639"/>
    <cellStyle name="40% - Accent5 44 4" xfId="9357"/>
    <cellStyle name="40% - Accent5 44 4 2" xfId="20645"/>
    <cellStyle name="40% - Accent5 44 5" xfId="7363"/>
    <cellStyle name="40% - Accent5 44 5 2" xfId="18651"/>
    <cellStyle name="40% - Accent5 44 6" xfId="5369"/>
    <cellStyle name="40% - Accent5 44 6 2" xfId="16657"/>
    <cellStyle name="40% - Accent5 44 7" xfId="14663"/>
    <cellStyle name="40% - Accent5 44 8" xfId="13349"/>
    <cellStyle name="40% - Accent5 45" xfId="1414"/>
    <cellStyle name="40% - Accent5 45 2" xfId="4370"/>
    <cellStyle name="40% - Accent5 45 2 2" xfId="12349"/>
    <cellStyle name="40% - Accent5 45 2 2 2" xfId="23637"/>
    <cellStyle name="40% - Accent5 45 2 3" xfId="10355"/>
    <cellStyle name="40% - Accent5 45 2 3 2" xfId="21643"/>
    <cellStyle name="40% - Accent5 45 2 4" xfId="8361"/>
    <cellStyle name="40% - Accent5 45 2 4 2" xfId="19649"/>
    <cellStyle name="40% - Accent5 45 2 5" xfId="6367"/>
    <cellStyle name="40% - Accent5 45 2 5 2" xfId="17655"/>
    <cellStyle name="40% - Accent5 45 2 6" xfId="15661"/>
    <cellStyle name="40% - Accent5 45 3" xfId="11352"/>
    <cellStyle name="40% - Accent5 45 3 2" xfId="22640"/>
    <cellStyle name="40% - Accent5 45 4" xfId="9358"/>
    <cellStyle name="40% - Accent5 45 4 2" xfId="20646"/>
    <cellStyle name="40% - Accent5 45 5" xfId="7364"/>
    <cellStyle name="40% - Accent5 45 5 2" xfId="18652"/>
    <cellStyle name="40% - Accent5 45 6" xfId="5370"/>
    <cellStyle name="40% - Accent5 45 6 2" xfId="16658"/>
    <cellStyle name="40% - Accent5 45 7" xfId="14664"/>
    <cellStyle name="40% - Accent5 45 8" xfId="13350"/>
    <cellStyle name="40% - Accent5 46" xfId="1415"/>
    <cellStyle name="40% - Accent5 46 2" xfId="4371"/>
    <cellStyle name="40% - Accent5 46 2 2" xfId="12350"/>
    <cellStyle name="40% - Accent5 46 2 2 2" xfId="23638"/>
    <cellStyle name="40% - Accent5 46 2 3" xfId="10356"/>
    <cellStyle name="40% - Accent5 46 2 3 2" xfId="21644"/>
    <cellStyle name="40% - Accent5 46 2 4" xfId="8362"/>
    <cellStyle name="40% - Accent5 46 2 4 2" xfId="19650"/>
    <cellStyle name="40% - Accent5 46 2 5" xfId="6368"/>
    <cellStyle name="40% - Accent5 46 2 5 2" xfId="17656"/>
    <cellStyle name="40% - Accent5 46 2 6" xfId="15662"/>
    <cellStyle name="40% - Accent5 46 3" xfId="11353"/>
    <cellStyle name="40% - Accent5 46 3 2" xfId="22641"/>
    <cellStyle name="40% - Accent5 46 4" xfId="9359"/>
    <cellStyle name="40% - Accent5 46 4 2" xfId="20647"/>
    <cellStyle name="40% - Accent5 46 5" xfId="7365"/>
    <cellStyle name="40% - Accent5 46 5 2" xfId="18653"/>
    <cellStyle name="40% - Accent5 46 6" xfId="5371"/>
    <cellStyle name="40% - Accent5 46 6 2" xfId="16659"/>
    <cellStyle name="40% - Accent5 46 7" xfId="14665"/>
    <cellStyle name="40% - Accent5 46 8" xfId="13351"/>
    <cellStyle name="40% - Accent5 47" xfId="1416"/>
    <cellStyle name="40% - Accent5 47 2" xfId="4372"/>
    <cellStyle name="40% - Accent5 47 2 2" xfId="12351"/>
    <cellStyle name="40% - Accent5 47 2 2 2" xfId="23639"/>
    <cellStyle name="40% - Accent5 47 2 3" xfId="10357"/>
    <cellStyle name="40% - Accent5 47 2 3 2" xfId="21645"/>
    <cellStyle name="40% - Accent5 47 2 4" xfId="8363"/>
    <cellStyle name="40% - Accent5 47 2 4 2" xfId="19651"/>
    <cellStyle name="40% - Accent5 47 2 5" xfId="6369"/>
    <cellStyle name="40% - Accent5 47 2 5 2" xfId="17657"/>
    <cellStyle name="40% - Accent5 47 2 6" xfId="15663"/>
    <cellStyle name="40% - Accent5 47 3" xfId="11354"/>
    <cellStyle name="40% - Accent5 47 3 2" xfId="22642"/>
    <cellStyle name="40% - Accent5 47 4" xfId="9360"/>
    <cellStyle name="40% - Accent5 47 4 2" xfId="20648"/>
    <cellStyle name="40% - Accent5 47 5" xfId="7366"/>
    <cellStyle name="40% - Accent5 47 5 2" xfId="18654"/>
    <cellStyle name="40% - Accent5 47 6" xfId="5372"/>
    <cellStyle name="40% - Accent5 47 6 2" xfId="16660"/>
    <cellStyle name="40% - Accent5 47 7" xfId="14666"/>
    <cellStyle name="40% - Accent5 47 8" xfId="13352"/>
    <cellStyle name="40% - Accent5 48" xfId="1417"/>
    <cellStyle name="40% - Accent5 48 2" xfId="4373"/>
    <cellStyle name="40% - Accent5 48 2 2" xfId="12352"/>
    <cellStyle name="40% - Accent5 48 2 2 2" xfId="23640"/>
    <cellStyle name="40% - Accent5 48 2 3" xfId="10358"/>
    <cellStyle name="40% - Accent5 48 2 3 2" xfId="21646"/>
    <cellStyle name="40% - Accent5 48 2 4" xfId="8364"/>
    <cellStyle name="40% - Accent5 48 2 4 2" xfId="19652"/>
    <cellStyle name="40% - Accent5 48 2 5" xfId="6370"/>
    <cellStyle name="40% - Accent5 48 2 5 2" xfId="17658"/>
    <cellStyle name="40% - Accent5 48 2 6" xfId="15664"/>
    <cellStyle name="40% - Accent5 48 3" xfId="11355"/>
    <cellStyle name="40% - Accent5 48 3 2" xfId="22643"/>
    <cellStyle name="40% - Accent5 48 4" xfId="9361"/>
    <cellStyle name="40% - Accent5 48 4 2" xfId="20649"/>
    <cellStyle name="40% - Accent5 48 5" xfId="7367"/>
    <cellStyle name="40% - Accent5 48 5 2" xfId="18655"/>
    <cellStyle name="40% - Accent5 48 6" xfId="5373"/>
    <cellStyle name="40% - Accent5 48 6 2" xfId="16661"/>
    <cellStyle name="40% - Accent5 48 7" xfId="14667"/>
    <cellStyle name="40% - Accent5 48 8" xfId="13353"/>
    <cellStyle name="40% - Accent5 49" xfId="1418"/>
    <cellStyle name="40% - Accent5 49 2" xfId="4374"/>
    <cellStyle name="40% - Accent5 49 2 2" xfId="12353"/>
    <cellStyle name="40% - Accent5 49 2 2 2" xfId="23641"/>
    <cellStyle name="40% - Accent5 49 2 3" xfId="10359"/>
    <cellStyle name="40% - Accent5 49 2 3 2" xfId="21647"/>
    <cellStyle name="40% - Accent5 49 2 4" xfId="8365"/>
    <cellStyle name="40% - Accent5 49 2 4 2" xfId="19653"/>
    <cellStyle name="40% - Accent5 49 2 5" xfId="6371"/>
    <cellStyle name="40% - Accent5 49 2 5 2" xfId="17659"/>
    <cellStyle name="40% - Accent5 49 2 6" xfId="15665"/>
    <cellStyle name="40% - Accent5 49 3" xfId="11356"/>
    <cellStyle name="40% - Accent5 49 3 2" xfId="22644"/>
    <cellStyle name="40% - Accent5 49 4" xfId="9362"/>
    <cellStyle name="40% - Accent5 49 4 2" xfId="20650"/>
    <cellStyle name="40% - Accent5 49 5" xfId="7368"/>
    <cellStyle name="40% - Accent5 49 5 2" xfId="18656"/>
    <cellStyle name="40% - Accent5 49 6" xfId="5374"/>
    <cellStyle name="40% - Accent5 49 6 2" xfId="16662"/>
    <cellStyle name="40% - Accent5 49 7" xfId="14668"/>
    <cellStyle name="40% - Accent5 49 8" xfId="13354"/>
    <cellStyle name="40% - Accent5 5" xfId="1419"/>
    <cellStyle name="40% - Accent5 5 10" xfId="24622"/>
    <cellStyle name="40% - Accent5 5 11" xfId="25012"/>
    <cellStyle name="40% - Accent5 5 2" xfId="4375"/>
    <cellStyle name="40% - Accent5 5 2 2" xfId="12354"/>
    <cellStyle name="40% - Accent5 5 2 2 2" xfId="23642"/>
    <cellStyle name="40% - Accent5 5 2 3" xfId="10360"/>
    <cellStyle name="40% - Accent5 5 2 3 2" xfId="21648"/>
    <cellStyle name="40% - Accent5 5 2 4" xfId="8366"/>
    <cellStyle name="40% - Accent5 5 2 4 2" xfId="19654"/>
    <cellStyle name="40% - Accent5 5 2 5" xfId="6372"/>
    <cellStyle name="40% - Accent5 5 2 5 2" xfId="17660"/>
    <cellStyle name="40% - Accent5 5 2 6" xfId="15666"/>
    <cellStyle name="40% - Accent5 5 2 7" xfId="24383"/>
    <cellStyle name="40% - Accent5 5 2 8" xfId="24847"/>
    <cellStyle name="40% - Accent5 5 2 9" xfId="25214"/>
    <cellStyle name="40% - Accent5 5 3" xfId="11357"/>
    <cellStyle name="40% - Accent5 5 3 2" xfId="22645"/>
    <cellStyle name="40% - Accent5 5 4" xfId="9363"/>
    <cellStyle name="40% - Accent5 5 4 2" xfId="20651"/>
    <cellStyle name="40% - Accent5 5 5" xfId="7369"/>
    <cellStyle name="40% - Accent5 5 5 2" xfId="18657"/>
    <cellStyle name="40% - Accent5 5 6" xfId="5375"/>
    <cellStyle name="40% - Accent5 5 6 2" xfId="16663"/>
    <cellStyle name="40% - Accent5 5 7" xfId="14669"/>
    <cellStyle name="40% - Accent5 5 8" xfId="13355"/>
    <cellStyle name="40% - Accent5 5 9" xfId="23995"/>
    <cellStyle name="40% - Accent5 50" xfId="1420"/>
    <cellStyle name="40% - Accent5 50 2" xfId="4376"/>
    <cellStyle name="40% - Accent5 50 2 2" xfId="12355"/>
    <cellStyle name="40% - Accent5 50 2 2 2" xfId="23643"/>
    <cellStyle name="40% - Accent5 50 2 3" xfId="10361"/>
    <cellStyle name="40% - Accent5 50 2 3 2" xfId="21649"/>
    <cellStyle name="40% - Accent5 50 2 4" xfId="8367"/>
    <cellStyle name="40% - Accent5 50 2 4 2" xfId="19655"/>
    <cellStyle name="40% - Accent5 50 2 5" xfId="6373"/>
    <cellStyle name="40% - Accent5 50 2 5 2" xfId="17661"/>
    <cellStyle name="40% - Accent5 50 2 6" xfId="15667"/>
    <cellStyle name="40% - Accent5 50 3" xfId="11358"/>
    <cellStyle name="40% - Accent5 50 3 2" xfId="22646"/>
    <cellStyle name="40% - Accent5 50 4" xfId="9364"/>
    <cellStyle name="40% - Accent5 50 4 2" xfId="20652"/>
    <cellStyle name="40% - Accent5 50 5" xfId="7370"/>
    <cellStyle name="40% - Accent5 50 5 2" xfId="18658"/>
    <cellStyle name="40% - Accent5 50 6" xfId="5376"/>
    <cellStyle name="40% - Accent5 50 6 2" xfId="16664"/>
    <cellStyle name="40% - Accent5 50 7" xfId="14670"/>
    <cellStyle name="40% - Accent5 50 8" xfId="13356"/>
    <cellStyle name="40% - Accent5 51" xfId="1421"/>
    <cellStyle name="40% - Accent5 51 2" xfId="4377"/>
    <cellStyle name="40% - Accent5 51 2 2" xfId="12356"/>
    <cellStyle name="40% - Accent5 51 2 2 2" xfId="23644"/>
    <cellStyle name="40% - Accent5 51 2 3" xfId="10362"/>
    <cellStyle name="40% - Accent5 51 2 3 2" xfId="21650"/>
    <cellStyle name="40% - Accent5 51 2 4" xfId="8368"/>
    <cellStyle name="40% - Accent5 51 2 4 2" xfId="19656"/>
    <cellStyle name="40% - Accent5 51 2 5" xfId="6374"/>
    <cellStyle name="40% - Accent5 51 2 5 2" xfId="17662"/>
    <cellStyle name="40% - Accent5 51 2 6" xfId="15668"/>
    <cellStyle name="40% - Accent5 51 3" xfId="11359"/>
    <cellStyle name="40% - Accent5 51 3 2" xfId="22647"/>
    <cellStyle name="40% - Accent5 51 4" xfId="9365"/>
    <cellStyle name="40% - Accent5 51 4 2" xfId="20653"/>
    <cellStyle name="40% - Accent5 51 5" xfId="7371"/>
    <cellStyle name="40% - Accent5 51 5 2" xfId="18659"/>
    <cellStyle name="40% - Accent5 51 6" xfId="5377"/>
    <cellStyle name="40% - Accent5 51 6 2" xfId="16665"/>
    <cellStyle name="40% - Accent5 51 7" xfId="14671"/>
    <cellStyle name="40% - Accent5 51 8" xfId="13357"/>
    <cellStyle name="40% - Accent5 52" xfId="1422"/>
    <cellStyle name="40% - Accent5 52 2" xfId="4378"/>
    <cellStyle name="40% - Accent5 52 2 2" xfId="12357"/>
    <cellStyle name="40% - Accent5 52 2 2 2" xfId="23645"/>
    <cellStyle name="40% - Accent5 52 2 3" xfId="10363"/>
    <cellStyle name="40% - Accent5 52 2 3 2" xfId="21651"/>
    <cellStyle name="40% - Accent5 52 2 4" xfId="8369"/>
    <cellStyle name="40% - Accent5 52 2 4 2" xfId="19657"/>
    <cellStyle name="40% - Accent5 52 2 5" xfId="6375"/>
    <cellStyle name="40% - Accent5 52 2 5 2" xfId="17663"/>
    <cellStyle name="40% - Accent5 52 2 6" xfId="15669"/>
    <cellStyle name="40% - Accent5 52 3" xfId="11360"/>
    <cellStyle name="40% - Accent5 52 3 2" xfId="22648"/>
    <cellStyle name="40% - Accent5 52 4" xfId="9366"/>
    <cellStyle name="40% - Accent5 52 4 2" xfId="20654"/>
    <cellStyle name="40% - Accent5 52 5" xfId="7372"/>
    <cellStyle name="40% - Accent5 52 5 2" xfId="18660"/>
    <cellStyle name="40% - Accent5 52 6" xfId="5378"/>
    <cellStyle name="40% - Accent5 52 6 2" xfId="16666"/>
    <cellStyle name="40% - Accent5 52 7" xfId="14672"/>
    <cellStyle name="40% - Accent5 52 8" xfId="13358"/>
    <cellStyle name="40% - Accent5 53" xfId="1423"/>
    <cellStyle name="40% - Accent5 53 2" xfId="4379"/>
    <cellStyle name="40% - Accent5 53 2 2" xfId="12358"/>
    <cellStyle name="40% - Accent5 53 2 2 2" xfId="23646"/>
    <cellStyle name="40% - Accent5 53 2 3" xfId="10364"/>
    <cellStyle name="40% - Accent5 53 2 3 2" xfId="21652"/>
    <cellStyle name="40% - Accent5 53 2 4" xfId="8370"/>
    <cellStyle name="40% - Accent5 53 2 4 2" xfId="19658"/>
    <cellStyle name="40% - Accent5 53 2 5" xfId="6376"/>
    <cellStyle name="40% - Accent5 53 2 5 2" xfId="17664"/>
    <cellStyle name="40% - Accent5 53 2 6" xfId="15670"/>
    <cellStyle name="40% - Accent5 53 3" xfId="11361"/>
    <cellStyle name="40% - Accent5 53 3 2" xfId="22649"/>
    <cellStyle name="40% - Accent5 53 4" xfId="9367"/>
    <cellStyle name="40% - Accent5 53 4 2" xfId="20655"/>
    <cellStyle name="40% - Accent5 53 5" xfId="7373"/>
    <cellStyle name="40% - Accent5 53 5 2" xfId="18661"/>
    <cellStyle name="40% - Accent5 53 6" xfId="5379"/>
    <cellStyle name="40% - Accent5 53 6 2" xfId="16667"/>
    <cellStyle name="40% - Accent5 53 7" xfId="14673"/>
    <cellStyle name="40% - Accent5 53 8" xfId="13359"/>
    <cellStyle name="40% - Accent5 54" xfId="1424"/>
    <cellStyle name="40% - Accent5 54 2" xfId="4380"/>
    <cellStyle name="40% - Accent5 54 2 2" xfId="12359"/>
    <cellStyle name="40% - Accent5 54 2 2 2" xfId="23647"/>
    <cellStyle name="40% - Accent5 54 2 3" xfId="10365"/>
    <cellStyle name="40% - Accent5 54 2 3 2" xfId="21653"/>
    <cellStyle name="40% - Accent5 54 2 4" xfId="8371"/>
    <cellStyle name="40% - Accent5 54 2 4 2" xfId="19659"/>
    <cellStyle name="40% - Accent5 54 2 5" xfId="6377"/>
    <cellStyle name="40% - Accent5 54 2 5 2" xfId="17665"/>
    <cellStyle name="40% - Accent5 54 2 6" xfId="15671"/>
    <cellStyle name="40% - Accent5 54 3" xfId="11362"/>
    <cellStyle name="40% - Accent5 54 3 2" xfId="22650"/>
    <cellStyle name="40% - Accent5 54 4" xfId="9368"/>
    <cellStyle name="40% - Accent5 54 4 2" xfId="20656"/>
    <cellStyle name="40% - Accent5 54 5" xfId="7374"/>
    <cellStyle name="40% - Accent5 54 5 2" xfId="18662"/>
    <cellStyle name="40% - Accent5 54 6" xfId="5380"/>
    <cellStyle name="40% - Accent5 54 6 2" xfId="16668"/>
    <cellStyle name="40% - Accent5 54 7" xfId="14674"/>
    <cellStyle name="40% - Accent5 54 8" xfId="13360"/>
    <cellStyle name="40% - Accent5 55" xfId="1425"/>
    <cellStyle name="40% - Accent5 55 2" xfId="4381"/>
    <cellStyle name="40% - Accent5 55 2 2" xfId="12360"/>
    <cellStyle name="40% - Accent5 55 2 2 2" xfId="23648"/>
    <cellStyle name="40% - Accent5 55 2 3" xfId="10366"/>
    <cellStyle name="40% - Accent5 55 2 3 2" xfId="21654"/>
    <cellStyle name="40% - Accent5 55 2 4" xfId="8372"/>
    <cellStyle name="40% - Accent5 55 2 4 2" xfId="19660"/>
    <cellStyle name="40% - Accent5 55 2 5" xfId="6378"/>
    <cellStyle name="40% - Accent5 55 2 5 2" xfId="17666"/>
    <cellStyle name="40% - Accent5 55 2 6" xfId="15672"/>
    <cellStyle name="40% - Accent5 55 3" xfId="11363"/>
    <cellStyle name="40% - Accent5 55 3 2" xfId="22651"/>
    <cellStyle name="40% - Accent5 55 4" xfId="9369"/>
    <cellStyle name="40% - Accent5 55 4 2" xfId="20657"/>
    <cellStyle name="40% - Accent5 55 5" xfId="7375"/>
    <cellStyle name="40% - Accent5 55 5 2" xfId="18663"/>
    <cellStyle name="40% - Accent5 55 6" xfId="5381"/>
    <cellStyle name="40% - Accent5 55 6 2" xfId="16669"/>
    <cellStyle name="40% - Accent5 55 7" xfId="14675"/>
    <cellStyle name="40% - Accent5 55 8" xfId="13361"/>
    <cellStyle name="40% - Accent5 56" xfId="1426"/>
    <cellStyle name="40% - Accent5 56 2" xfId="4382"/>
    <cellStyle name="40% - Accent5 56 2 2" xfId="12361"/>
    <cellStyle name="40% - Accent5 56 2 2 2" xfId="23649"/>
    <cellStyle name="40% - Accent5 56 2 3" xfId="10367"/>
    <cellStyle name="40% - Accent5 56 2 3 2" xfId="21655"/>
    <cellStyle name="40% - Accent5 56 2 4" xfId="8373"/>
    <cellStyle name="40% - Accent5 56 2 4 2" xfId="19661"/>
    <cellStyle name="40% - Accent5 56 2 5" xfId="6379"/>
    <cellStyle name="40% - Accent5 56 2 5 2" xfId="17667"/>
    <cellStyle name="40% - Accent5 56 2 6" xfId="15673"/>
    <cellStyle name="40% - Accent5 56 3" xfId="11364"/>
    <cellStyle name="40% - Accent5 56 3 2" xfId="22652"/>
    <cellStyle name="40% - Accent5 56 4" xfId="9370"/>
    <cellStyle name="40% - Accent5 56 4 2" xfId="20658"/>
    <cellStyle name="40% - Accent5 56 5" xfId="7376"/>
    <cellStyle name="40% - Accent5 56 5 2" xfId="18664"/>
    <cellStyle name="40% - Accent5 56 6" xfId="5382"/>
    <cellStyle name="40% - Accent5 56 6 2" xfId="16670"/>
    <cellStyle name="40% - Accent5 56 7" xfId="14676"/>
    <cellStyle name="40% - Accent5 56 8" xfId="13362"/>
    <cellStyle name="40% - Accent5 57" xfId="1427"/>
    <cellStyle name="40% - Accent5 57 2" xfId="4383"/>
    <cellStyle name="40% - Accent5 57 2 2" xfId="12362"/>
    <cellStyle name="40% - Accent5 57 2 2 2" xfId="23650"/>
    <cellStyle name="40% - Accent5 57 2 3" xfId="10368"/>
    <cellStyle name="40% - Accent5 57 2 3 2" xfId="21656"/>
    <cellStyle name="40% - Accent5 57 2 4" xfId="8374"/>
    <cellStyle name="40% - Accent5 57 2 4 2" xfId="19662"/>
    <cellStyle name="40% - Accent5 57 2 5" xfId="6380"/>
    <cellStyle name="40% - Accent5 57 2 5 2" xfId="17668"/>
    <cellStyle name="40% - Accent5 57 2 6" xfId="15674"/>
    <cellStyle name="40% - Accent5 57 3" xfId="11365"/>
    <cellStyle name="40% - Accent5 57 3 2" xfId="22653"/>
    <cellStyle name="40% - Accent5 57 4" xfId="9371"/>
    <cellStyle name="40% - Accent5 57 4 2" xfId="20659"/>
    <cellStyle name="40% - Accent5 57 5" xfId="7377"/>
    <cellStyle name="40% - Accent5 57 5 2" xfId="18665"/>
    <cellStyle name="40% - Accent5 57 6" xfId="5383"/>
    <cellStyle name="40% - Accent5 57 6 2" xfId="16671"/>
    <cellStyle name="40% - Accent5 57 7" xfId="14677"/>
    <cellStyle name="40% - Accent5 57 8" xfId="13363"/>
    <cellStyle name="40% - Accent5 58" xfId="1428"/>
    <cellStyle name="40% - Accent5 58 2" xfId="4384"/>
    <cellStyle name="40% - Accent5 58 2 2" xfId="12363"/>
    <cellStyle name="40% - Accent5 58 2 2 2" xfId="23651"/>
    <cellStyle name="40% - Accent5 58 2 3" xfId="10369"/>
    <cellStyle name="40% - Accent5 58 2 3 2" xfId="21657"/>
    <cellStyle name="40% - Accent5 58 2 4" xfId="8375"/>
    <cellStyle name="40% - Accent5 58 2 4 2" xfId="19663"/>
    <cellStyle name="40% - Accent5 58 2 5" xfId="6381"/>
    <cellStyle name="40% - Accent5 58 2 5 2" xfId="17669"/>
    <cellStyle name="40% - Accent5 58 2 6" xfId="15675"/>
    <cellStyle name="40% - Accent5 58 3" xfId="11366"/>
    <cellStyle name="40% - Accent5 58 3 2" xfId="22654"/>
    <cellStyle name="40% - Accent5 58 4" xfId="9372"/>
    <cellStyle name="40% - Accent5 58 4 2" xfId="20660"/>
    <cellStyle name="40% - Accent5 58 5" xfId="7378"/>
    <cellStyle name="40% - Accent5 58 5 2" xfId="18666"/>
    <cellStyle name="40% - Accent5 58 6" xfId="5384"/>
    <cellStyle name="40% - Accent5 58 6 2" xfId="16672"/>
    <cellStyle name="40% - Accent5 58 7" xfId="14678"/>
    <cellStyle name="40% - Accent5 58 8" xfId="13364"/>
    <cellStyle name="40% - Accent5 59" xfId="1429"/>
    <cellStyle name="40% - Accent5 59 2" xfId="4385"/>
    <cellStyle name="40% - Accent5 59 2 2" xfId="12364"/>
    <cellStyle name="40% - Accent5 59 2 2 2" xfId="23652"/>
    <cellStyle name="40% - Accent5 59 2 3" xfId="10370"/>
    <cellStyle name="40% - Accent5 59 2 3 2" xfId="21658"/>
    <cellStyle name="40% - Accent5 59 2 4" xfId="8376"/>
    <cellStyle name="40% - Accent5 59 2 4 2" xfId="19664"/>
    <cellStyle name="40% - Accent5 59 2 5" xfId="6382"/>
    <cellStyle name="40% - Accent5 59 2 5 2" xfId="17670"/>
    <cellStyle name="40% - Accent5 59 2 6" xfId="15676"/>
    <cellStyle name="40% - Accent5 59 3" xfId="11367"/>
    <cellStyle name="40% - Accent5 59 3 2" xfId="22655"/>
    <cellStyle name="40% - Accent5 59 4" xfId="9373"/>
    <cellStyle name="40% - Accent5 59 4 2" xfId="20661"/>
    <cellStyle name="40% - Accent5 59 5" xfId="7379"/>
    <cellStyle name="40% - Accent5 59 5 2" xfId="18667"/>
    <cellStyle name="40% - Accent5 59 6" xfId="5385"/>
    <cellStyle name="40% - Accent5 59 6 2" xfId="16673"/>
    <cellStyle name="40% - Accent5 59 7" xfId="14679"/>
    <cellStyle name="40% - Accent5 59 8" xfId="13365"/>
    <cellStyle name="40% - Accent5 6" xfId="1430"/>
    <cellStyle name="40% - Accent5 6 10" xfId="24623"/>
    <cellStyle name="40% - Accent5 6 11" xfId="25013"/>
    <cellStyle name="40% - Accent5 6 2" xfId="4386"/>
    <cellStyle name="40% - Accent5 6 2 2" xfId="12365"/>
    <cellStyle name="40% - Accent5 6 2 2 2" xfId="23653"/>
    <cellStyle name="40% - Accent5 6 2 3" xfId="10371"/>
    <cellStyle name="40% - Accent5 6 2 3 2" xfId="21659"/>
    <cellStyle name="40% - Accent5 6 2 4" xfId="8377"/>
    <cellStyle name="40% - Accent5 6 2 4 2" xfId="19665"/>
    <cellStyle name="40% - Accent5 6 2 5" xfId="6383"/>
    <cellStyle name="40% - Accent5 6 2 5 2" xfId="17671"/>
    <cellStyle name="40% - Accent5 6 2 6" xfId="15677"/>
    <cellStyle name="40% - Accent5 6 2 7" xfId="24384"/>
    <cellStyle name="40% - Accent5 6 2 8" xfId="24848"/>
    <cellStyle name="40% - Accent5 6 2 9" xfId="25215"/>
    <cellStyle name="40% - Accent5 6 3" xfId="11368"/>
    <cellStyle name="40% - Accent5 6 3 2" xfId="22656"/>
    <cellStyle name="40% - Accent5 6 4" xfId="9374"/>
    <cellStyle name="40% - Accent5 6 4 2" xfId="20662"/>
    <cellStyle name="40% - Accent5 6 5" xfId="7380"/>
    <cellStyle name="40% - Accent5 6 5 2" xfId="18668"/>
    <cellStyle name="40% - Accent5 6 6" xfId="5386"/>
    <cellStyle name="40% - Accent5 6 6 2" xfId="16674"/>
    <cellStyle name="40% - Accent5 6 7" xfId="14680"/>
    <cellStyle name="40% - Accent5 6 8" xfId="13366"/>
    <cellStyle name="40% - Accent5 6 9" xfId="23996"/>
    <cellStyle name="40% - Accent5 60" xfId="1431"/>
    <cellStyle name="40% - Accent5 60 2" xfId="4387"/>
    <cellStyle name="40% - Accent5 60 2 2" xfId="12366"/>
    <cellStyle name="40% - Accent5 60 2 2 2" xfId="23654"/>
    <cellStyle name="40% - Accent5 60 2 3" xfId="10372"/>
    <cellStyle name="40% - Accent5 60 2 3 2" xfId="21660"/>
    <cellStyle name="40% - Accent5 60 2 4" xfId="8378"/>
    <cellStyle name="40% - Accent5 60 2 4 2" xfId="19666"/>
    <cellStyle name="40% - Accent5 60 2 5" xfId="6384"/>
    <cellStyle name="40% - Accent5 60 2 5 2" xfId="17672"/>
    <cellStyle name="40% - Accent5 60 2 6" xfId="15678"/>
    <cellStyle name="40% - Accent5 60 3" xfId="11369"/>
    <cellStyle name="40% - Accent5 60 3 2" xfId="22657"/>
    <cellStyle name="40% - Accent5 60 4" xfId="9375"/>
    <cellStyle name="40% - Accent5 60 4 2" xfId="20663"/>
    <cellStyle name="40% - Accent5 60 5" xfId="7381"/>
    <cellStyle name="40% - Accent5 60 5 2" xfId="18669"/>
    <cellStyle name="40% - Accent5 60 6" xfId="5387"/>
    <cellStyle name="40% - Accent5 60 6 2" xfId="16675"/>
    <cellStyle name="40% - Accent5 60 7" xfId="14681"/>
    <cellStyle name="40% - Accent5 60 8" xfId="13367"/>
    <cellStyle name="40% - Accent5 61" xfId="1432"/>
    <cellStyle name="40% - Accent5 61 2" xfId="4388"/>
    <cellStyle name="40% - Accent5 61 2 2" xfId="12367"/>
    <cellStyle name="40% - Accent5 61 2 2 2" xfId="23655"/>
    <cellStyle name="40% - Accent5 61 2 3" xfId="10373"/>
    <cellStyle name="40% - Accent5 61 2 3 2" xfId="21661"/>
    <cellStyle name="40% - Accent5 61 2 4" xfId="8379"/>
    <cellStyle name="40% - Accent5 61 2 4 2" xfId="19667"/>
    <cellStyle name="40% - Accent5 61 2 5" xfId="6385"/>
    <cellStyle name="40% - Accent5 61 2 5 2" xfId="17673"/>
    <cellStyle name="40% - Accent5 61 2 6" xfId="15679"/>
    <cellStyle name="40% - Accent5 61 3" xfId="11370"/>
    <cellStyle name="40% - Accent5 61 3 2" xfId="22658"/>
    <cellStyle name="40% - Accent5 61 4" xfId="9376"/>
    <cellStyle name="40% - Accent5 61 4 2" xfId="20664"/>
    <cellStyle name="40% - Accent5 61 5" xfId="7382"/>
    <cellStyle name="40% - Accent5 61 5 2" xfId="18670"/>
    <cellStyle name="40% - Accent5 61 6" xfId="5388"/>
    <cellStyle name="40% - Accent5 61 6 2" xfId="16676"/>
    <cellStyle name="40% - Accent5 61 7" xfId="14682"/>
    <cellStyle name="40% - Accent5 61 8" xfId="13368"/>
    <cellStyle name="40% - Accent5 62" xfId="1433"/>
    <cellStyle name="40% - Accent5 62 2" xfId="4389"/>
    <cellStyle name="40% - Accent5 62 2 2" xfId="12368"/>
    <cellStyle name="40% - Accent5 62 2 2 2" xfId="23656"/>
    <cellStyle name="40% - Accent5 62 2 3" xfId="10374"/>
    <cellStyle name="40% - Accent5 62 2 3 2" xfId="21662"/>
    <cellStyle name="40% - Accent5 62 2 4" xfId="8380"/>
    <cellStyle name="40% - Accent5 62 2 4 2" xfId="19668"/>
    <cellStyle name="40% - Accent5 62 2 5" xfId="6386"/>
    <cellStyle name="40% - Accent5 62 2 5 2" xfId="17674"/>
    <cellStyle name="40% - Accent5 62 2 6" xfId="15680"/>
    <cellStyle name="40% - Accent5 62 3" xfId="11371"/>
    <cellStyle name="40% - Accent5 62 3 2" xfId="22659"/>
    <cellStyle name="40% - Accent5 62 4" xfId="9377"/>
    <cellStyle name="40% - Accent5 62 4 2" xfId="20665"/>
    <cellStyle name="40% - Accent5 62 5" xfId="7383"/>
    <cellStyle name="40% - Accent5 62 5 2" xfId="18671"/>
    <cellStyle name="40% - Accent5 62 6" xfId="5389"/>
    <cellStyle name="40% - Accent5 62 6 2" xfId="16677"/>
    <cellStyle name="40% - Accent5 62 7" xfId="14683"/>
    <cellStyle name="40% - Accent5 62 8" xfId="13369"/>
    <cellStyle name="40% - Accent5 63" xfId="1434"/>
    <cellStyle name="40% - Accent5 63 2" xfId="4390"/>
    <cellStyle name="40% - Accent5 63 2 2" xfId="12369"/>
    <cellStyle name="40% - Accent5 63 2 2 2" xfId="23657"/>
    <cellStyle name="40% - Accent5 63 2 3" xfId="10375"/>
    <cellStyle name="40% - Accent5 63 2 3 2" xfId="21663"/>
    <cellStyle name="40% - Accent5 63 2 4" xfId="8381"/>
    <cellStyle name="40% - Accent5 63 2 4 2" xfId="19669"/>
    <cellStyle name="40% - Accent5 63 2 5" xfId="6387"/>
    <cellStyle name="40% - Accent5 63 2 5 2" xfId="17675"/>
    <cellStyle name="40% - Accent5 63 2 6" xfId="15681"/>
    <cellStyle name="40% - Accent5 63 3" xfId="11372"/>
    <cellStyle name="40% - Accent5 63 3 2" xfId="22660"/>
    <cellStyle name="40% - Accent5 63 4" xfId="9378"/>
    <cellStyle name="40% - Accent5 63 4 2" xfId="20666"/>
    <cellStyle name="40% - Accent5 63 5" xfId="7384"/>
    <cellStyle name="40% - Accent5 63 5 2" xfId="18672"/>
    <cellStyle name="40% - Accent5 63 6" xfId="5390"/>
    <cellStyle name="40% - Accent5 63 6 2" xfId="16678"/>
    <cellStyle name="40% - Accent5 63 7" xfId="14684"/>
    <cellStyle name="40% - Accent5 63 8" xfId="13370"/>
    <cellStyle name="40% - Accent5 64" xfId="1435"/>
    <cellStyle name="40% - Accent5 64 2" xfId="4391"/>
    <cellStyle name="40% - Accent5 64 2 2" xfId="12370"/>
    <cellStyle name="40% - Accent5 64 2 2 2" xfId="23658"/>
    <cellStyle name="40% - Accent5 64 2 3" xfId="10376"/>
    <cellStyle name="40% - Accent5 64 2 3 2" xfId="21664"/>
    <cellStyle name="40% - Accent5 64 2 4" xfId="8382"/>
    <cellStyle name="40% - Accent5 64 2 4 2" xfId="19670"/>
    <cellStyle name="40% - Accent5 64 2 5" xfId="6388"/>
    <cellStyle name="40% - Accent5 64 2 5 2" xfId="17676"/>
    <cellStyle name="40% - Accent5 64 2 6" xfId="15682"/>
    <cellStyle name="40% - Accent5 64 3" xfId="11373"/>
    <cellStyle name="40% - Accent5 64 3 2" xfId="22661"/>
    <cellStyle name="40% - Accent5 64 4" xfId="9379"/>
    <cellStyle name="40% - Accent5 64 4 2" xfId="20667"/>
    <cellStyle name="40% - Accent5 64 5" xfId="7385"/>
    <cellStyle name="40% - Accent5 64 5 2" xfId="18673"/>
    <cellStyle name="40% - Accent5 64 6" xfId="5391"/>
    <cellStyle name="40% - Accent5 64 6 2" xfId="16679"/>
    <cellStyle name="40% - Accent5 64 7" xfId="14685"/>
    <cellStyle name="40% - Accent5 64 8" xfId="13371"/>
    <cellStyle name="40% - Accent5 65" xfId="1436"/>
    <cellStyle name="40% - Accent5 65 2" xfId="4392"/>
    <cellStyle name="40% - Accent5 65 2 2" xfId="12371"/>
    <cellStyle name="40% - Accent5 65 2 2 2" xfId="23659"/>
    <cellStyle name="40% - Accent5 65 2 3" xfId="10377"/>
    <cellStyle name="40% - Accent5 65 2 3 2" xfId="21665"/>
    <cellStyle name="40% - Accent5 65 2 4" xfId="8383"/>
    <cellStyle name="40% - Accent5 65 2 4 2" xfId="19671"/>
    <cellStyle name="40% - Accent5 65 2 5" xfId="6389"/>
    <cellStyle name="40% - Accent5 65 2 5 2" xfId="17677"/>
    <cellStyle name="40% - Accent5 65 2 6" xfId="15683"/>
    <cellStyle name="40% - Accent5 65 3" xfId="11374"/>
    <cellStyle name="40% - Accent5 65 3 2" xfId="22662"/>
    <cellStyle name="40% - Accent5 65 4" xfId="9380"/>
    <cellStyle name="40% - Accent5 65 4 2" xfId="20668"/>
    <cellStyle name="40% - Accent5 65 5" xfId="7386"/>
    <cellStyle name="40% - Accent5 65 5 2" xfId="18674"/>
    <cellStyle name="40% - Accent5 65 6" xfId="5392"/>
    <cellStyle name="40% - Accent5 65 6 2" xfId="16680"/>
    <cellStyle name="40% - Accent5 65 7" xfId="14686"/>
    <cellStyle name="40% - Accent5 65 8" xfId="13372"/>
    <cellStyle name="40% - Accent5 66" xfId="1437"/>
    <cellStyle name="40% - Accent5 66 2" xfId="4393"/>
    <cellStyle name="40% - Accent5 66 2 2" xfId="12372"/>
    <cellStyle name="40% - Accent5 66 2 2 2" xfId="23660"/>
    <cellStyle name="40% - Accent5 66 2 3" xfId="10378"/>
    <cellStyle name="40% - Accent5 66 2 3 2" xfId="21666"/>
    <cellStyle name="40% - Accent5 66 2 4" xfId="8384"/>
    <cellStyle name="40% - Accent5 66 2 4 2" xfId="19672"/>
    <cellStyle name="40% - Accent5 66 2 5" xfId="6390"/>
    <cellStyle name="40% - Accent5 66 2 5 2" xfId="17678"/>
    <cellStyle name="40% - Accent5 66 2 6" xfId="15684"/>
    <cellStyle name="40% - Accent5 66 3" xfId="11375"/>
    <cellStyle name="40% - Accent5 66 3 2" xfId="22663"/>
    <cellStyle name="40% - Accent5 66 4" xfId="9381"/>
    <cellStyle name="40% - Accent5 66 4 2" xfId="20669"/>
    <cellStyle name="40% - Accent5 66 5" xfId="7387"/>
    <cellStyle name="40% - Accent5 66 5 2" xfId="18675"/>
    <cellStyle name="40% - Accent5 66 6" xfId="5393"/>
    <cellStyle name="40% - Accent5 66 6 2" xfId="16681"/>
    <cellStyle name="40% - Accent5 66 7" xfId="14687"/>
    <cellStyle name="40% - Accent5 66 8" xfId="13373"/>
    <cellStyle name="40% - Accent5 67" xfId="1438"/>
    <cellStyle name="40% - Accent5 67 2" xfId="4394"/>
    <cellStyle name="40% - Accent5 67 2 2" xfId="12373"/>
    <cellStyle name="40% - Accent5 67 2 2 2" xfId="23661"/>
    <cellStyle name="40% - Accent5 67 2 3" xfId="10379"/>
    <cellStyle name="40% - Accent5 67 2 3 2" xfId="21667"/>
    <cellStyle name="40% - Accent5 67 2 4" xfId="8385"/>
    <cellStyle name="40% - Accent5 67 2 4 2" xfId="19673"/>
    <cellStyle name="40% - Accent5 67 2 5" xfId="6391"/>
    <cellStyle name="40% - Accent5 67 2 5 2" xfId="17679"/>
    <cellStyle name="40% - Accent5 67 2 6" xfId="15685"/>
    <cellStyle name="40% - Accent5 67 3" xfId="11376"/>
    <cellStyle name="40% - Accent5 67 3 2" xfId="22664"/>
    <cellStyle name="40% - Accent5 67 4" xfId="9382"/>
    <cellStyle name="40% - Accent5 67 4 2" xfId="20670"/>
    <cellStyle name="40% - Accent5 67 5" xfId="7388"/>
    <cellStyle name="40% - Accent5 67 5 2" xfId="18676"/>
    <cellStyle name="40% - Accent5 67 6" xfId="5394"/>
    <cellStyle name="40% - Accent5 67 6 2" xfId="16682"/>
    <cellStyle name="40% - Accent5 67 7" xfId="14688"/>
    <cellStyle name="40% - Accent5 67 8" xfId="13374"/>
    <cellStyle name="40% - Accent5 68" xfId="1439"/>
    <cellStyle name="40% - Accent5 68 2" xfId="4395"/>
    <cellStyle name="40% - Accent5 68 2 2" xfId="12374"/>
    <cellStyle name="40% - Accent5 68 2 2 2" xfId="23662"/>
    <cellStyle name="40% - Accent5 68 2 3" xfId="10380"/>
    <cellStyle name="40% - Accent5 68 2 3 2" xfId="21668"/>
    <cellStyle name="40% - Accent5 68 2 4" xfId="8386"/>
    <cellStyle name="40% - Accent5 68 2 4 2" xfId="19674"/>
    <cellStyle name="40% - Accent5 68 2 5" xfId="6392"/>
    <cellStyle name="40% - Accent5 68 2 5 2" xfId="17680"/>
    <cellStyle name="40% - Accent5 68 2 6" xfId="15686"/>
    <cellStyle name="40% - Accent5 68 3" xfId="11377"/>
    <cellStyle name="40% - Accent5 68 3 2" xfId="22665"/>
    <cellStyle name="40% - Accent5 68 4" xfId="9383"/>
    <cellStyle name="40% - Accent5 68 4 2" xfId="20671"/>
    <cellStyle name="40% - Accent5 68 5" xfId="7389"/>
    <cellStyle name="40% - Accent5 68 5 2" xfId="18677"/>
    <cellStyle name="40% - Accent5 68 6" xfId="5395"/>
    <cellStyle name="40% - Accent5 68 6 2" xfId="16683"/>
    <cellStyle name="40% - Accent5 68 7" xfId="14689"/>
    <cellStyle name="40% - Accent5 68 8" xfId="13375"/>
    <cellStyle name="40% - Accent5 69" xfId="1440"/>
    <cellStyle name="40% - Accent5 69 2" xfId="4396"/>
    <cellStyle name="40% - Accent5 69 2 2" xfId="12375"/>
    <cellStyle name="40% - Accent5 69 2 2 2" xfId="23663"/>
    <cellStyle name="40% - Accent5 69 2 3" xfId="10381"/>
    <cellStyle name="40% - Accent5 69 2 3 2" xfId="21669"/>
    <cellStyle name="40% - Accent5 69 2 4" xfId="8387"/>
    <cellStyle name="40% - Accent5 69 2 4 2" xfId="19675"/>
    <cellStyle name="40% - Accent5 69 2 5" xfId="6393"/>
    <cellStyle name="40% - Accent5 69 2 5 2" xfId="17681"/>
    <cellStyle name="40% - Accent5 69 2 6" xfId="15687"/>
    <cellStyle name="40% - Accent5 69 3" xfId="11378"/>
    <cellStyle name="40% - Accent5 69 3 2" xfId="22666"/>
    <cellStyle name="40% - Accent5 69 4" xfId="9384"/>
    <cellStyle name="40% - Accent5 69 4 2" xfId="20672"/>
    <cellStyle name="40% - Accent5 69 5" xfId="7390"/>
    <cellStyle name="40% - Accent5 69 5 2" xfId="18678"/>
    <cellStyle name="40% - Accent5 69 6" xfId="5396"/>
    <cellStyle name="40% - Accent5 69 6 2" xfId="16684"/>
    <cellStyle name="40% - Accent5 69 7" xfId="14690"/>
    <cellStyle name="40% - Accent5 69 8" xfId="13376"/>
    <cellStyle name="40% - Accent5 7" xfId="1441"/>
    <cellStyle name="40% - Accent5 7 10" xfId="24624"/>
    <cellStyle name="40% - Accent5 7 11" xfId="25014"/>
    <cellStyle name="40% - Accent5 7 2" xfId="4397"/>
    <cellStyle name="40% - Accent5 7 2 2" xfId="12376"/>
    <cellStyle name="40% - Accent5 7 2 2 2" xfId="23664"/>
    <cellStyle name="40% - Accent5 7 2 3" xfId="10382"/>
    <cellStyle name="40% - Accent5 7 2 3 2" xfId="21670"/>
    <cellStyle name="40% - Accent5 7 2 4" xfId="8388"/>
    <cellStyle name="40% - Accent5 7 2 4 2" xfId="19676"/>
    <cellStyle name="40% - Accent5 7 2 5" xfId="6394"/>
    <cellStyle name="40% - Accent5 7 2 5 2" xfId="17682"/>
    <cellStyle name="40% - Accent5 7 2 6" xfId="15688"/>
    <cellStyle name="40% - Accent5 7 2 7" xfId="24385"/>
    <cellStyle name="40% - Accent5 7 2 8" xfId="24849"/>
    <cellStyle name="40% - Accent5 7 2 9" xfId="25216"/>
    <cellStyle name="40% - Accent5 7 3" xfId="11379"/>
    <cellStyle name="40% - Accent5 7 3 2" xfId="22667"/>
    <cellStyle name="40% - Accent5 7 4" xfId="9385"/>
    <cellStyle name="40% - Accent5 7 4 2" xfId="20673"/>
    <cellStyle name="40% - Accent5 7 5" xfId="7391"/>
    <cellStyle name="40% - Accent5 7 5 2" xfId="18679"/>
    <cellStyle name="40% - Accent5 7 6" xfId="5397"/>
    <cellStyle name="40% - Accent5 7 6 2" xfId="16685"/>
    <cellStyle name="40% - Accent5 7 7" xfId="14691"/>
    <cellStyle name="40% - Accent5 7 8" xfId="13377"/>
    <cellStyle name="40% - Accent5 7 9" xfId="23997"/>
    <cellStyle name="40% - Accent5 70" xfId="1442"/>
    <cellStyle name="40% - Accent5 70 2" xfId="4398"/>
    <cellStyle name="40% - Accent5 70 2 2" xfId="12377"/>
    <cellStyle name="40% - Accent5 70 2 2 2" xfId="23665"/>
    <cellStyle name="40% - Accent5 70 2 3" xfId="10383"/>
    <cellStyle name="40% - Accent5 70 2 3 2" xfId="21671"/>
    <cellStyle name="40% - Accent5 70 2 4" xfId="8389"/>
    <cellStyle name="40% - Accent5 70 2 4 2" xfId="19677"/>
    <cellStyle name="40% - Accent5 70 2 5" xfId="6395"/>
    <cellStyle name="40% - Accent5 70 2 5 2" xfId="17683"/>
    <cellStyle name="40% - Accent5 70 2 6" xfId="15689"/>
    <cellStyle name="40% - Accent5 70 3" xfId="11380"/>
    <cellStyle name="40% - Accent5 70 3 2" xfId="22668"/>
    <cellStyle name="40% - Accent5 70 4" xfId="9386"/>
    <cellStyle name="40% - Accent5 70 4 2" xfId="20674"/>
    <cellStyle name="40% - Accent5 70 5" xfId="7392"/>
    <cellStyle name="40% - Accent5 70 5 2" xfId="18680"/>
    <cellStyle name="40% - Accent5 70 6" xfId="5398"/>
    <cellStyle name="40% - Accent5 70 6 2" xfId="16686"/>
    <cellStyle name="40% - Accent5 70 7" xfId="14692"/>
    <cellStyle name="40% - Accent5 70 8" xfId="13378"/>
    <cellStyle name="40% - Accent5 71" xfId="1443"/>
    <cellStyle name="40% - Accent5 71 2" xfId="4399"/>
    <cellStyle name="40% - Accent5 71 2 2" xfId="12378"/>
    <cellStyle name="40% - Accent5 71 2 2 2" xfId="23666"/>
    <cellStyle name="40% - Accent5 71 2 3" xfId="10384"/>
    <cellStyle name="40% - Accent5 71 2 3 2" xfId="21672"/>
    <cellStyle name="40% - Accent5 71 2 4" xfId="8390"/>
    <cellStyle name="40% - Accent5 71 2 4 2" xfId="19678"/>
    <cellStyle name="40% - Accent5 71 2 5" xfId="6396"/>
    <cellStyle name="40% - Accent5 71 2 5 2" xfId="17684"/>
    <cellStyle name="40% - Accent5 71 2 6" xfId="15690"/>
    <cellStyle name="40% - Accent5 71 3" xfId="11381"/>
    <cellStyle name="40% - Accent5 71 3 2" xfId="22669"/>
    <cellStyle name="40% - Accent5 71 4" xfId="9387"/>
    <cellStyle name="40% - Accent5 71 4 2" xfId="20675"/>
    <cellStyle name="40% - Accent5 71 5" xfId="7393"/>
    <cellStyle name="40% - Accent5 71 5 2" xfId="18681"/>
    <cellStyle name="40% - Accent5 71 6" xfId="5399"/>
    <cellStyle name="40% - Accent5 71 6 2" xfId="16687"/>
    <cellStyle name="40% - Accent5 71 7" xfId="14693"/>
    <cellStyle name="40% - Accent5 71 8" xfId="13379"/>
    <cellStyle name="40% - Accent5 72" xfId="1444"/>
    <cellStyle name="40% - Accent5 72 2" xfId="4400"/>
    <cellStyle name="40% - Accent5 72 2 2" xfId="12379"/>
    <cellStyle name="40% - Accent5 72 2 2 2" xfId="23667"/>
    <cellStyle name="40% - Accent5 72 2 3" xfId="10385"/>
    <cellStyle name="40% - Accent5 72 2 3 2" xfId="21673"/>
    <cellStyle name="40% - Accent5 72 2 4" xfId="8391"/>
    <cellStyle name="40% - Accent5 72 2 4 2" xfId="19679"/>
    <cellStyle name="40% - Accent5 72 2 5" xfId="6397"/>
    <cellStyle name="40% - Accent5 72 2 5 2" xfId="17685"/>
    <cellStyle name="40% - Accent5 72 2 6" xfId="15691"/>
    <cellStyle name="40% - Accent5 72 3" xfId="11382"/>
    <cellStyle name="40% - Accent5 72 3 2" xfId="22670"/>
    <cellStyle name="40% - Accent5 72 4" xfId="9388"/>
    <cellStyle name="40% - Accent5 72 4 2" xfId="20676"/>
    <cellStyle name="40% - Accent5 72 5" xfId="7394"/>
    <cellStyle name="40% - Accent5 72 5 2" xfId="18682"/>
    <cellStyle name="40% - Accent5 72 6" xfId="5400"/>
    <cellStyle name="40% - Accent5 72 6 2" xfId="16688"/>
    <cellStyle name="40% - Accent5 72 7" xfId="14694"/>
    <cellStyle name="40% - Accent5 72 8" xfId="13380"/>
    <cellStyle name="40% - Accent5 8" xfId="1445"/>
    <cellStyle name="40% - Accent5 8 2" xfId="4401"/>
    <cellStyle name="40% - Accent5 8 2 2" xfId="12380"/>
    <cellStyle name="40% - Accent5 8 2 2 2" xfId="23668"/>
    <cellStyle name="40% - Accent5 8 2 3" xfId="10386"/>
    <cellStyle name="40% - Accent5 8 2 3 2" xfId="21674"/>
    <cellStyle name="40% - Accent5 8 2 4" xfId="8392"/>
    <cellStyle name="40% - Accent5 8 2 4 2" xfId="19680"/>
    <cellStyle name="40% - Accent5 8 2 5" xfId="6398"/>
    <cellStyle name="40% - Accent5 8 2 5 2" xfId="17686"/>
    <cellStyle name="40% - Accent5 8 2 6" xfId="15692"/>
    <cellStyle name="40% - Accent5 8 3" xfId="11383"/>
    <cellStyle name="40% - Accent5 8 3 2" xfId="22671"/>
    <cellStyle name="40% - Accent5 8 4" xfId="9389"/>
    <cellStyle name="40% - Accent5 8 4 2" xfId="20677"/>
    <cellStyle name="40% - Accent5 8 5" xfId="7395"/>
    <cellStyle name="40% - Accent5 8 5 2" xfId="18683"/>
    <cellStyle name="40% - Accent5 8 6" xfId="5401"/>
    <cellStyle name="40% - Accent5 8 6 2" xfId="16689"/>
    <cellStyle name="40% - Accent5 8 7" xfId="14695"/>
    <cellStyle name="40% - Accent5 8 8" xfId="13381"/>
    <cellStyle name="40% - Accent5 9" xfId="1446"/>
    <cellStyle name="40% - Accent5 9 2" xfId="4402"/>
    <cellStyle name="40% - Accent5 9 2 2" xfId="12381"/>
    <cellStyle name="40% - Accent5 9 2 2 2" xfId="23669"/>
    <cellStyle name="40% - Accent5 9 2 3" xfId="10387"/>
    <cellStyle name="40% - Accent5 9 2 3 2" xfId="21675"/>
    <cellStyle name="40% - Accent5 9 2 4" xfId="8393"/>
    <cellStyle name="40% - Accent5 9 2 4 2" xfId="19681"/>
    <cellStyle name="40% - Accent5 9 2 5" xfId="6399"/>
    <cellStyle name="40% - Accent5 9 2 5 2" xfId="17687"/>
    <cellStyle name="40% - Accent5 9 2 6" xfId="15693"/>
    <cellStyle name="40% - Accent5 9 3" xfId="11384"/>
    <cellStyle name="40% - Accent5 9 3 2" xfId="22672"/>
    <cellStyle name="40% - Accent5 9 4" xfId="9390"/>
    <cellStyle name="40% - Accent5 9 4 2" xfId="20678"/>
    <cellStyle name="40% - Accent5 9 5" xfId="7396"/>
    <cellStyle name="40% - Accent5 9 5 2" xfId="18684"/>
    <cellStyle name="40% - Accent5 9 6" xfId="5402"/>
    <cellStyle name="40% - Accent5 9 6 2" xfId="16690"/>
    <cellStyle name="40% - Accent5 9 7" xfId="14696"/>
    <cellStyle name="40% - Accent5 9 8" xfId="13382"/>
    <cellStyle name="40% - Accent6 10" xfId="1447"/>
    <cellStyle name="40% - Accent6 10 2" xfId="4403"/>
    <cellStyle name="40% - Accent6 10 2 2" xfId="12382"/>
    <cellStyle name="40% - Accent6 10 2 2 2" xfId="23670"/>
    <cellStyle name="40% - Accent6 10 2 3" xfId="10388"/>
    <cellStyle name="40% - Accent6 10 2 3 2" xfId="21676"/>
    <cellStyle name="40% - Accent6 10 2 4" xfId="8394"/>
    <cellStyle name="40% - Accent6 10 2 4 2" xfId="19682"/>
    <cellStyle name="40% - Accent6 10 2 5" xfId="6400"/>
    <cellStyle name="40% - Accent6 10 2 5 2" xfId="17688"/>
    <cellStyle name="40% - Accent6 10 2 6" xfId="15694"/>
    <cellStyle name="40% - Accent6 10 3" xfId="11385"/>
    <cellStyle name="40% - Accent6 10 3 2" xfId="22673"/>
    <cellStyle name="40% - Accent6 10 4" xfId="9391"/>
    <cellStyle name="40% - Accent6 10 4 2" xfId="20679"/>
    <cellStyle name="40% - Accent6 10 5" xfId="7397"/>
    <cellStyle name="40% - Accent6 10 5 2" xfId="18685"/>
    <cellStyle name="40% - Accent6 10 6" xfId="5403"/>
    <cellStyle name="40% - Accent6 10 6 2" xfId="16691"/>
    <cellStyle name="40% - Accent6 10 7" xfId="14697"/>
    <cellStyle name="40% - Accent6 10 8" xfId="13383"/>
    <cellStyle name="40% - Accent6 11" xfId="1448"/>
    <cellStyle name="40% - Accent6 11 2" xfId="4404"/>
    <cellStyle name="40% - Accent6 11 2 2" xfId="12383"/>
    <cellStyle name="40% - Accent6 11 2 2 2" xfId="23671"/>
    <cellStyle name="40% - Accent6 11 2 3" xfId="10389"/>
    <cellStyle name="40% - Accent6 11 2 3 2" xfId="21677"/>
    <cellStyle name="40% - Accent6 11 2 4" xfId="8395"/>
    <cellStyle name="40% - Accent6 11 2 4 2" xfId="19683"/>
    <cellStyle name="40% - Accent6 11 2 5" xfId="6401"/>
    <cellStyle name="40% - Accent6 11 2 5 2" xfId="17689"/>
    <cellStyle name="40% - Accent6 11 2 6" xfId="15695"/>
    <cellStyle name="40% - Accent6 11 3" xfId="11386"/>
    <cellStyle name="40% - Accent6 11 3 2" xfId="22674"/>
    <cellStyle name="40% - Accent6 11 4" xfId="9392"/>
    <cellStyle name="40% - Accent6 11 4 2" xfId="20680"/>
    <cellStyle name="40% - Accent6 11 5" xfId="7398"/>
    <cellStyle name="40% - Accent6 11 5 2" xfId="18686"/>
    <cellStyle name="40% - Accent6 11 6" xfId="5404"/>
    <cellStyle name="40% - Accent6 11 6 2" xfId="16692"/>
    <cellStyle name="40% - Accent6 11 7" xfId="14698"/>
    <cellStyle name="40% - Accent6 11 8" xfId="13384"/>
    <cellStyle name="40% - Accent6 12" xfId="1449"/>
    <cellStyle name="40% - Accent6 12 2" xfId="4405"/>
    <cellStyle name="40% - Accent6 12 2 2" xfId="12384"/>
    <cellStyle name="40% - Accent6 12 2 2 2" xfId="23672"/>
    <cellStyle name="40% - Accent6 12 2 3" xfId="10390"/>
    <cellStyle name="40% - Accent6 12 2 3 2" xfId="21678"/>
    <cellStyle name="40% - Accent6 12 2 4" xfId="8396"/>
    <cellStyle name="40% - Accent6 12 2 4 2" xfId="19684"/>
    <cellStyle name="40% - Accent6 12 2 5" xfId="6402"/>
    <cellStyle name="40% - Accent6 12 2 5 2" xfId="17690"/>
    <cellStyle name="40% - Accent6 12 2 6" xfId="15696"/>
    <cellStyle name="40% - Accent6 12 3" xfId="11387"/>
    <cellStyle name="40% - Accent6 12 3 2" xfId="22675"/>
    <cellStyle name="40% - Accent6 12 4" xfId="9393"/>
    <cellStyle name="40% - Accent6 12 4 2" xfId="20681"/>
    <cellStyle name="40% - Accent6 12 5" xfId="7399"/>
    <cellStyle name="40% - Accent6 12 5 2" xfId="18687"/>
    <cellStyle name="40% - Accent6 12 6" xfId="5405"/>
    <cellStyle name="40% - Accent6 12 6 2" xfId="16693"/>
    <cellStyle name="40% - Accent6 12 7" xfId="14699"/>
    <cellStyle name="40% - Accent6 12 8" xfId="13385"/>
    <cellStyle name="40% - Accent6 13" xfId="1450"/>
    <cellStyle name="40% - Accent6 13 2" xfId="4406"/>
    <cellStyle name="40% - Accent6 13 2 2" xfId="12385"/>
    <cellStyle name="40% - Accent6 13 2 2 2" xfId="23673"/>
    <cellStyle name="40% - Accent6 13 2 3" xfId="10391"/>
    <cellStyle name="40% - Accent6 13 2 3 2" xfId="21679"/>
    <cellStyle name="40% - Accent6 13 2 4" xfId="8397"/>
    <cellStyle name="40% - Accent6 13 2 4 2" xfId="19685"/>
    <cellStyle name="40% - Accent6 13 2 5" xfId="6403"/>
    <cellStyle name="40% - Accent6 13 2 5 2" xfId="17691"/>
    <cellStyle name="40% - Accent6 13 2 6" xfId="15697"/>
    <cellStyle name="40% - Accent6 13 3" xfId="11388"/>
    <cellStyle name="40% - Accent6 13 3 2" xfId="22676"/>
    <cellStyle name="40% - Accent6 13 4" xfId="9394"/>
    <cellStyle name="40% - Accent6 13 4 2" xfId="20682"/>
    <cellStyle name="40% - Accent6 13 5" xfId="7400"/>
    <cellStyle name="40% - Accent6 13 5 2" xfId="18688"/>
    <cellStyle name="40% - Accent6 13 6" xfId="5406"/>
    <cellStyle name="40% - Accent6 13 6 2" xfId="16694"/>
    <cellStyle name="40% - Accent6 13 7" xfId="14700"/>
    <cellStyle name="40% - Accent6 13 8" xfId="13386"/>
    <cellStyle name="40% - Accent6 14" xfId="1451"/>
    <cellStyle name="40% - Accent6 14 2" xfId="4407"/>
    <cellStyle name="40% - Accent6 14 2 2" xfId="12386"/>
    <cellStyle name="40% - Accent6 14 2 2 2" xfId="23674"/>
    <cellStyle name="40% - Accent6 14 2 3" xfId="10392"/>
    <cellStyle name="40% - Accent6 14 2 3 2" xfId="21680"/>
    <cellStyle name="40% - Accent6 14 2 4" xfId="8398"/>
    <cellStyle name="40% - Accent6 14 2 4 2" xfId="19686"/>
    <cellStyle name="40% - Accent6 14 2 5" xfId="6404"/>
    <cellStyle name="40% - Accent6 14 2 5 2" xfId="17692"/>
    <cellStyle name="40% - Accent6 14 2 6" xfId="15698"/>
    <cellStyle name="40% - Accent6 14 3" xfId="11389"/>
    <cellStyle name="40% - Accent6 14 3 2" xfId="22677"/>
    <cellStyle name="40% - Accent6 14 4" xfId="9395"/>
    <cellStyle name="40% - Accent6 14 4 2" xfId="20683"/>
    <cellStyle name="40% - Accent6 14 5" xfId="7401"/>
    <cellStyle name="40% - Accent6 14 5 2" xfId="18689"/>
    <cellStyle name="40% - Accent6 14 6" xfId="5407"/>
    <cellStyle name="40% - Accent6 14 6 2" xfId="16695"/>
    <cellStyle name="40% - Accent6 14 7" xfId="14701"/>
    <cellStyle name="40% - Accent6 14 8" xfId="13387"/>
    <cellStyle name="40% - Accent6 15" xfId="1452"/>
    <cellStyle name="40% - Accent6 15 2" xfId="4408"/>
    <cellStyle name="40% - Accent6 15 2 2" xfId="12387"/>
    <cellStyle name="40% - Accent6 15 2 2 2" xfId="23675"/>
    <cellStyle name="40% - Accent6 15 2 3" xfId="10393"/>
    <cellStyle name="40% - Accent6 15 2 3 2" xfId="21681"/>
    <cellStyle name="40% - Accent6 15 2 4" xfId="8399"/>
    <cellStyle name="40% - Accent6 15 2 4 2" xfId="19687"/>
    <cellStyle name="40% - Accent6 15 2 5" xfId="6405"/>
    <cellStyle name="40% - Accent6 15 2 5 2" xfId="17693"/>
    <cellStyle name="40% - Accent6 15 2 6" xfId="15699"/>
    <cellStyle name="40% - Accent6 15 3" xfId="11390"/>
    <cellStyle name="40% - Accent6 15 3 2" xfId="22678"/>
    <cellStyle name="40% - Accent6 15 4" xfId="9396"/>
    <cellStyle name="40% - Accent6 15 4 2" xfId="20684"/>
    <cellStyle name="40% - Accent6 15 5" xfId="7402"/>
    <cellStyle name="40% - Accent6 15 5 2" xfId="18690"/>
    <cellStyle name="40% - Accent6 15 6" xfId="5408"/>
    <cellStyle name="40% - Accent6 15 6 2" xfId="16696"/>
    <cellStyle name="40% - Accent6 15 7" xfId="14702"/>
    <cellStyle name="40% - Accent6 15 8" xfId="13388"/>
    <cellStyle name="40% - Accent6 16" xfId="1453"/>
    <cellStyle name="40% - Accent6 16 2" xfId="4409"/>
    <cellStyle name="40% - Accent6 16 2 2" xfId="12388"/>
    <cellStyle name="40% - Accent6 16 2 2 2" xfId="23676"/>
    <cellStyle name="40% - Accent6 16 2 3" xfId="10394"/>
    <cellStyle name="40% - Accent6 16 2 3 2" xfId="21682"/>
    <cellStyle name="40% - Accent6 16 2 4" xfId="8400"/>
    <cellStyle name="40% - Accent6 16 2 4 2" xfId="19688"/>
    <cellStyle name="40% - Accent6 16 2 5" xfId="6406"/>
    <cellStyle name="40% - Accent6 16 2 5 2" xfId="17694"/>
    <cellStyle name="40% - Accent6 16 2 6" xfId="15700"/>
    <cellStyle name="40% - Accent6 16 3" xfId="11391"/>
    <cellStyle name="40% - Accent6 16 3 2" xfId="22679"/>
    <cellStyle name="40% - Accent6 16 4" xfId="9397"/>
    <cellStyle name="40% - Accent6 16 4 2" xfId="20685"/>
    <cellStyle name="40% - Accent6 16 5" xfId="7403"/>
    <cellStyle name="40% - Accent6 16 5 2" xfId="18691"/>
    <cellStyle name="40% - Accent6 16 6" xfId="5409"/>
    <cellStyle name="40% - Accent6 16 6 2" xfId="16697"/>
    <cellStyle name="40% - Accent6 16 7" xfId="14703"/>
    <cellStyle name="40% - Accent6 16 8" xfId="13389"/>
    <cellStyle name="40% - Accent6 17" xfId="1454"/>
    <cellStyle name="40% - Accent6 17 2" xfId="4410"/>
    <cellStyle name="40% - Accent6 17 2 2" xfId="12389"/>
    <cellStyle name="40% - Accent6 17 2 2 2" xfId="23677"/>
    <cellStyle name="40% - Accent6 17 2 3" xfId="10395"/>
    <cellStyle name="40% - Accent6 17 2 3 2" xfId="21683"/>
    <cellStyle name="40% - Accent6 17 2 4" xfId="8401"/>
    <cellStyle name="40% - Accent6 17 2 4 2" xfId="19689"/>
    <cellStyle name="40% - Accent6 17 2 5" xfId="6407"/>
    <cellStyle name="40% - Accent6 17 2 5 2" xfId="17695"/>
    <cellStyle name="40% - Accent6 17 2 6" xfId="15701"/>
    <cellStyle name="40% - Accent6 17 3" xfId="11392"/>
    <cellStyle name="40% - Accent6 17 3 2" xfId="22680"/>
    <cellStyle name="40% - Accent6 17 4" xfId="9398"/>
    <cellStyle name="40% - Accent6 17 4 2" xfId="20686"/>
    <cellStyle name="40% - Accent6 17 5" xfId="7404"/>
    <cellStyle name="40% - Accent6 17 5 2" xfId="18692"/>
    <cellStyle name="40% - Accent6 17 6" xfId="5410"/>
    <cellStyle name="40% - Accent6 17 6 2" xfId="16698"/>
    <cellStyle name="40% - Accent6 17 7" xfId="14704"/>
    <cellStyle name="40% - Accent6 17 8" xfId="13390"/>
    <cellStyle name="40% - Accent6 18" xfId="1455"/>
    <cellStyle name="40% - Accent6 18 2" xfId="4411"/>
    <cellStyle name="40% - Accent6 18 2 2" xfId="12390"/>
    <cellStyle name="40% - Accent6 18 2 2 2" xfId="23678"/>
    <cellStyle name="40% - Accent6 18 2 3" xfId="10396"/>
    <cellStyle name="40% - Accent6 18 2 3 2" xfId="21684"/>
    <cellStyle name="40% - Accent6 18 2 4" xfId="8402"/>
    <cellStyle name="40% - Accent6 18 2 4 2" xfId="19690"/>
    <cellStyle name="40% - Accent6 18 2 5" xfId="6408"/>
    <cellStyle name="40% - Accent6 18 2 5 2" xfId="17696"/>
    <cellStyle name="40% - Accent6 18 2 6" xfId="15702"/>
    <cellStyle name="40% - Accent6 18 3" xfId="11393"/>
    <cellStyle name="40% - Accent6 18 3 2" xfId="22681"/>
    <cellStyle name="40% - Accent6 18 4" xfId="9399"/>
    <cellStyle name="40% - Accent6 18 4 2" xfId="20687"/>
    <cellStyle name="40% - Accent6 18 5" xfId="7405"/>
    <cellStyle name="40% - Accent6 18 5 2" xfId="18693"/>
    <cellStyle name="40% - Accent6 18 6" xfId="5411"/>
    <cellStyle name="40% - Accent6 18 6 2" xfId="16699"/>
    <cellStyle name="40% - Accent6 18 7" xfId="14705"/>
    <cellStyle name="40% - Accent6 18 8" xfId="13391"/>
    <cellStyle name="40% - Accent6 19" xfId="1456"/>
    <cellStyle name="40% - Accent6 19 2" xfId="4412"/>
    <cellStyle name="40% - Accent6 19 2 2" xfId="12391"/>
    <cellStyle name="40% - Accent6 19 2 2 2" xfId="23679"/>
    <cellStyle name="40% - Accent6 19 2 3" xfId="10397"/>
    <cellStyle name="40% - Accent6 19 2 3 2" xfId="21685"/>
    <cellStyle name="40% - Accent6 19 2 4" xfId="8403"/>
    <cellStyle name="40% - Accent6 19 2 4 2" xfId="19691"/>
    <cellStyle name="40% - Accent6 19 2 5" xfId="6409"/>
    <cellStyle name="40% - Accent6 19 2 5 2" xfId="17697"/>
    <cellStyle name="40% - Accent6 19 2 6" xfId="15703"/>
    <cellStyle name="40% - Accent6 19 3" xfId="11394"/>
    <cellStyle name="40% - Accent6 19 3 2" xfId="22682"/>
    <cellStyle name="40% - Accent6 19 4" xfId="9400"/>
    <cellStyle name="40% - Accent6 19 4 2" xfId="20688"/>
    <cellStyle name="40% - Accent6 19 5" xfId="7406"/>
    <cellStyle name="40% - Accent6 19 5 2" xfId="18694"/>
    <cellStyle name="40% - Accent6 19 6" xfId="5412"/>
    <cellStyle name="40% - Accent6 19 6 2" xfId="16700"/>
    <cellStyle name="40% - Accent6 19 7" xfId="14706"/>
    <cellStyle name="40% - Accent6 19 8" xfId="13392"/>
    <cellStyle name="40% - Accent6 2" xfId="1457"/>
    <cellStyle name="40% - Accent6 2 10" xfId="24625"/>
    <cellStyle name="40% - Accent6 2 11" xfId="25015"/>
    <cellStyle name="40% - Accent6 2 2" xfId="4413"/>
    <cellStyle name="40% - Accent6 2 2 2" xfId="12392"/>
    <cellStyle name="40% - Accent6 2 2 2 2" xfId="23680"/>
    <cellStyle name="40% - Accent6 2 2 3" xfId="10398"/>
    <cellStyle name="40% - Accent6 2 2 3 2" xfId="21686"/>
    <cellStyle name="40% - Accent6 2 2 4" xfId="8404"/>
    <cellStyle name="40% - Accent6 2 2 4 2" xfId="19692"/>
    <cellStyle name="40% - Accent6 2 2 5" xfId="6410"/>
    <cellStyle name="40% - Accent6 2 2 5 2" xfId="17698"/>
    <cellStyle name="40% - Accent6 2 2 6" xfId="15704"/>
    <cellStyle name="40% - Accent6 2 2 7" xfId="24386"/>
    <cellStyle name="40% - Accent6 2 2 8" xfId="24850"/>
    <cellStyle name="40% - Accent6 2 2 9" xfId="25217"/>
    <cellStyle name="40% - Accent6 2 3" xfId="11395"/>
    <cellStyle name="40% - Accent6 2 3 2" xfId="22683"/>
    <cellStyle name="40% - Accent6 2 4" xfId="9401"/>
    <cellStyle name="40% - Accent6 2 4 2" xfId="20689"/>
    <cellStyle name="40% - Accent6 2 5" xfId="7407"/>
    <cellStyle name="40% - Accent6 2 5 2" xfId="18695"/>
    <cellStyle name="40% - Accent6 2 6" xfId="5413"/>
    <cellStyle name="40% - Accent6 2 6 2" xfId="16701"/>
    <cellStyle name="40% - Accent6 2 7" xfId="14707"/>
    <cellStyle name="40% - Accent6 2 8" xfId="13393"/>
    <cellStyle name="40% - Accent6 2 9" xfId="23998"/>
    <cellStyle name="40% - Accent6 20" xfId="1458"/>
    <cellStyle name="40% - Accent6 20 2" xfId="4414"/>
    <cellStyle name="40% - Accent6 20 2 2" xfId="12393"/>
    <cellStyle name="40% - Accent6 20 2 2 2" xfId="23681"/>
    <cellStyle name="40% - Accent6 20 2 3" xfId="10399"/>
    <cellStyle name="40% - Accent6 20 2 3 2" xfId="21687"/>
    <cellStyle name="40% - Accent6 20 2 4" xfId="8405"/>
    <cellStyle name="40% - Accent6 20 2 4 2" xfId="19693"/>
    <cellStyle name="40% - Accent6 20 2 5" xfId="6411"/>
    <cellStyle name="40% - Accent6 20 2 5 2" xfId="17699"/>
    <cellStyle name="40% - Accent6 20 2 6" xfId="15705"/>
    <cellStyle name="40% - Accent6 20 3" xfId="11396"/>
    <cellStyle name="40% - Accent6 20 3 2" xfId="22684"/>
    <cellStyle name="40% - Accent6 20 4" xfId="9402"/>
    <cellStyle name="40% - Accent6 20 4 2" xfId="20690"/>
    <cellStyle name="40% - Accent6 20 5" xfId="7408"/>
    <cellStyle name="40% - Accent6 20 5 2" xfId="18696"/>
    <cellStyle name="40% - Accent6 20 6" xfId="5414"/>
    <cellStyle name="40% - Accent6 20 6 2" xfId="16702"/>
    <cellStyle name="40% - Accent6 20 7" xfId="14708"/>
    <cellStyle name="40% - Accent6 20 8" xfId="13394"/>
    <cellStyle name="40% - Accent6 21" xfId="1459"/>
    <cellStyle name="40% - Accent6 21 2" xfId="4415"/>
    <cellStyle name="40% - Accent6 21 2 2" xfId="12394"/>
    <cellStyle name="40% - Accent6 21 2 2 2" xfId="23682"/>
    <cellStyle name="40% - Accent6 21 2 3" xfId="10400"/>
    <cellStyle name="40% - Accent6 21 2 3 2" xfId="21688"/>
    <cellStyle name="40% - Accent6 21 2 4" xfId="8406"/>
    <cellStyle name="40% - Accent6 21 2 4 2" xfId="19694"/>
    <cellStyle name="40% - Accent6 21 2 5" xfId="6412"/>
    <cellStyle name="40% - Accent6 21 2 5 2" xfId="17700"/>
    <cellStyle name="40% - Accent6 21 2 6" xfId="15706"/>
    <cellStyle name="40% - Accent6 21 3" xfId="11397"/>
    <cellStyle name="40% - Accent6 21 3 2" xfId="22685"/>
    <cellStyle name="40% - Accent6 21 4" xfId="9403"/>
    <cellStyle name="40% - Accent6 21 4 2" xfId="20691"/>
    <cellStyle name="40% - Accent6 21 5" xfId="7409"/>
    <cellStyle name="40% - Accent6 21 5 2" xfId="18697"/>
    <cellStyle name="40% - Accent6 21 6" xfId="5415"/>
    <cellStyle name="40% - Accent6 21 6 2" xfId="16703"/>
    <cellStyle name="40% - Accent6 21 7" xfId="14709"/>
    <cellStyle name="40% - Accent6 21 8" xfId="13395"/>
    <cellStyle name="40% - Accent6 22" xfId="1460"/>
    <cellStyle name="40% - Accent6 22 2" xfId="4416"/>
    <cellStyle name="40% - Accent6 22 2 2" xfId="12395"/>
    <cellStyle name="40% - Accent6 22 2 2 2" xfId="23683"/>
    <cellStyle name="40% - Accent6 22 2 3" xfId="10401"/>
    <cellStyle name="40% - Accent6 22 2 3 2" xfId="21689"/>
    <cellStyle name="40% - Accent6 22 2 4" xfId="8407"/>
    <cellStyle name="40% - Accent6 22 2 4 2" xfId="19695"/>
    <cellStyle name="40% - Accent6 22 2 5" xfId="6413"/>
    <cellStyle name="40% - Accent6 22 2 5 2" xfId="17701"/>
    <cellStyle name="40% - Accent6 22 2 6" xfId="15707"/>
    <cellStyle name="40% - Accent6 22 3" xfId="11398"/>
    <cellStyle name="40% - Accent6 22 3 2" xfId="22686"/>
    <cellStyle name="40% - Accent6 22 4" xfId="9404"/>
    <cellStyle name="40% - Accent6 22 4 2" xfId="20692"/>
    <cellStyle name="40% - Accent6 22 5" xfId="7410"/>
    <cellStyle name="40% - Accent6 22 5 2" xfId="18698"/>
    <cellStyle name="40% - Accent6 22 6" xfId="5416"/>
    <cellStyle name="40% - Accent6 22 6 2" xfId="16704"/>
    <cellStyle name="40% - Accent6 22 7" xfId="14710"/>
    <cellStyle name="40% - Accent6 22 8" xfId="13396"/>
    <cellStyle name="40% - Accent6 23" xfId="1461"/>
    <cellStyle name="40% - Accent6 23 2" xfId="4417"/>
    <cellStyle name="40% - Accent6 23 2 2" xfId="12396"/>
    <cellStyle name="40% - Accent6 23 2 2 2" xfId="23684"/>
    <cellStyle name="40% - Accent6 23 2 3" xfId="10402"/>
    <cellStyle name="40% - Accent6 23 2 3 2" xfId="21690"/>
    <cellStyle name="40% - Accent6 23 2 4" xfId="8408"/>
    <cellStyle name="40% - Accent6 23 2 4 2" xfId="19696"/>
    <cellStyle name="40% - Accent6 23 2 5" xfId="6414"/>
    <cellStyle name="40% - Accent6 23 2 5 2" xfId="17702"/>
    <cellStyle name="40% - Accent6 23 2 6" xfId="15708"/>
    <cellStyle name="40% - Accent6 23 3" xfId="11399"/>
    <cellStyle name="40% - Accent6 23 3 2" xfId="22687"/>
    <cellStyle name="40% - Accent6 23 4" xfId="9405"/>
    <cellStyle name="40% - Accent6 23 4 2" xfId="20693"/>
    <cellStyle name="40% - Accent6 23 5" xfId="7411"/>
    <cellStyle name="40% - Accent6 23 5 2" xfId="18699"/>
    <cellStyle name="40% - Accent6 23 6" xfId="5417"/>
    <cellStyle name="40% - Accent6 23 6 2" xfId="16705"/>
    <cellStyle name="40% - Accent6 23 7" xfId="14711"/>
    <cellStyle name="40% - Accent6 23 8" xfId="13397"/>
    <cellStyle name="40% - Accent6 24" xfId="1462"/>
    <cellStyle name="40% - Accent6 24 2" xfId="4418"/>
    <cellStyle name="40% - Accent6 24 2 2" xfId="12397"/>
    <cellStyle name="40% - Accent6 24 2 2 2" xfId="23685"/>
    <cellStyle name="40% - Accent6 24 2 3" xfId="10403"/>
    <cellStyle name="40% - Accent6 24 2 3 2" xfId="21691"/>
    <cellStyle name="40% - Accent6 24 2 4" xfId="8409"/>
    <cellStyle name="40% - Accent6 24 2 4 2" xfId="19697"/>
    <cellStyle name="40% - Accent6 24 2 5" xfId="6415"/>
    <cellStyle name="40% - Accent6 24 2 5 2" xfId="17703"/>
    <cellStyle name="40% - Accent6 24 2 6" xfId="15709"/>
    <cellStyle name="40% - Accent6 24 3" xfId="11400"/>
    <cellStyle name="40% - Accent6 24 3 2" xfId="22688"/>
    <cellStyle name="40% - Accent6 24 4" xfId="9406"/>
    <cellStyle name="40% - Accent6 24 4 2" xfId="20694"/>
    <cellStyle name="40% - Accent6 24 5" xfId="7412"/>
    <cellStyle name="40% - Accent6 24 5 2" xfId="18700"/>
    <cellStyle name="40% - Accent6 24 6" xfId="5418"/>
    <cellStyle name="40% - Accent6 24 6 2" xfId="16706"/>
    <cellStyle name="40% - Accent6 24 7" xfId="14712"/>
    <cellStyle name="40% - Accent6 24 8" xfId="13398"/>
    <cellStyle name="40% - Accent6 25" xfId="1463"/>
    <cellStyle name="40% - Accent6 25 2" xfId="4419"/>
    <cellStyle name="40% - Accent6 25 2 2" xfId="12398"/>
    <cellStyle name="40% - Accent6 25 2 2 2" xfId="23686"/>
    <cellStyle name="40% - Accent6 25 2 3" xfId="10404"/>
    <cellStyle name="40% - Accent6 25 2 3 2" xfId="21692"/>
    <cellStyle name="40% - Accent6 25 2 4" xfId="8410"/>
    <cellStyle name="40% - Accent6 25 2 4 2" xfId="19698"/>
    <cellStyle name="40% - Accent6 25 2 5" xfId="6416"/>
    <cellStyle name="40% - Accent6 25 2 5 2" xfId="17704"/>
    <cellStyle name="40% - Accent6 25 2 6" xfId="15710"/>
    <cellStyle name="40% - Accent6 25 3" xfId="11401"/>
    <cellStyle name="40% - Accent6 25 3 2" xfId="22689"/>
    <cellStyle name="40% - Accent6 25 4" xfId="9407"/>
    <cellStyle name="40% - Accent6 25 4 2" xfId="20695"/>
    <cellStyle name="40% - Accent6 25 5" xfId="7413"/>
    <cellStyle name="40% - Accent6 25 5 2" xfId="18701"/>
    <cellStyle name="40% - Accent6 25 6" xfId="5419"/>
    <cellStyle name="40% - Accent6 25 6 2" xfId="16707"/>
    <cellStyle name="40% - Accent6 25 7" xfId="14713"/>
    <cellStyle name="40% - Accent6 25 8" xfId="13399"/>
    <cellStyle name="40% - Accent6 26" xfId="1464"/>
    <cellStyle name="40% - Accent6 26 2" xfId="4420"/>
    <cellStyle name="40% - Accent6 26 2 2" xfId="12399"/>
    <cellStyle name="40% - Accent6 26 2 2 2" xfId="23687"/>
    <cellStyle name="40% - Accent6 26 2 3" xfId="10405"/>
    <cellStyle name="40% - Accent6 26 2 3 2" xfId="21693"/>
    <cellStyle name="40% - Accent6 26 2 4" xfId="8411"/>
    <cellStyle name="40% - Accent6 26 2 4 2" xfId="19699"/>
    <cellStyle name="40% - Accent6 26 2 5" xfId="6417"/>
    <cellStyle name="40% - Accent6 26 2 5 2" xfId="17705"/>
    <cellStyle name="40% - Accent6 26 2 6" xfId="15711"/>
    <cellStyle name="40% - Accent6 26 3" xfId="11402"/>
    <cellStyle name="40% - Accent6 26 3 2" xfId="22690"/>
    <cellStyle name="40% - Accent6 26 4" xfId="9408"/>
    <cellStyle name="40% - Accent6 26 4 2" xfId="20696"/>
    <cellStyle name="40% - Accent6 26 5" xfId="7414"/>
    <cellStyle name="40% - Accent6 26 5 2" xfId="18702"/>
    <cellStyle name="40% - Accent6 26 6" xfId="5420"/>
    <cellStyle name="40% - Accent6 26 6 2" xfId="16708"/>
    <cellStyle name="40% - Accent6 26 7" xfId="14714"/>
    <cellStyle name="40% - Accent6 26 8" xfId="13400"/>
    <cellStyle name="40% - Accent6 27" xfId="1465"/>
    <cellStyle name="40% - Accent6 27 2" xfId="4421"/>
    <cellStyle name="40% - Accent6 27 2 2" xfId="12400"/>
    <cellStyle name="40% - Accent6 27 2 2 2" xfId="23688"/>
    <cellStyle name="40% - Accent6 27 2 3" xfId="10406"/>
    <cellStyle name="40% - Accent6 27 2 3 2" xfId="21694"/>
    <cellStyle name="40% - Accent6 27 2 4" xfId="8412"/>
    <cellStyle name="40% - Accent6 27 2 4 2" xfId="19700"/>
    <cellStyle name="40% - Accent6 27 2 5" xfId="6418"/>
    <cellStyle name="40% - Accent6 27 2 5 2" xfId="17706"/>
    <cellStyle name="40% - Accent6 27 2 6" xfId="15712"/>
    <cellStyle name="40% - Accent6 27 3" xfId="11403"/>
    <cellStyle name="40% - Accent6 27 3 2" xfId="22691"/>
    <cellStyle name="40% - Accent6 27 4" xfId="9409"/>
    <cellStyle name="40% - Accent6 27 4 2" xfId="20697"/>
    <cellStyle name="40% - Accent6 27 5" xfId="7415"/>
    <cellStyle name="40% - Accent6 27 5 2" xfId="18703"/>
    <cellStyle name="40% - Accent6 27 6" xfId="5421"/>
    <cellStyle name="40% - Accent6 27 6 2" xfId="16709"/>
    <cellStyle name="40% - Accent6 27 7" xfId="14715"/>
    <cellStyle name="40% - Accent6 27 8" xfId="13401"/>
    <cellStyle name="40% - Accent6 28" xfId="1466"/>
    <cellStyle name="40% - Accent6 28 2" xfId="4422"/>
    <cellStyle name="40% - Accent6 28 2 2" xfId="12401"/>
    <cellStyle name="40% - Accent6 28 2 2 2" xfId="23689"/>
    <cellStyle name="40% - Accent6 28 2 3" xfId="10407"/>
    <cellStyle name="40% - Accent6 28 2 3 2" xfId="21695"/>
    <cellStyle name="40% - Accent6 28 2 4" xfId="8413"/>
    <cellStyle name="40% - Accent6 28 2 4 2" xfId="19701"/>
    <cellStyle name="40% - Accent6 28 2 5" xfId="6419"/>
    <cellStyle name="40% - Accent6 28 2 5 2" xfId="17707"/>
    <cellStyle name="40% - Accent6 28 2 6" xfId="15713"/>
    <cellStyle name="40% - Accent6 28 3" xfId="11404"/>
    <cellStyle name="40% - Accent6 28 3 2" xfId="22692"/>
    <cellStyle name="40% - Accent6 28 4" xfId="9410"/>
    <cellStyle name="40% - Accent6 28 4 2" xfId="20698"/>
    <cellStyle name="40% - Accent6 28 5" xfId="7416"/>
    <cellStyle name="40% - Accent6 28 5 2" xfId="18704"/>
    <cellStyle name="40% - Accent6 28 6" xfId="5422"/>
    <cellStyle name="40% - Accent6 28 6 2" xfId="16710"/>
    <cellStyle name="40% - Accent6 28 7" xfId="14716"/>
    <cellStyle name="40% - Accent6 28 8" xfId="13402"/>
    <cellStyle name="40% - Accent6 29" xfId="1467"/>
    <cellStyle name="40% - Accent6 29 2" xfId="4423"/>
    <cellStyle name="40% - Accent6 29 2 2" xfId="12402"/>
    <cellStyle name="40% - Accent6 29 2 2 2" xfId="23690"/>
    <cellStyle name="40% - Accent6 29 2 3" xfId="10408"/>
    <cellStyle name="40% - Accent6 29 2 3 2" xfId="21696"/>
    <cellStyle name="40% - Accent6 29 2 4" xfId="8414"/>
    <cellStyle name="40% - Accent6 29 2 4 2" xfId="19702"/>
    <cellStyle name="40% - Accent6 29 2 5" xfId="6420"/>
    <cellStyle name="40% - Accent6 29 2 5 2" xfId="17708"/>
    <cellStyle name="40% - Accent6 29 2 6" xfId="15714"/>
    <cellStyle name="40% - Accent6 29 3" xfId="11405"/>
    <cellStyle name="40% - Accent6 29 3 2" xfId="22693"/>
    <cellStyle name="40% - Accent6 29 4" xfId="9411"/>
    <cellStyle name="40% - Accent6 29 4 2" xfId="20699"/>
    <cellStyle name="40% - Accent6 29 5" xfId="7417"/>
    <cellStyle name="40% - Accent6 29 5 2" xfId="18705"/>
    <cellStyle name="40% - Accent6 29 6" xfId="5423"/>
    <cellStyle name="40% - Accent6 29 6 2" xfId="16711"/>
    <cellStyle name="40% - Accent6 29 7" xfId="14717"/>
    <cellStyle name="40% - Accent6 29 8" xfId="13403"/>
    <cellStyle name="40% - Accent6 3" xfId="1468"/>
    <cellStyle name="40% - Accent6 3 10" xfId="24626"/>
    <cellStyle name="40% - Accent6 3 11" xfId="25016"/>
    <cellStyle name="40% - Accent6 3 2" xfId="4424"/>
    <cellStyle name="40% - Accent6 3 2 2" xfId="12403"/>
    <cellStyle name="40% - Accent6 3 2 2 2" xfId="23691"/>
    <cellStyle name="40% - Accent6 3 2 3" xfId="10409"/>
    <cellStyle name="40% - Accent6 3 2 3 2" xfId="21697"/>
    <cellStyle name="40% - Accent6 3 2 4" xfId="8415"/>
    <cellStyle name="40% - Accent6 3 2 4 2" xfId="19703"/>
    <cellStyle name="40% - Accent6 3 2 5" xfId="6421"/>
    <cellStyle name="40% - Accent6 3 2 5 2" xfId="17709"/>
    <cellStyle name="40% - Accent6 3 2 6" xfId="15715"/>
    <cellStyle name="40% - Accent6 3 2 7" xfId="24387"/>
    <cellStyle name="40% - Accent6 3 2 8" xfId="24851"/>
    <cellStyle name="40% - Accent6 3 2 9" xfId="25218"/>
    <cellStyle name="40% - Accent6 3 3" xfId="11406"/>
    <cellStyle name="40% - Accent6 3 3 2" xfId="22694"/>
    <cellStyle name="40% - Accent6 3 4" xfId="9412"/>
    <cellStyle name="40% - Accent6 3 4 2" xfId="20700"/>
    <cellStyle name="40% - Accent6 3 5" xfId="7418"/>
    <cellStyle name="40% - Accent6 3 5 2" xfId="18706"/>
    <cellStyle name="40% - Accent6 3 6" xfId="5424"/>
    <cellStyle name="40% - Accent6 3 6 2" xfId="16712"/>
    <cellStyle name="40% - Accent6 3 7" xfId="14718"/>
    <cellStyle name="40% - Accent6 3 8" xfId="13404"/>
    <cellStyle name="40% - Accent6 3 9" xfId="23999"/>
    <cellStyle name="40% - Accent6 30" xfId="1469"/>
    <cellStyle name="40% - Accent6 30 2" xfId="4425"/>
    <cellStyle name="40% - Accent6 30 2 2" xfId="12404"/>
    <cellStyle name="40% - Accent6 30 2 2 2" xfId="23692"/>
    <cellStyle name="40% - Accent6 30 2 3" xfId="10410"/>
    <cellStyle name="40% - Accent6 30 2 3 2" xfId="21698"/>
    <cellStyle name="40% - Accent6 30 2 4" xfId="8416"/>
    <cellStyle name="40% - Accent6 30 2 4 2" xfId="19704"/>
    <cellStyle name="40% - Accent6 30 2 5" xfId="6422"/>
    <cellStyle name="40% - Accent6 30 2 5 2" xfId="17710"/>
    <cellStyle name="40% - Accent6 30 2 6" xfId="15716"/>
    <cellStyle name="40% - Accent6 30 3" xfId="11407"/>
    <cellStyle name="40% - Accent6 30 3 2" xfId="22695"/>
    <cellStyle name="40% - Accent6 30 4" xfId="9413"/>
    <cellStyle name="40% - Accent6 30 4 2" xfId="20701"/>
    <cellStyle name="40% - Accent6 30 5" xfId="7419"/>
    <cellStyle name="40% - Accent6 30 5 2" xfId="18707"/>
    <cellStyle name="40% - Accent6 30 6" xfId="5425"/>
    <cellStyle name="40% - Accent6 30 6 2" xfId="16713"/>
    <cellStyle name="40% - Accent6 30 7" xfId="14719"/>
    <cellStyle name="40% - Accent6 30 8" xfId="13405"/>
    <cellStyle name="40% - Accent6 31" xfId="1470"/>
    <cellStyle name="40% - Accent6 31 2" xfId="4426"/>
    <cellStyle name="40% - Accent6 31 2 2" xfId="12405"/>
    <cellStyle name="40% - Accent6 31 2 2 2" xfId="23693"/>
    <cellStyle name="40% - Accent6 31 2 3" xfId="10411"/>
    <cellStyle name="40% - Accent6 31 2 3 2" xfId="21699"/>
    <cellStyle name="40% - Accent6 31 2 4" xfId="8417"/>
    <cellStyle name="40% - Accent6 31 2 4 2" xfId="19705"/>
    <cellStyle name="40% - Accent6 31 2 5" xfId="6423"/>
    <cellStyle name="40% - Accent6 31 2 5 2" xfId="17711"/>
    <cellStyle name="40% - Accent6 31 2 6" xfId="15717"/>
    <cellStyle name="40% - Accent6 31 3" xfId="11408"/>
    <cellStyle name="40% - Accent6 31 3 2" xfId="22696"/>
    <cellStyle name="40% - Accent6 31 4" xfId="9414"/>
    <cellStyle name="40% - Accent6 31 4 2" xfId="20702"/>
    <cellStyle name="40% - Accent6 31 5" xfId="7420"/>
    <cellStyle name="40% - Accent6 31 5 2" xfId="18708"/>
    <cellStyle name="40% - Accent6 31 6" xfId="5426"/>
    <cellStyle name="40% - Accent6 31 6 2" xfId="16714"/>
    <cellStyle name="40% - Accent6 31 7" xfId="14720"/>
    <cellStyle name="40% - Accent6 31 8" xfId="13406"/>
    <cellStyle name="40% - Accent6 32" xfId="1471"/>
    <cellStyle name="40% - Accent6 32 2" xfId="4427"/>
    <cellStyle name="40% - Accent6 32 2 2" xfId="12406"/>
    <cellStyle name="40% - Accent6 32 2 2 2" xfId="23694"/>
    <cellStyle name="40% - Accent6 32 2 3" xfId="10412"/>
    <cellStyle name="40% - Accent6 32 2 3 2" xfId="21700"/>
    <cellStyle name="40% - Accent6 32 2 4" xfId="8418"/>
    <cellStyle name="40% - Accent6 32 2 4 2" xfId="19706"/>
    <cellStyle name="40% - Accent6 32 2 5" xfId="6424"/>
    <cellStyle name="40% - Accent6 32 2 5 2" xfId="17712"/>
    <cellStyle name="40% - Accent6 32 2 6" xfId="15718"/>
    <cellStyle name="40% - Accent6 32 3" xfId="11409"/>
    <cellStyle name="40% - Accent6 32 3 2" xfId="22697"/>
    <cellStyle name="40% - Accent6 32 4" xfId="9415"/>
    <cellStyle name="40% - Accent6 32 4 2" xfId="20703"/>
    <cellStyle name="40% - Accent6 32 5" xfId="7421"/>
    <cellStyle name="40% - Accent6 32 5 2" xfId="18709"/>
    <cellStyle name="40% - Accent6 32 6" xfId="5427"/>
    <cellStyle name="40% - Accent6 32 6 2" xfId="16715"/>
    <cellStyle name="40% - Accent6 32 7" xfId="14721"/>
    <cellStyle name="40% - Accent6 32 8" xfId="13407"/>
    <cellStyle name="40% - Accent6 33" xfId="1472"/>
    <cellStyle name="40% - Accent6 33 2" xfId="4428"/>
    <cellStyle name="40% - Accent6 33 2 2" xfId="12407"/>
    <cellStyle name="40% - Accent6 33 2 2 2" xfId="23695"/>
    <cellStyle name="40% - Accent6 33 2 3" xfId="10413"/>
    <cellStyle name="40% - Accent6 33 2 3 2" xfId="21701"/>
    <cellStyle name="40% - Accent6 33 2 4" xfId="8419"/>
    <cellStyle name="40% - Accent6 33 2 4 2" xfId="19707"/>
    <cellStyle name="40% - Accent6 33 2 5" xfId="6425"/>
    <cellStyle name="40% - Accent6 33 2 5 2" xfId="17713"/>
    <cellStyle name="40% - Accent6 33 2 6" xfId="15719"/>
    <cellStyle name="40% - Accent6 33 3" xfId="11410"/>
    <cellStyle name="40% - Accent6 33 3 2" xfId="22698"/>
    <cellStyle name="40% - Accent6 33 4" xfId="9416"/>
    <cellStyle name="40% - Accent6 33 4 2" xfId="20704"/>
    <cellStyle name="40% - Accent6 33 5" xfId="7422"/>
    <cellStyle name="40% - Accent6 33 5 2" xfId="18710"/>
    <cellStyle name="40% - Accent6 33 6" xfId="5428"/>
    <cellStyle name="40% - Accent6 33 6 2" xfId="16716"/>
    <cellStyle name="40% - Accent6 33 7" xfId="14722"/>
    <cellStyle name="40% - Accent6 33 8" xfId="13408"/>
    <cellStyle name="40% - Accent6 34" xfId="1473"/>
    <cellStyle name="40% - Accent6 34 2" xfId="4429"/>
    <cellStyle name="40% - Accent6 34 2 2" xfId="12408"/>
    <cellStyle name="40% - Accent6 34 2 2 2" xfId="23696"/>
    <cellStyle name="40% - Accent6 34 2 3" xfId="10414"/>
    <cellStyle name="40% - Accent6 34 2 3 2" xfId="21702"/>
    <cellStyle name="40% - Accent6 34 2 4" xfId="8420"/>
    <cellStyle name="40% - Accent6 34 2 4 2" xfId="19708"/>
    <cellStyle name="40% - Accent6 34 2 5" xfId="6426"/>
    <cellStyle name="40% - Accent6 34 2 5 2" xfId="17714"/>
    <cellStyle name="40% - Accent6 34 2 6" xfId="15720"/>
    <cellStyle name="40% - Accent6 34 3" xfId="11411"/>
    <cellStyle name="40% - Accent6 34 3 2" xfId="22699"/>
    <cellStyle name="40% - Accent6 34 4" xfId="9417"/>
    <cellStyle name="40% - Accent6 34 4 2" xfId="20705"/>
    <cellStyle name="40% - Accent6 34 5" xfId="7423"/>
    <cellStyle name="40% - Accent6 34 5 2" xfId="18711"/>
    <cellStyle name="40% - Accent6 34 6" xfId="5429"/>
    <cellStyle name="40% - Accent6 34 6 2" xfId="16717"/>
    <cellStyle name="40% - Accent6 34 7" xfId="14723"/>
    <cellStyle name="40% - Accent6 34 8" xfId="13409"/>
    <cellStyle name="40% - Accent6 35" xfId="1474"/>
    <cellStyle name="40% - Accent6 35 2" xfId="4430"/>
    <cellStyle name="40% - Accent6 35 2 2" xfId="12409"/>
    <cellStyle name="40% - Accent6 35 2 2 2" xfId="23697"/>
    <cellStyle name="40% - Accent6 35 2 3" xfId="10415"/>
    <cellStyle name="40% - Accent6 35 2 3 2" xfId="21703"/>
    <cellStyle name="40% - Accent6 35 2 4" xfId="8421"/>
    <cellStyle name="40% - Accent6 35 2 4 2" xfId="19709"/>
    <cellStyle name="40% - Accent6 35 2 5" xfId="6427"/>
    <cellStyle name="40% - Accent6 35 2 5 2" xfId="17715"/>
    <cellStyle name="40% - Accent6 35 2 6" xfId="15721"/>
    <cellStyle name="40% - Accent6 35 3" xfId="11412"/>
    <cellStyle name="40% - Accent6 35 3 2" xfId="22700"/>
    <cellStyle name="40% - Accent6 35 4" xfId="9418"/>
    <cellStyle name="40% - Accent6 35 4 2" xfId="20706"/>
    <cellStyle name="40% - Accent6 35 5" xfId="7424"/>
    <cellStyle name="40% - Accent6 35 5 2" xfId="18712"/>
    <cellStyle name="40% - Accent6 35 6" xfId="5430"/>
    <cellStyle name="40% - Accent6 35 6 2" xfId="16718"/>
    <cellStyle name="40% - Accent6 35 7" xfId="14724"/>
    <cellStyle name="40% - Accent6 35 8" xfId="13410"/>
    <cellStyle name="40% - Accent6 36" xfId="1475"/>
    <cellStyle name="40% - Accent6 36 2" xfId="4431"/>
    <cellStyle name="40% - Accent6 36 2 2" xfId="12410"/>
    <cellStyle name="40% - Accent6 36 2 2 2" xfId="23698"/>
    <cellStyle name="40% - Accent6 36 2 3" xfId="10416"/>
    <cellStyle name="40% - Accent6 36 2 3 2" xfId="21704"/>
    <cellStyle name="40% - Accent6 36 2 4" xfId="8422"/>
    <cellStyle name="40% - Accent6 36 2 4 2" xfId="19710"/>
    <cellStyle name="40% - Accent6 36 2 5" xfId="6428"/>
    <cellStyle name="40% - Accent6 36 2 5 2" xfId="17716"/>
    <cellStyle name="40% - Accent6 36 2 6" xfId="15722"/>
    <cellStyle name="40% - Accent6 36 3" xfId="11413"/>
    <cellStyle name="40% - Accent6 36 3 2" xfId="22701"/>
    <cellStyle name="40% - Accent6 36 4" xfId="9419"/>
    <cellStyle name="40% - Accent6 36 4 2" xfId="20707"/>
    <cellStyle name="40% - Accent6 36 5" xfId="7425"/>
    <cellStyle name="40% - Accent6 36 5 2" xfId="18713"/>
    <cellStyle name="40% - Accent6 36 6" xfId="5431"/>
    <cellStyle name="40% - Accent6 36 6 2" xfId="16719"/>
    <cellStyle name="40% - Accent6 36 7" xfId="14725"/>
    <cellStyle name="40% - Accent6 36 8" xfId="13411"/>
    <cellStyle name="40% - Accent6 37" xfId="1476"/>
    <cellStyle name="40% - Accent6 37 2" xfId="4432"/>
    <cellStyle name="40% - Accent6 37 2 2" xfId="12411"/>
    <cellStyle name="40% - Accent6 37 2 2 2" xfId="23699"/>
    <cellStyle name="40% - Accent6 37 2 3" xfId="10417"/>
    <cellStyle name="40% - Accent6 37 2 3 2" xfId="21705"/>
    <cellStyle name="40% - Accent6 37 2 4" xfId="8423"/>
    <cellStyle name="40% - Accent6 37 2 4 2" xfId="19711"/>
    <cellStyle name="40% - Accent6 37 2 5" xfId="6429"/>
    <cellStyle name="40% - Accent6 37 2 5 2" xfId="17717"/>
    <cellStyle name="40% - Accent6 37 2 6" xfId="15723"/>
    <cellStyle name="40% - Accent6 37 3" xfId="11414"/>
    <cellStyle name="40% - Accent6 37 3 2" xfId="22702"/>
    <cellStyle name="40% - Accent6 37 4" xfId="9420"/>
    <cellStyle name="40% - Accent6 37 4 2" xfId="20708"/>
    <cellStyle name="40% - Accent6 37 5" xfId="7426"/>
    <cellStyle name="40% - Accent6 37 5 2" xfId="18714"/>
    <cellStyle name="40% - Accent6 37 6" xfId="5432"/>
    <cellStyle name="40% - Accent6 37 6 2" xfId="16720"/>
    <cellStyle name="40% - Accent6 37 7" xfId="14726"/>
    <cellStyle name="40% - Accent6 37 8" xfId="13412"/>
    <cellStyle name="40% - Accent6 38" xfId="1477"/>
    <cellStyle name="40% - Accent6 38 2" xfId="4433"/>
    <cellStyle name="40% - Accent6 38 2 2" xfId="12412"/>
    <cellStyle name="40% - Accent6 38 2 2 2" xfId="23700"/>
    <cellStyle name="40% - Accent6 38 2 3" xfId="10418"/>
    <cellStyle name="40% - Accent6 38 2 3 2" xfId="21706"/>
    <cellStyle name="40% - Accent6 38 2 4" xfId="8424"/>
    <cellStyle name="40% - Accent6 38 2 4 2" xfId="19712"/>
    <cellStyle name="40% - Accent6 38 2 5" xfId="6430"/>
    <cellStyle name="40% - Accent6 38 2 5 2" xfId="17718"/>
    <cellStyle name="40% - Accent6 38 2 6" xfId="15724"/>
    <cellStyle name="40% - Accent6 38 3" xfId="11415"/>
    <cellStyle name="40% - Accent6 38 3 2" xfId="22703"/>
    <cellStyle name="40% - Accent6 38 4" xfId="9421"/>
    <cellStyle name="40% - Accent6 38 4 2" xfId="20709"/>
    <cellStyle name="40% - Accent6 38 5" xfId="7427"/>
    <cellStyle name="40% - Accent6 38 5 2" xfId="18715"/>
    <cellStyle name="40% - Accent6 38 6" xfId="5433"/>
    <cellStyle name="40% - Accent6 38 6 2" xfId="16721"/>
    <cellStyle name="40% - Accent6 38 7" xfId="14727"/>
    <cellStyle name="40% - Accent6 38 8" xfId="13413"/>
    <cellStyle name="40% - Accent6 39" xfId="1478"/>
    <cellStyle name="40% - Accent6 39 2" xfId="4434"/>
    <cellStyle name="40% - Accent6 39 2 2" xfId="12413"/>
    <cellStyle name="40% - Accent6 39 2 2 2" xfId="23701"/>
    <cellStyle name="40% - Accent6 39 2 3" xfId="10419"/>
    <cellStyle name="40% - Accent6 39 2 3 2" xfId="21707"/>
    <cellStyle name="40% - Accent6 39 2 4" xfId="8425"/>
    <cellStyle name="40% - Accent6 39 2 4 2" xfId="19713"/>
    <cellStyle name="40% - Accent6 39 2 5" xfId="6431"/>
    <cellStyle name="40% - Accent6 39 2 5 2" xfId="17719"/>
    <cellStyle name="40% - Accent6 39 2 6" xfId="15725"/>
    <cellStyle name="40% - Accent6 39 3" xfId="11416"/>
    <cellStyle name="40% - Accent6 39 3 2" xfId="22704"/>
    <cellStyle name="40% - Accent6 39 4" xfId="9422"/>
    <cellStyle name="40% - Accent6 39 4 2" xfId="20710"/>
    <cellStyle name="40% - Accent6 39 5" xfId="7428"/>
    <cellStyle name="40% - Accent6 39 5 2" xfId="18716"/>
    <cellStyle name="40% - Accent6 39 6" xfId="5434"/>
    <cellStyle name="40% - Accent6 39 6 2" xfId="16722"/>
    <cellStyle name="40% - Accent6 39 7" xfId="14728"/>
    <cellStyle name="40% - Accent6 39 8" xfId="13414"/>
    <cellStyle name="40% - Accent6 4" xfId="1479"/>
    <cellStyle name="40% - Accent6 4 10" xfId="24627"/>
    <cellStyle name="40% - Accent6 4 11" xfId="25017"/>
    <cellStyle name="40% - Accent6 4 2" xfId="4435"/>
    <cellStyle name="40% - Accent6 4 2 2" xfId="12414"/>
    <cellStyle name="40% - Accent6 4 2 2 2" xfId="23702"/>
    <cellStyle name="40% - Accent6 4 2 3" xfId="10420"/>
    <cellStyle name="40% - Accent6 4 2 3 2" xfId="21708"/>
    <cellStyle name="40% - Accent6 4 2 4" xfId="8426"/>
    <cellStyle name="40% - Accent6 4 2 4 2" xfId="19714"/>
    <cellStyle name="40% - Accent6 4 2 5" xfId="6432"/>
    <cellStyle name="40% - Accent6 4 2 5 2" xfId="17720"/>
    <cellStyle name="40% - Accent6 4 2 6" xfId="15726"/>
    <cellStyle name="40% - Accent6 4 2 7" xfId="24388"/>
    <cellStyle name="40% - Accent6 4 2 8" xfId="24852"/>
    <cellStyle name="40% - Accent6 4 2 9" xfId="25219"/>
    <cellStyle name="40% - Accent6 4 3" xfId="11417"/>
    <cellStyle name="40% - Accent6 4 3 2" xfId="22705"/>
    <cellStyle name="40% - Accent6 4 4" xfId="9423"/>
    <cellStyle name="40% - Accent6 4 4 2" xfId="20711"/>
    <cellStyle name="40% - Accent6 4 5" xfId="7429"/>
    <cellStyle name="40% - Accent6 4 5 2" xfId="18717"/>
    <cellStyle name="40% - Accent6 4 6" xfId="5435"/>
    <cellStyle name="40% - Accent6 4 6 2" xfId="16723"/>
    <cellStyle name="40% - Accent6 4 7" xfId="14729"/>
    <cellStyle name="40% - Accent6 4 8" xfId="13415"/>
    <cellStyle name="40% - Accent6 4 9" xfId="24000"/>
    <cellStyle name="40% - Accent6 40" xfId="1480"/>
    <cellStyle name="40% - Accent6 40 2" xfId="4436"/>
    <cellStyle name="40% - Accent6 40 2 2" xfId="12415"/>
    <cellStyle name="40% - Accent6 40 2 2 2" xfId="23703"/>
    <cellStyle name="40% - Accent6 40 2 3" xfId="10421"/>
    <cellStyle name="40% - Accent6 40 2 3 2" xfId="21709"/>
    <cellStyle name="40% - Accent6 40 2 4" xfId="8427"/>
    <cellStyle name="40% - Accent6 40 2 4 2" xfId="19715"/>
    <cellStyle name="40% - Accent6 40 2 5" xfId="6433"/>
    <cellStyle name="40% - Accent6 40 2 5 2" xfId="17721"/>
    <cellStyle name="40% - Accent6 40 2 6" xfId="15727"/>
    <cellStyle name="40% - Accent6 40 3" xfId="11418"/>
    <cellStyle name="40% - Accent6 40 3 2" xfId="22706"/>
    <cellStyle name="40% - Accent6 40 4" xfId="9424"/>
    <cellStyle name="40% - Accent6 40 4 2" xfId="20712"/>
    <cellStyle name="40% - Accent6 40 5" xfId="7430"/>
    <cellStyle name="40% - Accent6 40 5 2" xfId="18718"/>
    <cellStyle name="40% - Accent6 40 6" xfId="5436"/>
    <cellStyle name="40% - Accent6 40 6 2" xfId="16724"/>
    <cellStyle name="40% - Accent6 40 7" xfId="14730"/>
    <cellStyle name="40% - Accent6 40 8" xfId="13416"/>
    <cellStyle name="40% - Accent6 41" xfId="1481"/>
    <cellStyle name="40% - Accent6 41 2" xfId="4437"/>
    <cellStyle name="40% - Accent6 41 2 2" xfId="12416"/>
    <cellStyle name="40% - Accent6 41 2 2 2" xfId="23704"/>
    <cellStyle name="40% - Accent6 41 2 3" xfId="10422"/>
    <cellStyle name="40% - Accent6 41 2 3 2" xfId="21710"/>
    <cellStyle name="40% - Accent6 41 2 4" xfId="8428"/>
    <cellStyle name="40% - Accent6 41 2 4 2" xfId="19716"/>
    <cellStyle name="40% - Accent6 41 2 5" xfId="6434"/>
    <cellStyle name="40% - Accent6 41 2 5 2" xfId="17722"/>
    <cellStyle name="40% - Accent6 41 2 6" xfId="15728"/>
    <cellStyle name="40% - Accent6 41 3" xfId="11419"/>
    <cellStyle name="40% - Accent6 41 3 2" xfId="22707"/>
    <cellStyle name="40% - Accent6 41 4" xfId="9425"/>
    <cellStyle name="40% - Accent6 41 4 2" xfId="20713"/>
    <cellStyle name="40% - Accent6 41 5" xfId="7431"/>
    <cellStyle name="40% - Accent6 41 5 2" xfId="18719"/>
    <cellStyle name="40% - Accent6 41 6" xfId="5437"/>
    <cellStyle name="40% - Accent6 41 6 2" xfId="16725"/>
    <cellStyle name="40% - Accent6 41 7" xfId="14731"/>
    <cellStyle name="40% - Accent6 41 8" xfId="13417"/>
    <cellStyle name="40% - Accent6 42" xfId="1482"/>
    <cellStyle name="40% - Accent6 42 2" xfId="4438"/>
    <cellStyle name="40% - Accent6 42 2 2" xfId="12417"/>
    <cellStyle name="40% - Accent6 42 2 2 2" xfId="23705"/>
    <cellStyle name="40% - Accent6 42 2 3" xfId="10423"/>
    <cellStyle name="40% - Accent6 42 2 3 2" xfId="21711"/>
    <cellStyle name="40% - Accent6 42 2 4" xfId="8429"/>
    <cellStyle name="40% - Accent6 42 2 4 2" xfId="19717"/>
    <cellStyle name="40% - Accent6 42 2 5" xfId="6435"/>
    <cellStyle name="40% - Accent6 42 2 5 2" xfId="17723"/>
    <cellStyle name="40% - Accent6 42 2 6" xfId="15729"/>
    <cellStyle name="40% - Accent6 42 3" xfId="11420"/>
    <cellStyle name="40% - Accent6 42 3 2" xfId="22708"/>
    <cellStyle name="40% - Accent6 42 4" xfId="9426"/>
    <cellStyle name="40% - Accent6 42 4 2" xfId="20714"/>
    <cellStyle name="40% - Accent6 42 5" xfId="7432"/>
    <cellStyle name="40% - Accent6 42 5 2" xfId="18720"/>
    <cellStyle name="40% - Accent6 42 6" xfId="5438"/>
    <cellStyle name="40% - Accent6 42 6 2" xfId="16726"/>
    <cellStyle name="40% - Accent6 42 7" xfId="14732"/>
    <cellStyle name="40% - Accent6 42 8" xfId="13418"/>
    <cellStyle name="40% - Accent6 43" xfId="1483"/>
    <cellStyle name="40% - Accent6 43 2" xfId="4439"/>
    <cellStyle name="40% - Accent6 43 2 2" xfId="12418"/>
    <cellStyle name="40% - Accent6 43 2 2 2" xfId="23706"/>
    <cellStyle name="40% - Accent6 43 2 3" xfId="10424"/>
    <cellStyle name="40% - Accent6 43 2 3 2" xfId="21712"/>
    <cellStyle name="40% - Accent6 43 2 4" xfId="8430"/>
    <cellStyle name="40% - Accent6 43 2 4 2" xfId="19718"/>
    <cellStyle name="40% - Accent6 43 2 5" xfId="6436"/>
    <cellStyle name="40% - Accent6 43 2 5 2" xfId="17724"/>
    <cellStyle name="40% - Accent6 43 2 6" xfId="15730"/>
    <cellStyle name="40% - Accent6 43 3" xfId="11421"/>
    <cellStyle name="40% - Accent6 43 3 2" xfId="22709"/>
    <cellStyle name="40% - Accent6 43 4" xfId="9427"/>
    <cellStyle name="40% - Accent6 43 4 2" xfId="20715"/>
    <cellStyle name="40% - Accent6 43 5" xfId="7433"/>
    <cellStyle name="40% - Accent6 43 5 2" xfId="18721"/>
    <cellStyle name="40% - Accent6 43 6" xfId="5439"/>
    <cellStyle name="40% - Accent6 43 6 2" xfId="16727"/>
    <cellStyle name="40% - Accent6 43 7" xfId="14733"/>
    <cellStyle name="40% - Accent6 43 8" xfId="13419"/>
    <cellStyle name="40% - Accent6 44" xfId="1484"/>
    <cellStyle name="40% - Accent6 44 2" xfId="4440"/>
    <cellStyle name="40% - Accent6 44 2 2" xfId="12419"/>
    <cellStyle name="40% - Accent6 44 2 2 2" xfId="23707"/>
    <cellStyle name="40% - Accent6 44 2 3" xfId="10425"/>
    <cellStyle name="40% - Accent6 44 2 3 2" xfId="21713"/>
    <cellStyle name="40% - Accent6 44 2 4" xfId="8431"/>
    <cellStyle name="40% - Accent6 44 2 4 2" xfId="19719"/>
    <cellStyle name="40% - Accent6 44 2 5" xfId="6437"/>
    <cellStyle name="40% - Accent6 44 2 5 2" xfId="17725"/>
    <cellStyle name="40% - Accent6 44 2 6" xfId="15731"/>
    <cellStyle name="40% - Accent6 44 3" xfId="11422"/>
    <cellStyle name="40% - Accent6 44 3 2" xfId="22710"/>
    <cellStyle name="40% - Accent6 44 4" xfId="9428"/>
    <cellStyle name="40% - Accent6 44 4 2" xfId="20716"/>
    <cellStyle name="40% - Accent6 44 5" xfId="7434"/>
    <cellStyle name="40% - Accent6 44 5 2" xfId="18722"/>
    <cellStyle name="40% - Accent6 44 6" xfId="5440"/>
    <cellStyle name="40% - Accent6 44 6 2" xfId="16728"/>
    <cellStyle name="40% - Accent6 44 7" xfId="14734"/>
    <cellStyle name="40% - Accent6 44 8" xfId="13420"/>
    <cellStyle name="40% - Accent6 45" xfId="1485"/>
    <cellStyle name="40% - Accent6 45 2" xfId="4441"/>
    <cellStyle name="40% - Accent6 45 2 2" xfId="12420"/>
    <cellStyle name="40% - Accent6 45 2 2 2" xfId="23708"/>
    <cellStyle name="40% - Accent6 45 2 3" xfId="10426"/>
    <cellStyle name="40% - Accent6 45 2 3 2" xfId="21714"/>
    <cellStyle name="40% - Accent6 45 2 4" xfId="8432"/>
    <cellStyle name="40% - Accent6 45 2 4 2" xfId="19720"/>
    <cellStyle name="40% - Accent6 45 2 5" xfId="6438"/>
    <cellStyle name="40% - Accent6 45 2 5 2" xfId="17726"/>
    <cellStyle name="40% - Accent6 45 2 6" xfId="15732"/>
    <cellStyle name="40% - Accent6 45 3" xfId="11423"/>
    <cellStyle name="40% - Accent6 45 3 2" xfId="22711"/>
    <cellStyle name="40% - Accent6 45 4" xfId="9429"/>
    <cellStyle name="40% - Accent6 45 4 2" xfId="20717"/>
    <cellStyle name="40% - Accent6 45 5" xfId="7435"/>
    <cellStyle name="40% - Accent6 45 5 2" xfId="18723"/>
    <cellStyle name="40% - Accent6 45 6" xfId="5441"/>
    <cellStyle name="40% - Accent6 45 6 2" xfId="16729"/>
    <cellStyle name="40% - Accent6 45 7" xfId="14735"/>
    <cellStyle name="40% - Accent6 45 8" xfId="13421"/>
    <cellStyle name="40% - Accent6 46" xfId="1486"/>
    <cellStyle name="40% - Accent6 46 2" xfId="4442"/>
    <cellStyle name="40% - Accent6 46 2 2" xfId="12421"/>
    <cellStyle name="40% - Accent6 46 2 2 2" xfId="23709"/>
    <cellStyle name="40% - Accent6 46 2 3" xfId="10427"/>
    <cellStyle name="40% - Accent6 46 2 3 2" xfId="21715"/>
    <cellStyle name="40% - Accent6 46 2 4" xfId="8433"/>
    <cellStyle name="40% - Accent6 46 2 4 2" xfId="19721"/>
    <cellStyle name="40% - Accent6 46 2 5" xfId="6439"/>
    <cellStyle name="40% - Accent6 46 2 5 2" xfId="17727"/>
    <cellStyle name="40% - Accent6 46 2 6" xfId="15733"/>
    <cellStyle name="40% - Accent6 46 3" xfId="11424"/>
    <cellStyle name="40% - Accent6 46 3 2" xfId="22712"/>
    <cellStyle name="40% - Accent6 46 4" xfId="9430"/>
    <cellStyle name="40% - Accent6 46 4 2" xfId="20718"/>
    <cellStyle name="40% - Accent6 46 5" xfId="7436"/>
    <cellStyle name="40% - Accent6 46 5 2" xfId="18724"/>
    <cellStyle name="40% - Accent6 46 6" xfId="5442"/>
    <cellStyle name="40% - Accent6 46 6 2" xfId="16730"/>
    <cellStyle name="40% - Accent6 46 7" xfId="14736"/>
    <cellStyle name="40% - Accent6 46 8" xfId="13422"/>
    <cellStyle name="40% - Accent6 47" xfId="1487"/>
    <cellStyle name="40% - Accent6 47 2" xfId="4443"/>
    <cellStyle name="40% - Accent6 47 2 2" xfId="12422"/>
    <cellStyle name="40% - Accent6 47 2 2 2" xfId="23710"/>
    <cellStyle name="40% - Accent6 47 2 3" xfId="10428"/>
    <cellStyle name="40% - Accent6 47 2 3 2" xfId="21716"/>
    <cellStyle name="40% - Accent6 47 2 4" xfId="8434"/>
    <cellStyle name="40% - Accent6 47 2 4 2" xfId="19722"/>
    <cellStyle name="40% - Accent6 47 2 5" xfId="6440"/>
    <cellStyle name="40% - Accent6 47 2 5 2" xfId="17728"/>
    <cellStyle name="40% - Accent6 47 2 6" xfId="15734"/>
    <cellStyle name="40% - Accent6 47 3" xfId="11425"/>
    <cellStyle name="40% - Accent6 47 3 2" xfId="22713"/>
    <cellStyle name="40% - Accent6 47 4" xfId="9431"/>
    <cellStyle name="40% - Accent6 47 4 2" xfId="20719"/>
    <cellStyle name="40% - Accent6 47 5" xfId="7437"/>
    <cellStyle name="40% - Accent6 47 5 2" xfId="18725"/>
    <cellStyle name="40% - Accent6 47 6" xfId="5443"/>
    <cellStyle name="40% - Accent6 47 6 2" xfId="16731"/>
    <cellStyle name="40% - Accent6 47 7" xfId="14737"/>
    <cellStyle name="40% - Accent6 47 8" xfId="13423"/>
    <cellStyle name="40% - Accent6 48" xfId="1488"/>
    <cellStyle name="40% - Accent6 48 2" xfId="4444"/>
    <cellStyle name="40% - Accent6 48 2 2" xfId="12423"/>
    <cellStyle name="40% - Accent6 48 2 2 2" xfId="23711"/>
    <cellStyle name="40% - Accent6 48 2 3" xfId="10429"/>
    <cellStyle name="40% - Accent6 48 2 3 2" xfId="21717"/>
    <cellStyle name="40% - Accent6 48 2 4" xfId="8435"/>
    <cellStyle name="40% - Accent6 48 2 4 2" xfId="19723"/>
    <cellStyle name="40% - Accent6 48 2 5" xfId="6441"/>
    <cellStyle name="40% - Accent6 48 2 5 2" xfId="17729"/>
    <cellStyle name="40% - Accent6 48 2 6" xfId="15735"/>
    <cellStyle name="40% - Accent6 48 3" xfId="11426"/>
    <cellStyle name="40% - Accent6 48 3 2" xfId="22714"/>
    <cellStyle name="40% - Accent6 48 4" xfId="9432"/>
    <cellStyle name="40% - Accent6 48 4 2" xfId="20720"/>
    <cellStyle name="40% - Accent6 48 5" xfId="7438"/>
    <cellStyle name="40% - Accent6 48 5 2" xfId="18726"/>
    <cellStyle name="40% - Accent6 48 6" xfId="5444"/>
    <cellStyle name="40% - Accent6 48 6 2" xfId="16732"/>
    <cellStyle name="40% - Accent6 48 7" xfId="14738"/>
    <cellStyle name="40% - Accent6 48 8" xfId="13424"/>
    <cellStyle name="40% - Accent6 49" xfId="1489"/>
    <cellStyle name="40% - Accent6 49 2" xfId="4445"/>
    <cellStyle name="40% - Accent6 49 2 2" xfId="12424"/>
    <cellStyle name="40% - Accent6 49 2 2 2" xfId="23712"/>
    <cellStyle name="40% - Accent6 49 2 3" xfId="10430"/>
    <cellStyle name="40% - Accent6 49 2 3 2" xfId="21718"/>
    <cellStyle name="40% - Accent6 49 2 4" xfId="8436"/>
    <cellStyle name="40% - Accent6 49 2 4 2" xfId="19724"/>
    <cellStyle name="40% - Accent6 49 2 5" xfId="6442"/>
    <cellStyle name="40% - Accent6 49 2 5 2" xfId="17730"/>
    <cellStyle name="40% - Accent6 49 2 6" xfId="15736"/>
    <cellStyle name="40% - Accent6 49 3" xfId="11427"/>
    <cellStyle name="40% - Accent6 49 3 2" xfId="22715"/>
    <cellStyle name="40% - Accent6 49 4" xfId="9433"/>
    <cellStyle name="40% - Accent6 49 4 2" xfId="20721"/>
    <cellStyle name="40% - Accent6 49 5" xfId="7439"/>
    <cellStyle name="40% - Accent6 49 5 2" xfId="18727"/>
    <cellStyle name="40% - Accent6 49 6" xfId="5445"/>
    <cellStyle name="40% - Accent6 49 6 2" xfId="16733"/>
    <cellStyle name="40% - Accent6 49 7" xfId="14739"/>
    <cellStyle name="40% - Accent6 49 8" xfId="13425"/>
    <cellStyle name="40% - Accent6 5" xfId="1490"/>
    <cellStyle name="40% - Accent6 5 10" xfId="24628"/>
    <cellStyle name="40% - Accent6 5 11" xfId="25018"/>
    <cellStyle name="40% - Accent6 5 2" xfId="4446"/>
    <cellStyle name="40% - Accent6 5 2 2" xfId="12425"/>
    <cellStyle name="40% - Accent6 5 2 2 2" xfId="23713"/>
    <cellStyle name="40% - Accent6 5 2 3" xfId="10431"/>
    <cellStyle name="40% - Accent6 5 2 3 2" xfId="21719"/>
    <cellStyle name="40% - Accent6 5 2 4" xfId="8437"/>
    <cellStyle name="40% - Accent6 5 2 4 2" xfId="19725"/>
    <cellStyle name="40% - Accent6 5 2 5" xfId="6443"/>
    <cellStyle name="40% - Accent6 5 2 5 2" xfId="17731"/>
    <cellStyle name="40% - Accent6 5 2 6" xfId="15737"/>
    <cellStyle name="40% - Accent6 5 2 7" xfId="24389"/>
    <cellStyle name="40% - Accent6 5 2 8" xfId="24853"/>
    <cellStyle name="40% - Accent6 5 2 9" xfId="25220"/>
    <cellStyle name="40% - Accent6 5 3" xfId="11428"/>
    <cellStyle name="40% - Accent6 5 3 2" xfId="22716"/>
    <cellStyle name="40% - Accent6 5 4" xfId="9434"/>
    <cellStyle name="40% - Accent6 5 4 2" xfId="20722"/>
    <cellStyle name="40% - Accent6 5 5" xfId="7440"/>
    <cellStyle name="40% - Accent6 5 5 2" xfId="18728"/>
    <cellStyle name="40% - Accent6 5 6" xfId="5446"/>
    <cellStyle name="40% - Accent6 5 6 2" xfId="16734"/>
    <cellStyle name="40% - Accent6 5 7" xfId="14740"/>
    <cellStyle name="40% - Accent6 5 8" xfId="13426"/>
    <cellStyle name="40% - Accent6 5 9" xfId="24001"/>
    <cellStyle name="40% - Accent6 50" xfId="1491"/>
    <cellStyle name="40% - Accent6 50 2" xfId="4447"/>
    <cellStyle name="40% - Accent6 50 2 2" xfId="12426"/>
    <cellStyle name="40% - Accent6 50 2 2 2" xfId="23714"/>
    <cellStyle name="40% - Accent6 50 2 3" xfId="10432"/>
    <cellStyle name="40% - Accent6 50 2 3 2" xfId="21720"/>
    <cellStyle name="40% - Accent6 50 2 4" xfId="8438"/>
    <cellStyle name="40% - Accent6 50 2 4 2" xfId="19726"/>
    <cellStyle name="40% - Accent6 50 2 5" xfId="6444"/>
    <cellStyle name="40% - Accent6 50 2 5 2" xfId="17732"/>
    <cellStyle name="40% - Accent6 50 2 6" xfId="15738"/>
    <cellStyle name="40% - Accent6 50 3" xfId="11429"/>
    <cellStyle name="40% - Accent6 50 3 2" xfId="22717"/>
    <cellStyle name="40% - Accent6 50 4" xfId="9435"/>
    <cellStyle name="40% - Accent6 50 4 2" xfId="20723"/>
    <cellStyle name="40% - Accent6 50 5" xfId="7441"/>
    <cellStyle name="40% - Accent6 50 5 2" xfId="18729"/>
    <cellStyle name="40% - Accent6 50 6" xfId="5447"/>
    <cellStyle name="40% - Accent6 50 6 2" xfId="16735"/>
    <cellStyle name="40% - Accent6 50 7" xfId="14741"/>
    <cellStyle name="40% - Accent6 50 8" xfId="13427"/>
    <cellStyle name="40% - Accent6 51" xfId="1492"/>
    <cellStyle name="40% - Accent6 51 2" xfId="4448"/>
    <cellStyle name="40% - Accent6 51 2 2" xfId="12427"/>
    <cellStyle name="40% - Accent6 51 2 2 2" xfId="23715"/>
    <cellStyle name="40% - Accent6 51 2 3" xfId="10433"/>
    <cellStyle name="40% - Accent6 51 2 3 2" xfId="21721"/>
    <cellStyle name="40% - Accent6 51 2 4" xfId="8439"/>
    <cellStyle name="40% - Accent6 51 2 4 2" xfId="19727"/>
    <cellStyle name="40% - Accent6 51 2 5" xfId="6445"/>
    <cellStyle name="40% - Accent6 51 2 5 2" xfId="17733"/>
    <cellStyle name="40% - Accent6 51 2 6" xfId="15739"/>
    <cellStyle name="40% - Accent6 51 3" xfId="11430"/>
    <cellStyle name="40% - Accent6 51 3 2" xfId="22718"/>
    <cellStyle name="40% - Accent6 51 4" xfId="9436"/>
    <cellStyle name="40% - Accent6 51 4 2" xfId="20724"/>
    <cellStyle name="40% - Accent6 51 5" xfId="7442"/>
    <cellStyle name="40% - Accent6 51 5 2" xfId="18730"/>
    <cellStyle name="40% - Accent6 51 6" xfId="5448"/>
    <cellStyle name="40% - Accent6 51 6 2" xfId="16736"/>
    <cellStyle name="40% - Accent6 51 7" xfId="14742"/>
    <cellStyle name="40% - Accent6 51 8" xfId="13428"/>
    <cellStyle name="40% - Accent6 52" xfId="1493"/>
    <cellStyle name="40% - Accent6 52 2" xfId="4449"/>
    <cellStyle name="40% - Accent6 52 2 2" xfId="12428"/>
    <cellStyle name="40% - Accent6 52 2 2 2" xfId="23716"/>
    <cellStyle name="40% - Accent6 52 2 3" xfId="10434"/>
    <cellStyle name="40% - Accent6 52 2 3 2" xfId="21722"/>
    <cellStyle name="40% - Accent6 52 2 4" xfId="8440"/>
    <cellStyle name="40% - Accent6 52 2 4 2" xfId="19728"/>
    <cellStyle name="40% - Accent6 52 2 5" xfId="6446"/>
    <cellStyle name="40% - Accent6 52 2 5 2" xfId="17734"/>
    <cellStyle name="40% - Accent6 52 2 6" xfId="15740"/>
    <cellStyle name="40% - Accent6 52 3" xfId="11431"/>
    <cellStyle name="40% - Accent6 52 3 2" xfId="22719"/>
    <cellStyle name="40% - Accent6 52 4" xfId="9437"/>
    <cellStyle name="40% - Accent6 52 4 2" xfId="20725"/>
    <cellStyle name="40% - Accent6 52 5" xfId="7443"/>
    <cellStyle name="40% - Accent6 52 5 2" xfId="18731"/>
    <cellStyle name="40% - Accent6 52 6" xfId="5449"/>
    <cellStyle name="40% - Accent6 52 6 2" xfId="16737"/>
    <cellStyle name="40% - Accent6 52 7" xfId="14743"/>
    <cellStyle name="40% - Accent6 52 8" xfId="13429"/>
    <cellStyle name="40% - Accent6 53" xfId="1494"/>
    <cellStyle name="40% - Accent6 53 2" xfId="4450"/>
    <cellStyle name="40% - Accent6 53 2 2" xfId="12429"/>
    <cellStyle name="40% - Accent6 53 2 2 2" xfId="23717"/>
    <cellStyle name="40% - Accent6 53 2 3" xfId="10435"/>
    <cellStyle name="40% - Accent6 53 2 3 2" xfId="21723"/>
    <cellStyle name="40% - Accent6 53 2 4" xfId="8441"/>
    <cellStyle name="40% - Accent6 53 2 4 2" xfId="19729"/>
    <cellStyle name="40% - Accent6 53 2 5" xfId="6447"/>
    <cellStyle name="40% - Accent6 53 2 5 2" xfId="17735"/>
    <cellStyle name="40% - Accent6 53 2 6" xfId="15741"/>
    <cellStyle name="40% - Accent6 53 3" xfId="11432"/>
    <cellStyle name="40% - Accent6 53 3 2" xfId="22720"/>
    <cellStyle name="40% - Accent6 53 4" xfId="9438"/>
    <cellStyle name="40% - Accent6 53 4 2" xfId="20726"/>
    <cellStyle name="40% - Accent6 53 5" xfId="7444"/>
    <cellStyle name="40% - Accent6 53 5 2" xfId="18732"/>
    <cellStyle name="40% - Accent6 53 6" xfId="5450"/>
    <cellStyle name="40% - Accent6 53 6 2" xfId="16738"/>
    <cellStyle name="40% - Accent6 53 7" xfId="14744"/>
    <cellStyle name="40% - Accent6 53 8" xfId="13430"/>
    <cellStyle name="40% - Accent6 54" xfId="1495"/>
    <cellStyle name="40% - Accent6 54 2" xfId="4451"/>
    <cellStyle name="40% - Accent6 54 2 2" xfId="12430"/>
    <cellStyle name="40% - Accent6 54 2 2 2" xfId="23718"/>
    <cellStyle name="40% - Accent6 54 2 3" xfId="10436"/>
    <cellStyle name="40% - Accent6 54 2 3 2" xfId="21724"/>
    <cellStyle name="40% - Accent6 54 2 4" xfId="8442"/>
    <cellStyle name="40% - Accent6 54 2 4 2" xfId="19730"/>
    <cellStyle name="40% - Accent6 54 2 5" xfId="6448"/>
    <cellStyle name="40% - Accent6 54 2 5 2" xfId="17736"/>
    <cellStyle name="40% - Accent6 54 2 6" xfId="15742"/>
    <cellStyle name="40% - Accent6 54 3" xfId="11433"/>
    <cellStyle name="40% - Accent6 54 3 2" xfId="22721"/>
    <cellStyle name="40% - Accent6 54 4" xfId="9439"/>
    <cellStyle name="40% - Accent6 54 4 2" xfId="20727"/>
    <cellStyle name="40% - Accent6 54 5" xfId="7445"/>
    <cellStyle name="40% - Accent6 54 5 2" xfId="18733"/>
    <cellStyle name="40% - Accent6 54 6" xfId="5451"/>
    <cellStyle name="40% - Accent6 54 6 2" xfId="16739"/>
    <cellStyle name="40% - Accent6 54 7" xfId="14745"/>
    <cellStyle name="40% - Accent6 54 8" xfId="13431"/>
    <cellStyle name="40% - Accent6 55" xfId="1496"/>
    <cellStyle name="40% - Accent6 55 2" xfId="4452"/>
    <cellStyle name="40% - Accent6 55 2 2" xfId="12431"/>
    <cellStyle name="40% - Accent6 55 2 2 2" xfId="23719"/>
    <cellStyle name="40% - Accent6 55 2 3" xfId="10437"/>
    <cellStyle name="40% - Accent6 55 2 3 2" xfId="21725"/>
    <cellStyle name="40% - Accent6 55 2 4" xfId="8443"/>
    <cellStyle name="40% - Accent6 55 2 4 2" xfId="19731"/>
    <cellStyle name="40% - Accent6 55 2 5" xfId="6449"/>
    <cellStyle name="40% - Accent6 55 2 5 2" xfId="17737"/>
    <cellStyle name="40% - Accent6 55 2 6" xfId="15743"/>
    <cellStyle name="40% - Accent6 55 3" xfId="11434"/>
    <cellStyle name="40% - Accent6 55 3 2" xfId="22722"/>
    <cellStyle name="40% - Accent6 55 4" xfId="9440"/>
    <cellStyle name="40% - Accent6 55 4 2" xfId="20728"/>
    <cellStyle name="40% - Accent6 55 5" xfId="7446"/>
    <cellStyle name="40% - Accent6 55 5 2" xfId="18734"/>
    <cellStyle name="40% - Accent6 55 6" xfId="5452"/>
    <cellStyle name="40% - Accent6 55 6 2" xfId="16740"/>
    <cellStyle name="40% - Accent6 55 7" xfId="14746"/>
    <cellStyle name="40% - Accent6 55 8" xfId="13432"/>
    <cellStyle name="40% - Accent6 56" xfId="1497"/>
    <cellStyle name="40% - Accent6 56 2" xfId="4453"/>
    <cellStyle name="40% - Accent6 56 2 2" xfId="12432"/>
    <cellStyle name="40% - Accent6 56 2 2 2" xfId="23720"/>
    <cellStyle name="40% - Accent6 56 2 3" xfId="10438"/>
    <cellStyle name="40% - Accent6 56 2 3 2" xfId="21726"/>
    <cellStyle name="40% - Accent6 56 2 4" xfId="8444"/>
    <cellStyle name="40% - Accent6 56 2 4 2" xfId="19732"/>
    <cellStyle name="40% - Accent6 56 2 5" xfId="6450"/>
    <cellStyle name="40% - Accent6 56 2 5 2" xfId="17738"/>
    <cellStyle name="40% - Accent6 56 2 6" xfId="15744"/>
    <cellStyle name="40% - Accent6 56 3" xfId="11435"/>
    <cellStyle name="40% - Accent6 56 3 2" xfId="22723"/>
    <cellStyle name="40% - Accent6 56 4" xfId="9441"/>
    <cellStyle name="40% - Accent6 56 4 2" xfId="20729"/>
    <cellStyle name="40% - Accent6 56 5" xfId="7447"/>
    <cellStyle name="40% - Accent6 56 5 2" xfId="18735"/>
    <cellStyle name="40% - Accent6 56 6" xfId="5453"/>
    <cellStyle name="40% - Accent6 56 6 2" xfId="16741"/>
    <cellStyle name="40% - Accent6 56 7" xfId="14747"/>
    <cellStyle name="40% - Accent6 56 8" xfId="13433"/>
    <cellStyle name="40% - Accent6 57" xfId="1498"/>
    <cellStyle name="40% - Accent6 57 2" xfId="4454"/>
    <cellStyle name="40% - Accent6 57 2 2" xfId="12433"/>
    <cellStyle name="40% - Accent6 57 2 2 2" xfId="23721"/>
    <cellStyle name="40% - Accent6 57 2 3" xfId="10439"/>
    <cellStyle name="40% - Accent6 57 2 3 2" xfId="21727"/>
    <cellStyle name="40% - Accent6 57 2 4" xfId="8445"/>
    <cellStyle name="40% - Accent6 57 2 4 2" xfId="19733"/>
    <cellStyle name="40% - Accent6 57 2 5" xfId="6451"/>
    <cellStyle name="40% - Accent6 57 2 5 2" xfId="17739"/>
    <cellStyle name="40% - Accent6 57 2 6" xfId="15745"/>
    <cellStyle name="40% - Accent6 57 3" xfId="11436"/>
    <cellStyle name="40% - Accent6 57 3 2" xfId="22724"/>
    <cellStyle name="40% - Accent6 57 4" xfId="9442"/>
    <cellStyle name="40% - Accent6 57 4 2" xfId="20730"/>
    <cellStyle name="40% - Accent6 57 5" xfId="7448"/>
    <cellStyle name="40% - Accent6 57 5 2" xfId="18736"/>
    <cellStyle name="40% - Accent6 57 6" xfId="5454"/>
    <cellStyle name="40% - Accent6 57 6 2" xfId="16742"/>
    <cellStyle name="40% - Accent6 57 7" xfId="14748"/>
    <cellStyle name="40% - Accent6 57 8" xfId="13434"/>
    <cellStyle name="40% - Accent6 58" xfId="1499"/>
    <cellStyle name="40% - Accent6 58 2" xfId="4455"/>
    <cellStyle name="40% - Accent6 58 2 2" xfId="12434"/>
    <cellStyle name="40% - Accent6 58 2 2 2" xfId="23722"/>
    <cellStyle name="40% - Accent6 58 2 3" xfId="10440"/>
    <cellStyle name="40% - Accent6 58 2 3 2" xfId="21728"/>
    <cellStyle name="40% - Accent6 58 2 4" xfId="8446"/>
    <cellStyle name="40% - Accent6 58 2 4 2" xfId="19734"/>
    <cellStyle name="40% - Accent6 58 2 5" xfId="6452"/>
    <cellStyle name="40% - Accent6 58 2 5 2" xfId="17740"/>
    <cellStyle name="40% - Accent6 58 2 6" xfId="15746"/>
    <cellStyle name="40% - Accent6 58 3" xfId="11437"/>
    <cellStyle name="40% - Accent6 58 3 2" xfId="22725"/>
    <cellStyle name="40% - Accent6 58 4" xfId="9443"/>
    <cellStyle name="40% - Accent6 58 4 2" xfId="20731"/>
    <cellStyle name="40% - Accent6 58 5" xfId="7449"/>
    <cellStyle name="40% - Accent6 58 5 2" xfId="18737"/>
    <cellStyle name="40% - Accent6 58 6" xfId="5455"/>
    <cellStyle name="40% - Accent6 58 6 2" xfId="16743"/>
    <cellStyle name="40% - Accent6 58 7" xfId="14749"/>
    <cellStyle name="40% - Accent6 58 8" xfId="13435"/>
    <cellStyle name="40% - Accent6 59" xfId="1500"/>
    <cellStyle name="40% - Accent6 59 2" xfId="4456"/>
    <cellStyle name="40% - Accent6 59 2 2" xfId="12435"/>
    <cellStyle name="40% - Accent6 59 2 2 2" xfId="23723"/>
    <cellStyle name="40% - Accent6 59 2 3" xfId="10441"/>
    <cellStyle name="40% - Accent6 59 2 3 2" xfId="21729"/>
    <cellStyle name="40% - Accent6 59 2 4" xfId="8447"/>
    <cellStyle name="40% - Accent6 59 2 4 2" xfId="19735"/>
    <cellStyle name="40% - Accent6 59 2 5" xfId="6453"/>
    <cellStyle name="40% - Accent6 59 2 5 2" xfId="17741"/>
    <cellStyle name="40% - Accent6 59 2 6" xfId="15747"/>
    <cellStyle name="40% - Accent6 59 3" xfId="11438"/>
    <cellStyle name="40% - Accent6 59 3 2" xfId="22726"/>
    <cellStyle name="40% - Accent6 59 4" xfId="9444"/>
    <cellStyle name="40% - Accent6 59 4 2" xfId="20732"/>
    <cellStyle name="40% - Accent6 59 5" xfId="7450"/>
    <cellStyle name="40% - Accent6 59 5 2" xfId="18738"/>
    <cellStyle name="40% - Accent6 59 6" xfId="5456"/>
    <cellStyle name="40% - Accent6 59 6 2" xfId="16744"/>
    <cellStyle name="40% - Accent6 59 7" xfId="14750"/>
    <cellStyle name="40% - Accent6 59 8" xfId="13436"/>
    <cellStyle name="40% - Accent6 6" xfId="1501"/>
    <cellStyle name="40% - Accent6 6 10" xfId="24629"/>
    <cellStyle name="40% - Accent6 6 11" xfId="25019"/>
    <cellStyle name="40% - Accent6 6 2" xfId="4457"/>
    <cellStyle name="40% - Accent6 6 2 2" xfId="12436"/>
    <cellStyle name="40% - Accent6 6 2 2 2" xfId="23724"/>
    <cellStyle name="40% - Accent6 6 2 3" xfId="10442"/>
    <cellStyle name="40% - Accent6 6 2 3 2" xfId="21730"/>
    <cellStyle name="40% - Accent6 6 2 4" xfId="8448"/>
    <cellStyle name="40% - Accent6 6 2 4 2" xfId="19736"/>
    <cellStyle name="40% - Accent6 6 2 5" xfId="6454"/>
    <cellStyle name="40% - Accent6 6 2 5 2" xfId="17742"/>
    <cellStyle name="40% - Accent6 6 2 6" xfId="15748"/>
    <cellStyle name="40% - Accent6 6 2 7" xfId="24390"/>
    <cellStyle name="40% - Accent6 6 2 8" xfId="24854"/>
    <cellStyle name="40% - Accent6 6 2 9" xfId="25221"/>
    <cellStyle name="40% - Accent6 6 3" xfId="11439"/>
    <cellStyle name="40% - Accent6 6 3 2" xfId="22727"/>
    <cellStyle name="40% - Accent6 6 4" xfId="9445"/>
    <cellStyle name="40% - Accent6 6 4 2" xfId="20733"/>
    <cellStyle name="40% - Accent6 6 5" xfId="7451"/>
    <cellStyle name="40% - Accent6 6 5 2" xfId="18739"/>
    <cellStyle name="40% - Accent6 6 6" xfId="5457"/>
    <cellStyle name="40% - Accent6 6 6 2" xfId="16745"/>
    <cellStyle name="40% - Accent6 6 7" xfId="14751"/>
    <cellStyle name="40% - Accent6 6 8" xfId="13437"/>
    <cellStyle name="40% - Accent6 6 9" xfId="24002"/>
    <cellStyle name="40% - Accent6 60" xfId="1502"/>
    <cellStyle name="40% - Accent6 60 2" xfId="4458"/>
    <cellStyle name="40% - Accent6 60 2 2" xfId="12437"/>
    <cellStyle name="40% - Accent6 60 2 2 2" xfId="23725"/>
    <cellStyle name="40% - Accent6 60 2 3" xfId="10443"/>
    <cellStyle name="40% - Accent6 60 2 3 2" xfId="21731"/>
    <cellStyle name="40% - Accent6 60 2 4" xfId="8449"/>
    <cellStyle name="40% - Accent6 60 2 4 2" xfId="19737"/>
    <cellStyle name="40% - Accent6 60 2 5" xfId="6455"/>
    <cellStyle name="40% - Accent6 60 2 5 2" xfId="17743"/>
    <cellStyle name="40% - Accent6 60 2 6" xfId="15749"/>
    <cellStyle name="40% - Accent6 60 3" xfId="11440"/>
    <cellStyle name="40% - Accent6 60 3 2" xfId="22728"/>
    <cellStyle name="40% - Accent6 60 4" xfId="9446"/>
    <cellStyle name="40% - Accent6 60 4 2" xfId="20734"/>
    <cellStyle name="40% - Accent6 60 5" xfId="7452"/>
    <cellStyle name="40% - Accent6 60 5 2" xfId="18740"/>
    <cellStyle name="40% - Accent6 60 6" xfId="5458"/>
    <cellStyle name="40% - Accent6 60 6 2" xfId="16746"/>
    <cellStyle name="40% - Accent6 60 7" xfId="14752"/>
    <cellStyle name="40% - Accent6 60 8" xfId="13438"/>
    <cellStyle name="40% - Accent6 61" xfId="1503"/>
    <cellStyle name="40% - Accent6 61 2" xfId="4459"/>
    <cellStyle name="40% - Accent6 61 2 2" xfId="12438"/>
    <cellStyle name="40% - Accent6 61 2 2 2" xfId="23726"/>
    <cellStyle name="40% - Accent6 61 2 3" xfId="10444"/>
    <cellStyle name="40% - Accent6 61 2 3 2" xfId="21732"/>
    <cellStyle name="40% - Accent6 61 2 4" xfId="8450"/>
    <cellStyle name="40% - Accent6 61 2 4 2" xfId="19738"/>
    <cellStyle name="40% - Accent6 61 2 5" xfId="6456"/>
    <cellStyle name="40% - Accent6 61 2 5 2" xfId="17744"/>
    <cellStyle name="40% - Accent6 61 2 6" xfId="15750"/>
    <cellStyle name="40% - Accent6 61 3" xfId="11441"/>
    <cellStyle name="40% - Accent6 61 3 2" xfId="22729"/>
    <cellStyle name="40% - Accent6 61 4" xfId="9447"/>
    <cellStyle name="40% - Accent6 61 4 2" xfId="20735"/>
    <cellStyle name="40% - Accent6 61 5" xfId="7453"/>
    <cellStyle name="40% - Accent6 61 5 2" xfId="18741"/>
    <cellStyle name="40% - Accent6 61 6" xfId="5459"/>
    <cellStyle name="40% - Accent6 61 6 2" xfId="16747"/>
    <cellStyle name="40% - Accent6 61 7" xfId="14753"/>
    <cellStyle name="40% - Accent6 61 8" xfId="13439"/>
    <cellStyle name="40% - Accent6 62" xfId="1504"/>
    <cellStyle name="40% - Accent6 62 2" xfId="4460"/>
    <cellStyle name="40% - Accent6 62 2 2" xfId="12439"/>
    <cellStyle name="40% - Accent6 62 2 2 2" xfId="23727"/>
    <cellStyle name="40% - Accent6 62 2 3" xfId="10445"/>
    <cellStyle name="40% - Accent6 62 2 3 2" xfId="21733"/>
    <cellStyle name="40% - Accent6 62 2 4" xfId="8451"/>
    <cellStyle name="40% - Accent6 62 2 4 2" xfId="19739"/>
    <cellStyle name="40% - Accent6 62 2 5" xfId="6457"/>
    <cellStyle name="40% - Accent6 62 2 5 2" xfId="17745"/>
    <cellStyle name="40% - Accent6 62 2 6" xfId="15751"/>
    <cellStyle name="40% - Accent6 62 3" xfId="11442"/>
    <cellStyle name="40% - Accent6 62 3 2" xfId="22730"/>
    <cellStyle name="40% - Accent6 62 4" xfId="9448"/>
    <cellStyle name="40% - Accent6 62 4 2" xfId="20736"/>
    <cellStyle name="40% - Accent6 62 5" xfId="7454"/>
    <cellStyle name="40% - Accent6 62 5 2" xfId="18742"/>
    <cellStyle name="40% - Accent6 62 6" xfId="5460"/>
    <cellStyle name="40% - Accent6 62 6 2" xfId="16748"/>
    <cellStyle name="40% - Accent6 62 7" xfId="14754"/>
    <cellStyle name="40% - Accent6 62 8" xfId="13440"/>
    <cellStyle name="40% - Accent6 63" xfId="1505"/>
    <cellStyle name="40% - Accent6 63 2" xfId="4461"/>
    <cellStyle name="40% - Accent6 63 2 2" xfId="12440"/>
    <cellStyle name="40% - Accent6 63 2 2 2" xfId="23728"/>
    <cellStyle name="40% - Accent6 63 2 3" xfId="10446"/>
    <cellStyle name="40% - Accent6 63 2 3 2" xfId="21734"/>
    <cellStyle name="40% - Accent6 63 2 4" xfId="8452"/>
    <cellStyle name="40% - Accent6 63 2 4 2" xfId="19740"/>
    <cellStyle name="40% - Accent6 63 2 5" xfId="6458"/>
    <cellStyle name="40% - Accent6 63 2 5 2" xfId="17746"/>
    <cellStyle name="40% - Accent6 63 2 6" xfId="15752"/>
    <cellStyle name="40% - Accent6 63 3" xfId="11443"/>
    <cellStyle name="40% - Accent6 63 3 2" xfId="22731"/>
    <cellStyle name="40% - Accent6 63 4" xfId="9449"/>
    <cellStyle name="40% - Accent6 63 4 2" xfId="20737"/>
    <cellStyle name="40% - Accent6 63 5" xfId="7455"/>
    <cellStyle name="40% - Accent6 63 5 2" xfId="18743"/>
    <cellStyle name="40% - Accent6 63 6" xfId="5461"/>
    <cellStyle name="40% - Accent6 63 6 2" xfId="16749"/>
    <cellStyle name="40% - Accent6 63 7" xfId="14755"/>
    <cellStyle name="40% - Accent6 63 8" xfId="13441"/>
    <cellStyle name="40% - Accent6 64" xfId="1506"/>
    <cellStyle name="40% - Accent6 64 2" xfId="4462"/>
    <cellStyle name="40% - Accent6 64 2 2" xfId="12441"/>
    <cellStyle name="40% - Accent6 64 2 2 2" xfId="23729"/>
    <cellStyle name="40% - Accent6 64 2 3" xfId="10447"/>
    <cellStyle name="40% - Accent6 64 2 3 2" xfId="21735"/>
    <cellStyle name="40% - Accent6 64 2 4" xfId="8453"/>
    <cellStyle name="40% - Accent6 64 2 4 2" xfId="19741"/>
    <cellStyle name="40% - Accent6 64 2 5" xfId="6459"/>
    <cellStyle name="40% - Accent6 64 2 5 2" xfId="17747"/>
    <cellStyle name="40% - Accent6 64 2 6" xfId="15753"/>
    <cellStyle name="40% - Accent6 64 3" xfId="11444"/>
    <cellStyle name="40% - Accent6 64 3 2" xfId="22732"/>
    <cellStyle name="40% - Accent6 64 4" xfId="9450"/>
    <cellStyle name="40% - Accent6 64 4 2" xfId="20738"/>
    <cellStyle name="40% - Accent6 64 5" xfId="7456"/>
    <cellStyle name="40% - Accent6 64 5 2" xfId="18744"/>
    <cellStyle name="40% - Accent6 64 6" xfId="5462"/>
    <cellStyle name="40% - Accent6 64 6 2" xfId="16750"/>
    <cellStyle name="40% - Accent6 64 7" xfId="14756"/>
    <cellStyle name="40% - Accent6 64 8" xfId="13442"/>
    <cellStyle name="40% - Accent6 65" xfId="1507"/>
    <cellStyle name="40% - Accent6 65 2" xfId="4463"/>
    <cellStyle name="40% - Accent6 65 2 2" xfId="12442"/>
    <cellStyle name="40% - Accent6 65 2 2 2" xfId="23730"/>
    <cellStyle name="40% - Accent6 65 2 3" xfId="10448"/>
    <cellStyle name="40% - Accent6 65 2 3 2" xfId="21736"/>
    <cellStyle name="40% - Accent6 65 2 4" xfId="8454"/>
    <cellStyle name="40% - Accent6 65 2 4 2" xfId="19742"/>
    <cellStyle name="40% - Accent6 65 2 5" xfId="6460"/>
    <cellStyle name="40% - Accent6 65 2 5 2" xfId="17748"/>
    <cellStyle name="40% - Accent6 65 2 6" xfId="15754"/>
    <cellStyle name="40% - Accent6 65 3" xfId="11445"/>
    <cellStyle name="40% - Accent6 65 3 2" xfId="22733"/>
    <cellStyle name="40% - Accent6 65 4" xfId="9451"/>
    <cellStyle name="40% - Accent6 65 4 2" xfId="20739"/>
    <cellStyle name="40% - Accent6 65 5" xfId="7457"/>
    <cellStyle name="40% - Accent6 65 5 2" xfId="18745"/>
    <cellStyle name="40% - Accent6 65 6" xfId="5463"/>
    <cellStyle name="40% - Accent6 65 6 2" xfId="16751"/>
    <cellStyle name="40% - Accent6 65 7" xfId="14757"/>
    <cellStyle name="40% - Accent6 65 8" xfId="13443"/>
    <cellStyle name="40% - Accent6 66" xfId="1508"/>
    <cellStyle name="40% - Accent6 66 2" xfId="4464"/>
    <cellStyle name="40% - Accent6 66 2 2" xfId="12443"/>
    <cellStyle name="40% - Accent6 66 2 2 2" xfId="23731"/>
    <cellStyle name="40% - Accent6 66 2 3" xfId="10449"/>
    <cellStyle name="40% - Accent6 66 2 3 2" xfId="21737"/>
    <cellStyle name="40% - Accent6 66 2 4" xfId="8455"/>
    <cellStyle name="40% - Accent6 66 2 4 2" xfId="19743"/>
    <cellStyle name="40% - Accent6 66 2 5" xfId="6461"/>
    <cellStyle name="40% - Accent6 66 2 5 2" xfId="17749"/>
    <cellStyle name="40% - Accent6 66 2 6" xfId="15755"/>
    <cellStyle name="40% - Accent6 66 3" xfId="11446"/>
    <cellStyle name="40% - Accent6 66 3 2" xfId="22734"/>
    <cellStyle name="40% - Accent6 66 4" xfId="9452"/>
    <cellStyle name="40% - Accent6 66 4 2" xfId="20740"/>
    <cellStyle name="40% - Accent6 66 5" xfId="7458"/>
    <cellStyle name="40% - Accent6 66 5 2" xfId="18746"/>
    <cellStyle name="40% - Accent6 66 6" xfId="5464"/>
    <cellStyle name="40% - Accent6 66 6 2" xfId="16752"/>
    <cellStyle name="40% - Accent6 66 7" xfId="14758"/>
    <cellStyle name="40% - Accent6 66 8" xfId="13444"/>
    <cellStyle name="40% - Accent6 67" xfId="1509"/>
    <cellStyle name="40% - Accent6 67 2" xfId="4465"/>
    <cellStyle name="40% - Accent6 67 2 2" xfId="12444"/>
    <cellStyle name="40% - Accent6 67 2 2 2" xfId="23732"/>
    <cellStyle name="40% - Accent6 67 2 3" xfId="10450"/>
    <cellStyle name="40% - Accent6 67 2 3 2" xfId="21738"/>
    <cellStyle name="40% - Accent6 67 2 4" xfId="8456"/>
    <cellStyle name="40% - Accent6 67 2 4 2" xfId="19744"/>
    <cellStyle name="40% - Accent6 67 2 5" xfId="6462"/>
    <cellStyle name="40% - Accent6 67 2 5 2" xfId="17750"/>
    <cellStyle name="40% - Accent6 67 2 6" xfId="15756"/>
    <cellStyle name="40% - Accent6 67 3" xfId="11447"/>
    <cellStyle name="40% - Accent6 67 3 2" xfId="22735"/>
    <cellStyle name="40% - Accent6 67 4" xfId="9453"/>
    <cellStyle name="40% - Accent6 67 4 2" xfId="20741"/>
    <cellStyle name="40% - Accent6 67 5" xfId="7459"/>
    <cellStyle name="40% - Accent6 67 5 2" xfId="18747"/>
    <cellStyle name="40% - Accent6 67 6" xfId="5465"/>
    <cellStyle name="40% - Accent6 67 6 2" xfId="16753"/>
    <cellStyle name="40% - Accent6 67 7" xfId="14759"/>
    <cellStyle name="40% - Accent6 67 8" xfId="13445"/>
    <cellStyle name="40% - Accent6 68" xfId="1510"/>
    <cellStyle name="40% - Accent6 68 2" xfId="4466"/>
    <cellStyle name="40% - Accent6 68 2 2" xfId="12445"/>
    <cellStyle name="40% - Accent6 68 2 2 2" xfId="23733"/>
    <cellStyle name="40% - Accent6 68 2 3" xfId="10451"/>
    <cellStyle name="40% - Accent6 68 2 3 2" xfId="21739"/>
    <cellStyle name="40% - Accent6 68 2 4" xfId="8457"/>
    <cellStyle name="40% - Accent6 68 2 4 2" xfId="19745"/>
    <cellStyle name="40% - Accent6 68 2 5" xfId="6463"/>
    <cellStyle name="40% - Accent6 68 2 5 2" xfId="17751"/>
    <cellStyle name="40% - Accent6 68 2 6" xfId="15757"/>
    <cellStyle name="40% - Accent6 68 3" xfId="11448"/>
    <cellStyle name="40% - Accent6 68 3 2" xfId="22736"/>
    <cellStyle name="40% - Accent6 68 4" xfId="9454"/>
    <cellStyle name="40% - Accent6 68 4 2" xfId="20742"/>
    <cellStyle name="40% - Accent6 68 5" xfId="7460"/>
    <cellStyle name="40% - Accent6 68 5 2" xfId="18748"/>
    <cellStyle name="40% - Accent6 68 6" xfId="5466"/>
    <cellStyle name="40% - Accent6 68 6 2" xfId="16754"/>
    <cellStyle name="40% - Accent6 68 7" xfId="14760"/>
    <cellStyle name="40% - Accent6 68 8" xfId="13446"/>
    <cellStyle name="40% - Accent6 69" xfId="1511"/>
    <cellStyle name="40% - Accent6 69 2" xfId="4467"/>
    <cellStyle name="40% - Accent6 69 2 2" xfId="12446"/>
    <cellStyle name="40% - Accent6 69 2 2 2" xfId="23734"/>
    <cellStyle name="40% - Accent6 69 2 3" xfId="10452"/>
    <cellStyle name="40% - Accent6 69 2 3 2" xfId="21740"/>
    <cellStyle name="40% - Accent6 69 2 4" xfId="8458"/>
    <cellStyle name="40% - Accent6 69 2 4 2" xfId="19746"/>
    <cellStyle name="40% - Accent6 69 2 5" xfId="6464"/>
    <cellStyle name="40% - Accent6 69 2 5 2" xfId="17752"/>
    <cellStyle name="40% - Accent6 69 2 6" xfId="15758"/>
    <cellStyle name="40% - Accent6 69 3" xfId="11449"/>
    <cellStyle name="40% - Accent6 69 3 2" xfId="22737"/>
    <cellStyle name="40% - Accent6 69 4" xfId="9455"/>
    <cellStyle name="40% - Accent6 69 4 2" xfId="20743"/>
    <cellStyle name="40% - Accent6 69 5" xfId="7461"/>
    <cellStyle name="40% - Accent6 69 5 2" xfId="18749"/>
    <cellStyle name="40% - Accent6 69 6" xfId="5467"/>
    <cellStyle name="40% - Accent6 69 6 2" xfId="16755"/>
    <cellStyle name="40% - Accent6 69 7" xfId="14761"/>
    <cellStyle name="40% - Accent6 69 8" xfId="13447"/>
    <cellStyle name="40% - Accent6 7" xfId="1512"/>
    <cellStyle name="40% - Accent6 7 10" xfId="24630"/>
    <cellStyle name="40% - Accent6 7 11" xfId="25020"/>
    <cellStyle name="40% - Accent6 7 2" xfId="4468"/>
    <cellStyle name="40% - Accent6 7 2 2" xfId="12447"/>
    <cellStyle name="40% - Accent6 7 2 2 2" xfId="23735"/>
    <cellStyle name="40% - Accent6 7 2 3" xfId="10453"/>
    <cellStyle name="40% - Accent6 7 2 3 2" xfId="21741"/>
    <cellStyle name="40% - Accent6 7 2 4" xfId="8459"/>
    <cellStyle name="40% - Accent6 7 2 4 2" xfId="19747"/>
    <cellStyle name="40% - Accent6 7 2 5" xfId="6465"/>
    <cellStyle name="40% - Accent6 7 2 5 2" xfId="17753"/>
    <cellStyle name="40% - Accent6 7 2 6" xfId="15759"/>
    <cellStyle name="40% - Accent6 7 2 7" xfId="24391"/>
    <cellStyle name="40% - Accent6 7 2 8" xfId="24855"/>
    <cellStyle name="40% - Accent6 7 2 9" xfId="25222"/>
    <cellStyle name="40% - Accent6 7 3" xfId="11450"/>
    <cellStyle name="40% - Accent6 7 3 2" xfId="22738"/>
    <cellStyle name="40% - Accent6 7 4" xfId="9456"/>
    <cellStyle name="40% - Accent6 7 4 2" xfId="20744"/>
    <cellStyle name="40% - Accent6 7 5" xfId="7462"/>
    <cellStyle name="40% - Accent6 7 5 2" xfId="18750"/>
    <cellStyle name="40% - Accent6 7 6" xfId="5468"/>
    <cellStyle name="40% - Accent6 7 6 2" xfId="16756"/>
    <cellStyle name="40% - Accent6 7 7" xfId="14762"/>
    <cellStyle name="40% - Accent6 7 8" xfId="13448"/>
    <cellStyle name="40% - Accent6 7 9" xfId="24003"/>
    <cellStyle name="40% - Accent6 70" xfId="1513"/>
    <cellStyle name="40% - Accent6 70 2" xfId="4469"/>
    <cellStyle name="40% - Accent6 70 2 2" xfId="12448"/>
    <cellStyle name="40% - Accent6 70 2 2 2" xfId="23736"/>
    <cellStyle name="40% - Accent6 70 2 3" xfId="10454"/>
    <cellStyle name="40% - Accent6 70 2 3 2" xfId="21742"/>
    <cellStyle name="40% - Accent6 70 2 4" xfId="8460"/>
    <cellStyle name="40% - Accent6 70 2 4 2" xfId="19748"/>
    <cellStyle name="40% - Accent6 70 2 5" xfId="6466"/>
    <cellStyle name="40% - Accent6 70 2 5 2" xfId="17754"/>
    <cellStyle name="40% - Accent6 70 2 6" xfId="15760"/>
    <cellStyle name="40% - Accent6 70 3" xfId="11451"/>
    <cellStyle name="40% - Accent6 70 3 2" xfId="22739"/>
    <cellStyle name="40% - Accent6 70 4" xfId="9457"/>
    <cellStyle name="40% - Accent6 70 4 2" xfId="20745"/>
    <cellStyle name="40% - Accent6 70 5" xfId="7463"/>
    <cellStyle name="40% - Accent6 70 5 2" xfId="18751"/>
    <cellStyle name="40% - Accent6 70 6" xfId="5469"/>
    <cellStyle name="40% - Accent6 70 6 2" xfId="16757"/>
    <cellStyle name="40% - Accent6 70 7" xfId="14763"/>
    <cellStyle name="40% - Accent6 70 8" xfId="13449"/>
    <cellStyle name="40% - Accent6 71" xfId="1514"/>
    <cellStyle name="40% - Accent6 71 2" xfId="4470"/>
    <cellStyle name="40% - Accent6 71 2 2" xfId="12449"/>
    <cellStyle name="40% - Accent6 71 2 2 2" xfId="23737"/>
    <cellStyle name="40% - Accent6 71 2 3" xfId="10455"/>
    <cellStyle name="40% - Accent6 71 2 3 2" xfId="21743"/>
    <cellStyle name="40% - Accent6 71 2 4" xfId="8461"/>
    <cellStyle name="40% - Accent6 71 2 4 2" xfId="19749"/>
    <cellStyle name="40% - Accent6 71 2 5" xfId="6467"/>
    <cellStyle name="40% - Accent6 71 2 5 2" xfId="17755"/>
    <cellStyle name="40% - Accent6 71 2 6" xfId="15761"/>
    <cellStyle name="40% - Accent6 71 3" xfId="11452"/>
    <cellStyle name="40% - Accent6 71 3 2" xfId="22740"/>
    <cellStyle name="40% - Accent6 71 4" xfId="9458"/>
    <cellStyle name="40% - Accent6 71 4 2" xfId="20746"/>
    <cellStyle name="40% - Accent6 71 5" xfId="7464"/>
    <cellStyle name="40% - Accent6 71 5 2" xfId="18752"/>
    <cellStyle name="40% - Accent6 71 6" xfId="5470"/>
    <cellStyle name="40% - Accent6 71 6 2" xfId="16758"/>
    <cellStyle name="40% - Accent6 71 7" xfId="14764"/>
    <cellStyle name="40% - Accent6 71 8" xfId="13450"/>
    <cellStyle name="40% - Accent6 72" xfId="1515"/>
    <cellStyle name="40% - Accent6 72 2" xfId="4471"/>
    <cellStyle name="40% - Accent6 72 2 2" xfId="12450"/>
    <cellStyle name="40% - Accent6 72 2 2 2" xfId="23738"/>
    <cellStyle name="40% - Accent6 72 2 3" xfId="10456"/>
    <cellStyle name="40% - Accent6 72 2 3 2" xfId="21744"/>
    <cellStyle name="40% - Accent6 72 2 4" xfId="8462"/>
    <cellStyle name="40% - Accent6 72 2 4 2" xfId="19750"/>
    <cellStyle name="40% - Accent6 72 2 5" xfId="6468"/>
    <cellStyle name="40% - Accent6 72 2 5 2" xfId="17756"/>
    <cellStyle name="40% - Accent6 72 2 6" xfId="15762"/>
    <cellStyle name="40% - Accent6 72 3" xfId="11453"/>
    <cellStyle name="40% - Accent6 72 3 2" xfId="22741"/>
    <cellStyle name="40% - Accent6 72 4" xfId="9459"/>
    <cellStyle name="40% - Accent6 72 4 2" xfId="20747"/>
    <cellStyle name="40% - Accent6 72 5" xfId="7465"/>
    <cellStyle name="40% - Accent6 72 5 2" xfId="18753"/>
    <cellStyle name="40% - Accent6 72 6" xfId="5471"/>
    <cellStyle name="40% - Accent6 72 6 2" xfId="16759"/>
    <cellStyle name="40% - Accent6 72 7" xfId="14765"/>
    <cellStyle name="40% - Accent6 72 8" xfId="13451"/>
    <cellStyle name="40% - Accent6 8" xfId="1516"/>
    <cellStyle name="40% - Accent6 8 2" xfId="4472"/>
    <cellStyle name="40% - Accent6 8 2 2" xfId="12451"/>
    <cellStyle name="40% - Accent6 8 2 2 2" xfId="23739"/>
    <cellStyle name="40% - Accent6 8 2 3" xfId="10457"/>
    <cellStyle name="40% - Accent6 8 2 3 2" xfId="21745"/>
    <cellStyle name="40% - Accent6 8 2 4" xfId="8463"/>
    <cellStyle name="40% - Accent6 8 2 4 2" xfId="19751"/>
    <cellStyle name="40% - Accent6 8 2 5" xfId="6469"/>
    <cellStyle name="40% - Accent6 8 2 5 2" xfId="17757"/>
    <cellStyle name="40% - Accent6 8 2 6" xfId="15763"/>
    <cellStyle name="40% - Accent6 8 3" xfId="11454"/>
    <cellStyle name="40% - Accent6 8 3 2" xfId="22742"/>
    <cellStyle name="40% - Accent6 8 4" xfId="9460"/>
    <cellStyle name="40% - Accent6 8 4 2" xfId="20748"/>
    <cellStyle name="40% - Accent6 8 5" xfId="7466"/>
    <cellStyle name="40% - Accent6 8 5 2" xfId="18754"/>
    <cellStyle name="40% - Accent6 8 6" xfId="5472"/>
    <cellStyle name="40% - Accent6 8 6 2" xfId="16760"/>
    <cellStyle name="40% - Accent6 8 7" xfId="14766"/>
    <cellStyle name="40% - Accent6 8 8" xfId="13452"/>
    <cellStyle name="40% - Accent6 9" xfId="1517"/>
    <cellStyle name="40% - Accent6 9 2" xfId="4473"/>
    <cellStyle name="40% - Accent6 9 2 2" xfId="12452"/>
    <cellStyle name="40% - Accent6 9 2 2 2" xfId="23740"/>
    <cellStyle name="40% - Accent6 9 2 3" xfId="10458"/>
    <cellStyle name="40% - Accent6 9 2 3 2" xfId="21746"/>
    <cellStyle name="40% - Accent6 9 2 4" xfId="8464"/>
    <cellStyle name="40% - Accent6 9 2 4 2" xfId="19752"/>
    <cellStyle name="40% - Accent6 9 2 5" xfId="6470"/>
    <cellStyle name="40% - Accent6 9 2 5 2" xfId="17758"/>
    <cellStyle name="40% - Accent6 9 2 6" xfId="15764"/>
    <cellStyle name="40% - Accent6 9 3" xfId="11455"/>
    <cellStyle name="40% - Accent6 9 3 2" xfId="22743"/>
    <cellStyle name="40% - Accent6 9 4" xfId="9461"/>
    <cellStyle name="40% - Accent6 9 4 2" xfId="20749"/>
    <cellStyle name="40% - Accent6 9 5" xfId="7467"/>
    <cellStyle name="40% - Accent6 9 5 2" xfId="18755"/>
    <cellStyle name="40% - Accent6 9 6" xfId="5473"/>
    <cellStyle name="40% - Accent6 9 6 2" xfId="16761"/>
    <cellStyle name="40% - Accent6 9 7" xfId="14767"/>
    <cellStyle name="40% - Accent6 9 8" xfId="13453"/>
    <cellStyle name="60% - Accent1 10" xfId="1518"/>
    <cellStyle name="60% - Accent1 11" xfId="1519"/>
    <cellStyle name="60% - Accent1 12" xfId="1520"/>
    <cellStyle name="60% - Accent1 13" xfId="1521"/>
    <cellStyle name="60% - Accent1 14" xfId="1522"/>
    <cellStyle name="60% - Accent1 15" xfId="1523"/>
    <cellStyle name="60% - Accent1 16" xfId="1524"/>
    <cellStyle name="60% - Accent1 17" xfId="1525"/>
    <cellStyle name="60% - Accent1 18" xfId="1526"/>
    <cellStyle name="60% - Accent1 19" xfId="1527"/>
    <cellStyle name="60% - Accent1 2" xfId="1528"/>
    <cellStyle name="60% - Accent1 20" xfId="1529"/>
    <cellStyle name="60% - Accent1 21" xfId="1530"/>
    <cellStyle name="60% - Accent1 22" xfId="1531"/>
    <cellStyle name="60% - Accent1 23" xfId="1532"/>
    <cellStyle name="60% - Accent1 24" xfId="1533"/>
    <cellStyle name="60% - Accent1 25" xfId="1534"/>
    <cellStyle name="60% - Accent1 26" xfId="1535"/>
    <cellStyle name="60% - Accent1 27" xfId="1536"/>
    <cellStyle name="60% - Accent1 28" xfId="1537"/>
    <cellStyle name="60% - Accent1 29" xfId="1538"/>
    <cellStyle name="60% - Accent1 3" xfId="1539"/>
    <cellStyle name="60% - Accent1 30" xfId="1540"/>
    <cellStyle name="60% - Accent1 31" xfId="1541"/>
    <cellStyle name="60% - Accent1 32" xfId="1542"/>
    <cellStyle name="60% - Accent1 33" xfId="1543"/>
    <cellStyle name="60% - Accent1 34" xfId="1544"/>
    <cellStyle name="60% - Accent1 35" xfId="1545"/>
    <cellStyle name="60% - Accent1 36" xfId="1546"/>
    <cellStyle name="60% - Accent1 37" xfId="1547"/>
    <cellStyle name="60% - Accent1 38" xfId="1548"/>
    <cellStyle name="60% - Accent1 39" xfId="1549"/>
    <cellStyle name="60% - Accent1 4" xfId="1550"/>
    <cellStyle name="60% - Accent1 40" xfId="1551"/>
    <cellStyle name="60% - Accent1 41" xfId="1552"/>
    <cellStyle name="60% - Accent1 42" xfId="1553"/>
    <cellStyle name="60% - Accent1 43" xfId="1554"/>
    <cellStyle name="60% - Accent1 44" xfId="1555"/>
    <cellStyle name="60% - Accent1 45" xfId="1556"/>
    <cellStyle name="60% - Accent1 46" xfId="1557"/>
    <cellStyle name="60% - Accent1 47" xfId="1558"/>
    <cellStyle name="60% - Accent1 48" xfId="1559"/>
    <cellStyle name="60% - Accent1 49" xfId="1560"/>
    <cellStyle name="60% - Accent1 5" xfId="1561"/>
    <cellStyle name="60% - Accent1 50" xfId="1562"/>
    <cellStyle name="60% - Accent1 51" xfId="1563"/>
    <cellStyle name="60% - Accent1 52" xfId="1564"/>
    <cellStyle name="60% - Accent1 53" xfId="1565"/>
    <cellStyle name="60% - Accent1 54" xfId="1566"/>
    <cellStyle name="60% - Accent1 55" xfId="1567"/>
    <cellStyle name="60% - Accent1 56" xfId="1568"/>
    <cellStyle name="60% - Accent1 57" xfId="1569"/>
    <cellStyle name="60% - Accent1 58" xfId="1570"/>
    <cellStyle name="60% - Accent1 59" xfId="1571"/>
    <cellStyle name="60% - Accent1 6" xfId="1572"/>
    <cellStyle name="60% - Accent1 60" xfId="1573"/>
    <cellStyle name="60% - Accent1 61" xfId="1574"/>
    <cellStyle name="60% - Accent1 62" xfId="1575"/>
    <cellStyle name="60% - Accent1 63" xfId="1576"/>
    <cellStyle name="60% - Accent1 64" xfId="1577"/>
    <cellStyle name="60% - Accent1 65" xfId="1578"/>
    <cellStyle name="60% - Accent1 66" xfId="1579"/>
    <cellStyle name="60% - Accent1 67" xfId="1580"/>
    <cellStyle name="60% - Accent1 68" xfId="1581"/>
    <cellStyle name="60% - Accent1 69" xfId="1582"/>
    <cellStyle name="60% - Accent1 7" xfId="1583"/>
    <cellStyle name="60% - Accent1 70" xfId="1584"/>
    <cellStyle name="60% - Accent1 71" xfId="1585"/>
    <cellStyle name="60% - Accent1 72" xfId="1586"/>
    <cellStyle name="60% - Accent1 8" xfId="1587"/>
    <cellStyle name="60% - Accent1 9" xfId="1588"/>
    <cellStyle name="60% - Accent2 10" xfId="1589"/>
    <cellStyle name="60% - Accent2 11" xfId="1590"/>
    <cellStyle name="60% - Accent2 12" xfId="1591"/>
    <cellStyle name="60% - Accent2 13" xfId="1592"/>
    <cellStyle name="60% - Accent2 14" xfId="1593"/>
    <cellStyle name="60% - Accent2 15" xfId="1594"/>
    <cellStyle name="60% - Accent2 16" xfId="1595"/>
    <cellStyle name="60% - Accent2 17" xfId="1596"/>
    <cellStyle name="60% - Accent2 18" xfId="1597"/>
    <cellStyle name="60% - Accent2 19" xfId="1598"/>
    <cellStyle name="60% - Accent2 2" xfId="1599"/>
    <cellStyle name="60% - Accent2 20" xfId="1600"/>
    <cellStyle name="60% - Accent2 21" xfId="1601"/>
    <cellStyle name="60% - Accent2 22" xfId="1602"/>
    <cellStyle name="60% - Accent2 23" xfId="1603"/>
    <cellStyle name="60% - Accent2 24" xfId="1604"/>
    <cellStyle name="60% - Accent2 25" xfId="1605"/>
    <cellStyle name="60% - Accent2 26" xfId="1606"/>
    <cellStyle name="60% - Accent2 27" xfId="1607"/>
    <cellStyle name="60% - Accent2 28" xfId="1608"/>
    <cellStyle name="60% - Accent2 29" xfId="1609"/>
    <cellStyle name="60% - Accent2 3" xfId="1610"/>
    <cellStyle name="60% - Accent2 30" xfId="1611"/>
    <cellStyle name="60% - Accent2 31" xfId="1612"/>
    <cellStyle name="60% - Accent2 32" xfId="1613"/>
    <cellStyle name="60% - Accent2 33" xfId="1614"/>
    <cellStyle name="60% - Accent2 34" xfId="1615"/>
    <cellStyle name="60% - Accent2 35" xfId="1616"/>
    <cellStyle name="60% - Accent2 36" xfId="1617"/>
    <cellStyle name="60% - Accent2 37" xfId="1618"/>
    <cellStyle name="60% - Accent2 38" xfId="1619"/>
    <cellStyle name="60% - Accent2 39" xfId="1620"/>
    <cellStyle name="60% - Accent2 4" xfId="1621"/>
    <cellStyle name="60% - Accent2 40" xfId="1622"/>
    <cellStyle name="60% - Accent2 41" xfId="1623"/>
    <cellStyle name="60% - Accent2 42" xfId="1624"/>
    <cellStyle name="60% - Accent2 43" xfId="1625"/>
    <cellStyle name="60% - Accent2 44" xfId="1626"/>
    <cellStyle name="60% - Accent2 45" xfId="1627"/>
    <cellStyle name="60% - Accent2 46" xfId="1628"/>
    <cellStyle name="60% - Accent2 47" xfId="1629"/>
    <cellStyle name="60% - Accent2 48" xfId="1630"/>
    <cellStyle name="60% - Accent2 49" xfId="1631"/>
    <cellStyle name="60% - Accent2 5" xfId="1632"/>
    <cellStyle name="60% - Accent2 50" xfId="1633"/>
    <cellStyle name="60% - Accent2 51" xfId="1634"/>
    <cellStyle name="60% - Accent2 52" xfId="1635"/>
    <cellStyle name="60% - Accent2 53" xfId="1636"/>
    <cellStyle name="60% - Accent2 54" xfId="1637"/>
    <cellStyle name="60% - Accent2 55" xfId="1638"/>
    <cellStyle name="60% - Accent2 56" xfId="1639"/>
    <cellStyle name="60% - Accent2 57" xfId="1640"/>
    <cellStyle name="60% - Accent2 58" xfId="1641"/>
    <cellStyle name="60% - Accent2 59" xfId="1642"/>
    <cellStyle name="60% - Accent2 6" xfId="1643"/>
    <cellStyle name="60% - Accent2 60" xfId="1644"/>
    <cellStyle name="60% - Accent2 61" xfId="1645"/>
    <cellStyle name="60% - Accent2 62" xfId="1646"/>
    <cellStyle name="60% - Accent2 63" xfId="1647"/>
    <cellStyle name="60% - Accent2 64" xfId="1648"/>
    <cellStyle name="60% - Accent2 65" xfId="1649"/>
    <cellStyle name="60% - Accent2 66" xfId="1650"/>
    <cellStyle name="60% - Accent2 67" xfId="1651"/>
    <cellStyle name="60% - Accent2 68" xfId="1652"/>
    <cellStyle name="60% - Accent2 69" xfId="1653"/>
    <cellStyle name="60% - Accent2 7" xfId="1654"/>
    <cellStyle name="60% - Accent2 70" xfId="1655"/>
    <cellStyle name="60% - Accent2 71" xfId="1656"/>
    <cellStyle name="60% - Accent2 72" xfId="1657"/>
    <cellStyle name="60% - Accent2 8" xfId="1658"/>
    <cellStyle name="60% - Accent2 9" xfId="1659"/>
    <cellStyle name="60% - Accent3 10" xfId="1660"/>
    <cellStyle name="60% - Accent3 11" xfId="1661"/>
    <cellStyle name="60% - Accent3 12" xfId="1662"/>
    <cellStyle name="60% - Accent3 13" xfId="1663"/>
    <cellStyle name="60% - Accent3 14" xfId="1664"/>
    <cellStyle name="60% - Accent3 15" xfId="1665"/>
    <cellStyle name="60% - Accent3 16" xfId="1666"/>
    <cellStyle name="60% - Accent3 17" xfId="1667"/>
    <cellStyle name="60% - Accent3 18" xfId="1668"/>
    <cellStyle name="60% - Accent3 19" xfId="1669"/>
    <cellStyle name="60% - Accent3 2" xfId="1670"/>
    <cellStyle name="60% - Accent3 20" xfId="1671"/>
    <cellStyle name="60% - Accent3 21" xfId="1672"/>
    <cellStyle name="60% - Accent3 22" xfId="1673"/>
    <cellStyle name="60% - Accent3 23" xfId="1674"/>
    <cellStyle name="60% - Accent3 24" xfId="1675"/>
    <cellStyle name="60% - Accent3 25" xfId="1676"/>
    <cellStyle name="60% - Accent3 26" xfId="1677"/>
    <cellStyle name="60% - Accent3 27" xfId="1678"/>
    <cellStyle name="60% - Accent3 28" xfId="1679"/>
    <cellStyle name="60% - Accent3 29" xfId="1680"/>
    <cellStyle name="60% - Accent3 3" xfId="1681"/>
    <cellStyle name="60% - Accent3 30" xfId="1682"/>
    <cellStyle name="60% - Accent3 31" xfId="1683"/>
    <cellStyle name="60% - Accent3 32" xfId="1684"/>
    <cellStyle name="60% - Accent3 33" xfId="1685"/>
    <cellStyle name="60% - Accent3 34" xfId="1686"/>
    <cellStyle name="60% - Accent3 35" xfId="1687"/>
    <cellStyle name="60% - Accent3 36" xfId="1688"/>
    <cellStyle name="60% - Accent3 37" xfId="1689"/>
    <cellStyle name="60% - Accent3 38" xfId="1690"/>
    <cellStyle name="60% - Accent3 39" xfId="1691"/>
    <cellStyle name="60% - Accent3 4" xfId="1692"/>
    <cellStyle name="60% - Accent3 40" xfId="1693"/>
    <cellStyle name="60% - Accent3 41" xfId="1694"/>
    <cellStyle name="60% - Accent3 42" xfId="1695"/>
    <cellStyle name="60% - Accent3 43" xfId="1696"/>
    <cellStyle name="60% - Accent3 44" xfId="1697"/>
    <cellStyle name="60% - Accent3 45" xfId="1698"/>
    <cellStyle name="60% - Accent3 46" xfId="1699"/>
    <cellStyle name="60% - Accent3 47" xfId="1700"/>
    <cellStyle name="60% - Accent3 48" xfId="1701"/>
    <cellStyle name="60% - Accent3 49" xfId="1702"/>
    <cellStyle name="60% - Accent3 5" xfId="1703"/>
    <cellStyle name="60% - Accent3 50" xfId="1704"/>
    <cellStyle name="60% - Accent3 51" xfId="1705"/>
    <cellStyle name="60% - Accent3 52" xfId="1706"/>
    <cellStyle name="60% - Accent3 53" xfId="1707"/>
    <cellStyle name="60% - Accent3 54" xfId="1708"/>
    <cellStyle name="60% - Accent3 55" xfId="1709"/>
    <cellStyle name="60% - Accent3 56" xfId="1710"/>
    <cellStyle name="60% - Accent3 57" xfId="1711"/>
    <cellStyle name="60% - Accent3 58" xfId="1712"/>
    <cellStyle name="60% - Accent3 59" xfId="1713"/>
    <cellStyle name="60% - Accent3 6" xfId="1714"/>
    <cellStyle name="60% - Accent3 60" xfId="1715"/>
    <cellStyle name="60% - Accent3 61" xfId="1716"/>
    <cellStyle name="60% - Accent3 62" xfId="1717"/>
    <cellStyle name="60% - Accent3 63" xfId="1718"/>
    <cellStyle name="60% - Accent3 64" xfId="1719"/>
    <cellStyle name="60% - Accent3 65" xfId="1720"/>
    <cellStyle name="60% - Accent3 66" xfId="1721"/>
    <cellStyle name="60% - Accent3 67" xfId="1722"/>
    <cellStyle name="60% - Accent3 68" xfId="1723"/>
    <cellStyle name="60% - Accent3 69" xfId="1724"/>
    <cellStyle name="60% - Accent3 7" xfId="1725"/>
    <cellStyle name="60% - Accent3 70" xfId="1726"/>
    <cellStyle name="60% - Accent3 71" xfId="1727"/>
    <cellStyle name="60% - Accent3 72" xfId="1728"/>
    <cellStyle name="60% - Accent3 8" xfId="1729"/>
    <cellStyle name="60% - Accent3 9" xfId="1730"/>
    <cellStyle name="60% - Accent4 10" xfId="1731"/>
    <cellStyle name="60% - Accent4 11" xfId="1732"/>
    <cellStyle name="60% - Accent4 12" xfId="1733"/>
    <cellStyle name="60% - Accent4 13" xfId="1734"/>
    <cellStyle name="60% - Accent4 14" xfId="1735"/>
    <cellStyle name="60% - Accent4 15" xfId="1736"/>
    <cellStyle name="60% - Accent4 16" xfId="1737"/>
    <cellStyle name="60% - Accent4 17" xfId="1738"/>
    <cellStyle name="60% - Accent4 18" xfId="1739"/>
    <cellStyle name="60% - Accent4 19" xfId="1740"/>
    <cellStyle name="60% - Accent4 2" xfId="1741"/>
    <cellStyle name="60% - Accent4 20" xfId="1742"/>
    <cellStyle name="60% - Accent4 21" xfId="1743"/>
    <cellStyle name="60% - Accent4 22" xfId="1744"/>
    <cellStyle name="60% - Accent4 23" xfId="1745"/>
    <cellStyle name="60% - Accent4 24" xfId="1746"/>
    <cellStyle name="60% - Accent4 25" xfId="1747"/>
    <cellStyle name="60% - Accent4 26" xfId="1748"/>
    <cellStyle name="60% - Accent4 27" xfId="1749"/>
    <cellStyle name="60% - Accent4 28" xfId="1750"/>
    <cellStyle name="60% - Accent4 29" xfId="1751"/>
    <cellStyle name="60% - Accent4 3" xfId="1752"/>
    <cellStyle name="60% - Accent4 30" xfId="1753"/>
    <cellStyle name="60% - Accent4 31" xfId="1754"/>
    <cellStyle name="60% - Accent4 32" xfId="1755"/>
    <cellStyle name="60% - Accent4 33" xfId="1756"/>
    <cellStyle name="60% - Accent4 34" xfId="1757"/>
    <cellStyle name="60% - Accent4 35" xfId="1758"/>
    <cellStyle name="60% - Accent4 36" xfId="1759"/>
    <cellStyle name="60% - Accent4 37" xfId="1760"/>
    <cellStyle name="60% - Accent4 38" xfId="1761"/>
    <cellStyle name="60% - Accent4 39" xfId="1762"/>
    <cellStyle name="60% - Accent4 4" xfId="1763"/>
    <cellStyle name="60% - Accent4 40" xfId="1764"/>
    <cellStyle name="60% - Accent4 41" xfId="1765"/>
    <cellStyle name="60% - Accent4 42" xfId="1766"/>
    <cellStyle name="60% - Accent4 43" xfId="1767"/>
    <cellStyle name="60% - Accent4 44" xfId="1768"/>
    <cellStyle name="60% - Accent4 45" xfId="1769"/>
    <cellStyle name="60% - Accent4 46" xfId="1770"/>
    <cellStyle name="60% - Accent4 47" xfId="1771"/>
    <cellStyle name="60% - Accent4 48" xfId="1772"/>
    <cellStyle name="60% - Accent4 49" xfId="1773"/>
    <cellStyle name="60% - Accent4 5" xfId="1774"/>
    <cellStyle name="60% - Accent4 50" xfId="1775"/>
    <cellStyle name="60% - Accent4 51" xfId="1776"/>
    <cellStyle name="60% - Accent4 52" xfId="1777"/>
    <cellStyle name="60% - Accent4 53" xfId="1778"/>
    <cellStyle name="60% - Accent4 54" xfId="1779"/>
    <cellStyle name="60% - Accent4 55" xfId="1780"/>
    <cellStyle name="60% - Accent4 56" xfId="1781"/>
    <cellStyle name="60% - Accent4 57" xfId="1782"/>
    <cellStyle name="60% - Accent4 58" xfId="1783"/>
    <cellStyle name="60% - Accent4 59" xfId="1784"/>
    <cellStyle name="60% - Accent4 6" xfId="1785"/>
    <cellStyle name="60% - Accent4 60" xfId="1786"/>
    <cellStyle name="60% - Accent4 61" xfId="1787"/>
    <cellStyle name="60% - Accent4 62" xfId="1788"/>
    <cellStyle name="60% - Accent4 63" xfId="1789"/>
    <cellStyle name="60% - Accent4 64" xfId="1790"/>
    <cellStyle name="60% - Accent4 65" xfId="1791"/>
    <cellStyle name="60% - Accent4 66" xfId="1792"/>
    <cellStyle name="60% - Accent4 67" xfId="1793"/>
    <cellStyle name="60% - Accent4 68" xfId="1794"/>
    <cellStyle name="60% - Accent4 69" xfId="1795"/>
    <cellStyle name="60% - Accent4 7" xfId="1796"/>
    <cellStyle name="60% - Accent4 70" xfId="1797"/>
    <cellStyle name="60% - Accent4 71" xfId="1798"/>
    <cellStyle name="60% - Accent4 72" xfId="1799"/>
    <cellStyle name="60% - Accent4 8" xfId="1800"/>
    <cellStyle name="60% - Accent4 9" xfId="1801"/>
    <cellStyle name="60% - Accent5 10" xfId="1802"/>
    <cellStyle name="60% - Accent5 11" xfId="1803"/>
    <cellStyle name="60% - Accent5 12" xfId="1804"/>
    <cellStyle name="60% - Accent5 13" xfId="1805"/>
    <cellStyle name="60% - Accent5 14" xfId="1806"/>
    <cellStyle name="60% - Accent5 15" xfId="1807"/>
    <cellStyle name="60% - Accent5 16" xfId="1808"/>
    <cellStyle name="60% - Accent5 17" xfId="1809"/>
    <cellStyle name="60% - Accent5 18" xfId="1810"/>
    <cellStyle name="60% - Accent5 19" xfId="1811"/>
    <cellStyle name="60% - Accent5 2" xfId="1812"/>
    <cellStyle name="60% - Accent5 20" xfId="1813"/>
    <cellStyle name="60% - Accent5 21" xfId="1814"/>
    <cellStyle name="60% - Accent5 22" xfId="1815"/>
    <cellStyle name="60% - Accent5 23" xfId="1816"/>
    <cellStyle name="60% - Accent5 24" xfId="1817"/>
    <cellStyle name="60% - Accent5 25" xfId="1818"/>
    <cellStyle name="60% - Accent5 26" xfId="1819"/>
    <cellStyle name="60% - Accent5 27" xfId="1820"/>
    <cellStyle name="60% - Accent5 28" xfId="1821"/>
    <cellStyle name="60% - Accent5 29" xfId="1822"/>
    <cellStyle name="60% - Accent5 3" xfId="1823"/>
    <cellStyle name="60% - Accent5 30" xfId="1824"/>
    <cellStyle name="60% - Accent5 31" xfId="1825"/>
    <cellStyle name="60% - Accent5 32" xfId="1826"/>
    <cellStyle name="60% - Accent5 33" xfId="1827"/>
    <cellStyle name="60% - Accent5 34" xfId="1828"/>
    <cellStyle name="60% - Accent5 35" xfId="1829"/>
    <cellStyle name="60% - Accent5 36" xfId="1830"/>
    <cellStyle name="60% - Accent5 37" xfId="1831"/>
    <cellStyle name="60% - Accent5 38" xfId="1832"/>
    <cellStyle name="60% - Accent5 39" xfId="1833"/>
    <cellStyle name="60% - Accent5 4" xfId="1834"/>
    <cellStyle name="60% - Accent5 40" xfId="1835"/>
    <cellStyle name="60% - Accent5 41" xfId="1836"/>
    <cellStyle name="60% - Accent5 42" xfId="1837"/>
    <cellStyle name="60% - Accent5 43" xfId="1838"/>
    <cellStyle name="60% - Accent5 44" xfId="1839"/>
    <cellStyle name="60% - Accent5 45" xfId="1840"/>
    <cellStyle name="60% - Accent5 46" xfId="1841"/>
    <cellStyle name="60% - Accent5 47" xfId="1842"/>
    <cellStyle name="60% - Accent5 48" xfId="1843"/>
    <cellStyle name="60% - Accent5 49" xfId="1844"/>
    <cellStyle name="60% - Accent5 5" xfId="1845"/>
    <cellStyle name="60% - Accent5 50" xfId="1846"/>
    <cellStyle name="60% - Accent5 51" xfId="1847"/>
    <cellStyle name="60% - Accent5 52" xfId="1848"/>
    <cellStyle name="60% - Accent5 53" xfId="1849"/>
    <cellStyle name="60% - Accent5 54" xfId="1850"/>
    <cellStyle name="60% - Accent5 55" xfId="1851"/>
    <cellStyle name="60% - Accent5 56" xfId="1852"/>
    <cellStyle name="60% - Accent5 57" xfId="1853"/>
    <cellStyle name="60% - Accent5 58" xfId="1854"/>
    <cellStyle name="60% - Accent5 59" xfId="1855"/>
    <cellStyle name="60% - Accent5 6" xfId="1856"/>
    <cellStyle name="60% - Accent5 60" xfId="1857"/>
    <cellStyle name="60% - Accent5 61" xfId="1858"/>
    <cellStyle name="60% - Accent5 62" xfId="1859"/>
    <cellStyle name="60% - Accent5 63" xfId="1860"/>
    <cellStyle name="60% - Accent5 64" xfId="1861"/>
    <cellStyle name="60% - Accent5 65" xfId="1862"/>
    <cellStyle name="60% - Accent5 66" xfId="1863"/>
    <cellStyle name="60% - Accent5 67" xfId="1864"/>
    <cellStyle name="60% - Accent5 68" xfId="1865"/>
    <cellStyle name="60% - Accent5 69" xfId="1866"/>
    <cellStyle name="60% - Accent5 7" xfId="1867"/>
    <cellStyle name="60% - Accent5 70" xfId="1868"/>
    <cellStyle name="60% - Accent5 71" xfId="1869"/>
    <cellStyle name="60% - Accent5 72" xfId="1870"/>
    <cellStyle name="60% - Accent5 8" xfId="1871"/>
    <cellStyle name="60% - Accent5 9" xfId="1872"/>
    <cellStyle name="60% - Accent6 10" xfId="1873"/>
    <cellStyle name="60% - Accent6 11" xfId="1874"/>
    <cellStyle name="60% - Accent6 12" xfId="1875"/>
    <cellStyle name="60% - Accent6 13" xfId="1876"/>
    <cellStyle name="60% - Accent6 14" xfId="1877"/>
    <cellStyle name="60% - Accent6 15" xfId="1878"/>
    <cellStyle name="60% - Accent6 16" xfId="1879"/>
    <cellStyle name="60% - Accent6 17" xfId="1880"/>
    <cellStyle name="60% - Accent6 18" xfId="1881"/>
    <cellStyle name="60% - Accent6 19" xfId="1882"/>
    <cellStyle name="60% - Accent6 2" xfId="1883"/>
    <cellStyle name="60% - Accent6 20" xfId="1884"/>
    <cellStyle name="60% - Accent6 21" xfId="1885"/>
    <cellStyle name="60% - Accent6 22" xfId="1886"/>
    <cellStyle name="60% - Accent6 23" xfId="1887"/>
    <cellStyle name="60% - Accent6 24" xfId="1888"/>
    <cellStyle name="60% - Accent6 25" xfId="1889"/>
    <cellStyle name="60% - Accent6 26" xfId="1890"/>
    <cellStyle name="60% - Accent6 27" xfId="1891"/>
    <cellStyle name="60% - Accent6 28" xfId="1892"/>
    <cellStyle name="60% - Accent6 29" xfId="1893"/>
    <cellStyle name="60% - Accent6 3" xfId="1894"/>
    <cellStyle name="60% - Accent6 30" xfId="1895"/>
    <cellStyle name="60% - Accent6 31" xfId="1896"/>
    <cellStyle name="60% - Accent6 32" xfId="1897"/>
    <cellStyle name="60% - Accent6 33" xfId="1898"/>
    <cellStyle name="60% - Accent6 34" xfId="1899"/>
    <cellStyle name="60% - Accent6 35" xfId="1900"/>
    <cellStyle name="60% - Accent6 36" xfId="1901"/>
    <cellStyle name="60% - Accent6 37" xfId="1902"/>
    <cellStyle name="60% - Accent6 38" xfId="1903"/>
    <cellStyle name="60% - Accent6 39" xfId="1904"/>
    <cellStyle name="60% - Accent6 4" xfId="1905"/>
    <cellStyle name="60% - Accent6 40" xfId="1906"/>
    <cellStyle name="60% - Accent6 41" xfId="1907"/>
    <cellStyle name="60% - Accent6 42" xfId="1908"/>
    <cellStyle name="60% - Accent6 43" xfId="1909"/>
    <cellStyle name="60% - Accent6 44" xfId="1910"/>
    <cellStyle name="60% - Accent6 45" xfId="1911"/>
    <cellStyle name="60% - Accent6 46" xfId="1912"/>
    <cellStyle name="60% - Accent6 47" xfId="1913"/>
    <cellStyle name="60% - Accent6 48" xfId="1914"/>
    <cellStyle name="60% - Accent6 49" xfId="1915"/>
    <cellStyle name="60% - Accent6 5" xfId="1916"/>
    <cellStyle name="60% - Accent6 50" xfId="1917"/>
    <cellStyle name="60% - Accent6 51" xfId="1918"/>
    <cellStyle name="60% - Accent6 52" xfId="1919"/>
    <cellStyle name="60% - Accent6 53" xfId="1920"/>
    <cellStyle name="60% - Accent6 54" xfId="1921"/>
    <cellStyle name="60% - Accent6 55" xfId="1922"/>
    <cellStyle name="60% - Accent6 56" xfId="1923"/>
    <cellStyle name="60% - Accent6 57" xfId="1924"/>
    <cellStyle name="60% - Accent6 58" xfId="1925"/>
    <cellStyle name="60% - Accent6 59" xfId="1926"/>
    <cellStyle name="60% - Accent6 6" xfId="1927"/>
    <cellStyle name="60% - Accent6 60" xfId="1928"/>
    <cellStyle name="60% - Accent6 61" xfId="1929"/>
    <cellStyle name="60% - Accent6 62" xfId="1930"/>
    <cellStyle name="60% - Accent6 63" xfId="1931"/>
    <cellStyle name="60% - Accent6 64" xfId="1932"/>
    <cellStyle name="60% - Accent6 65" xfId="1933"/>
    <cellStyle name="60% - Accent6 66" xfId="1934"/>
    <cellStyle name="60% - Accent6 67" xfId="1935"/>
    <cellStyle name="60% - Accent6 68" xfId="1936"/>
    <cellStyle name="60% - Accent6 69" xfId="1937"/>
    <cellStyle name="60% - Accent6 7" xfId="1938"/>
    <cellStyle name="60% - Accent6 70" xfId="1939"/>
    <cellStyle name="60% - Accent6 71" xfId="1940"/>
    <cellStyle name="60% - Accent6 72" xfId="1941"/>
    <cellStyle name="60% - Accent6 8" xfId="1942"/>
    <cellStyle name="60% - Accent6 9" xfId="1943"/>
    <cellStyle name="Accent1 - 20%" xfId="24004"/>
    <cellStyle name="Accent1 - 40%" xfId="24005"/>
    <cellStyle name="Accent1 - 60%" xfId="24006"/>
    <cellStyle name="Accent1 10" xfId="1944"/>
    <cellStyle name="Accent1 11" xfId="1945"/>
    <cellStyle name="Accent1 12" xfId="1946"/>
    <cellStyle name="Accent1 13" xfId="1947"/>
    <cellStyle name="Accent1 14" xfId="1948"/>
    <cellStyle name="Accent1 15" xfId="1949"/>
    <cellStyle name="Accent1 16" xfId="1950"/>
    <cellStyle name="Accent1 17" xfId="1951"/>
    <cellStyle name="Accent1 18" xfId="1952"/>
    <cellStyle name="Accent1 19" xfId="1953"/>
    <cellStyle name="Accent1 2" xfId="1954"/>
    <cellStyle name="Accent1 2 2" xfId="24009"/>
    <cellStyle name="Accent1 2 3" xfId="24008"/>
    <cellStyle name="Accent1 20" xfId="1955"/>
    <cellStyle name="Accent1 21" xfId="1956"/>
    <cellStyle name="Accent1 22" xfId="1957"/>
    <cellStyle name="Accent1 23" xfId="1958"/>
    <cellStyle name="Accent1 24" xfId="1959"/>
    <cellStyle name="Accent1 25" xfId="1960"/>
    <cellStyle name="Accent1 26" xfId="1961"/>
    <cellStyle name="Accent1 27" xfId="1962"/>
    <cellStyle name="Accent1 28" xfId="1963"/>
    <cellStyle name="Accent1 29" xfId="1964"/>
    <cellStyle name="Accent1 3" xfId="1965"/>
    <cellStyle name="Accent1 3 2" xfId="24010"/>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24011"/>
    <cellStyle name="Accent1 40" xfId="1977"/>
    <cellStyle name="Accent1 41" xfId="1978"/>
    <cellStyle name="Accent1 42" xfId="1979"/>
    <cellStyle name="Accent1 43" xfId="1980"/>
    <cellStyle name="Accent1 44" xfId="1981"/>
    <cellStyle name="Accent1 45" xfId="1982"/>
    <cellStyle name="Accent1 46" xfId="1983"/>
    <cellStyle name="Accent1 47" xfId="1984"/>
    <cellStyle name="Accent1 48" xfId="1985"/>
    <cellStyle name="Accent1 49" xfId="1986"/>
    <cellStyle name="Accent1 5" xfId="1987"/>
    <cellStyle name="Accent1 50" xfId="1988"/>
    <cellStyle name="Accent1 51" xfId="1989"/>
    <cellStyle name="Accent1 52" xfId="1990"/>
    <cellStyle name="Accent1 53" xfId="1991"/>
    <cellStyle name="Accent1 54" xfId="1992"/>
    <cellStyle name="Accent1 55" xfId="1993"/>
    <cellStyle name="Accent1 56" xfId="1994"/>
    <cellStyle name="Accent1 57" xfId="1995"/>
    <cellStyle name="Accent1 58" xfId="1996"/>
    <cellStyle name="Accent1 59" xfId="1997"/>
    <cellStyle name="Accent1 6" xfId="1998"/>
    <cellStyle name="Accent1 60" xfId="1999"/>
    <cellStyle name="Accent1 61" xfId="2000"/>
    <cellStyle name="Accent1 62" xfId="2001"/>
    <cellStyle name="Accent1 63" xfId="2002"/>
    <cellStyle name="Accent1 64" xfId="2003"/>
    <cellStyle name="Accent1 65" xfId="2004"/>
    <cellStyle name="Accent1 66" xfId="2005"/>
    <cellStyle name="Accent1 67" xfId="2006"/>
    <cellStyle name="Accent1 68" xfId="2007"/>
    <cellStyle name="Accent1 69" xfId="2008"/>
    <cellStyle name="Accent1 7" xfId="2009"/>
    <cellStyle name="Accent1 70" xfId="2010"/>
    <cellStyle name="Accent1 71" xfId="2011"/>
    <cellStyle name="Accent1 72" xfId="2012"/>
    <cellStyle name="Accent1 8" xfId="2013"/>
    <cellStyle name="Accent1 9" xfId="2014"/>
    <cellStyle name="Accent2 - 20%" xfId="24013"/>
    <cellStyle name="Accent2 - 40%" xfId="24014"/>
    <cellStyle name="Accent2 - 60%" xfId="24015"/>
    <cellStyle name="Accent2 10" xfId="2015"/>
    <cellStyle name="Accent2 11" xfId="2016"/>
    <cellStyle name="Accent2 12" xfId="2017"/>
    <cellStyle name="Accent2 13" xfId="2018"/>
    <cellStyle name="Accent2 14" xfId="2019"/>
    <cellStyle name="Accent2 15" xfId="2020"/>
    <cellStyle name="Accent2 16" xfId="2021"/>
    <cellStyle name="Accent2 17" xfId="2022"/>
    <cellStyle name="Accent2 18" xfId="2023"/>
    <cellStyle name="Accent2 19" xfId="2024"/>
    <cellStyle name="Accent2 2" xfId="2025"/>
    <cellStyle name="Accent2 2 2" xfId="24017"/>
    <cellStyle name="Accent2 2 3" xfId="24016"/>
    <cellStyle name="Accent2 20" xfId="2026"/>
    <cellStyle name="Accent2 21" xfId="2027"/>
    <cellStyle name="Accent2 22" xfId="2028"/>
    <cellStyle name="Accent2 23" xfId="2029"/>
    <cellStyle name="Accent2 24" xfId="2030"/>
    <cellStyle name="Accent2 25" xfId="2031"/>
    <cellStyle name="Accent2 26" xfId="2032"/>
    <cellStyle name="Accent2 27" xfId="2033"/>
    <cellStyle name="Accent2 28" xfId="2034"/>
    <cellStyle name="Accent2 29" xfId="2035"/>
    <cellStyle name="Accent2 3" xfId="2036"/>
    <cellStyle name="Accent2 3 2" xfId="24018"/>
    <cellStyle name="Accent2 30" xfId="2037"/>
    <cellStyle name="Accent2 31" xfId="2038"/>
    <cellStyle name="Accent2 32" xfId="2039"/>
    <cellStyle name="Accent2 33" xfId="2040"/>
    <cellStyle name="Accent2 34" xfId="2041"/>
    <cellStyle name="Accent2 35" xfId="2042"/>
    <cellStyle name="Accent2 36" xfId="2043"/>
    <cellStyle name="Accent2 37" xfId="2044"/>
    <cellStyle name="Accent2 38" xfId="2045"/>
    <cellStyle name="Accent2 39" xfId="2046"/>
    <cellStyle name="Accent2 4" xfId="2047"/>
    <cellStyle name="Accent2 4 2" xfId="24019"/>
    <cellStyle name="Accent2 40" xfId="2048"/>
    <cellStyle name="Accent2 41" xfId="2049"/>
    <cellStyle name="Accent2 42" xfId="2050"/>
    <cellStyle name="Accent2 43" xfId="2051"/>
    <cellStyle name="Accent2 44" xfId="2052"/>
    <cellStyle name="Accent2 45" xfId="2053"/>
    <cellStyle name="Accent2 46" xfId="2054"/>
    <cellStyle name="Accent2 47" xfId="2055"/>
    <cellStyle name="Accent2 48" xfId="2056"/>
    <cellStyle name="Accent2 49" xfId="2057"/>
    <cellStyle name="Accent2 5" xfId="2058"/>
    <cellStyle name="Accent2 50" xfId="2059"/>
    <cellStyle name="Accent2 51" xfId="2060"/>
    <cellStyle name="Accent2 52" xfId="2061"/>
    <cellStyle name="Accent2 53" xfId="2062"/>
    <cellStyle name="Accent2 54" xfId="2063"/>
    <cellStyle name="Accent2 55" xfId="2064"/>
    <cellStyle name="Accent2 56" xfId="2065"/>
    <cellStyle name="Accent2 57" xfId="2066"/>
    <cellStyle name="Accent2 58" xfId="2067"/>
    <cellStyle name="Accent2 59" xfId="2068"/>
    <cellStyle name="Accent2 6" xfId="2069"/>
    <cellStyle name="Accent2 60" xfId="2070"/>
    <cellStyle name="Accent2 61" xfId="2071"/>
    <cellStyle name="Accent2 62" xfId="2072"/>
    <cellStyle name="Accent2 63" xfId="2073"/>
    <cellStyle name="Accent2 64" xfId="2074"/>
    <cellStyle name="Accent2 65" xfId="2075"/>
    <cellStyle name="Accent2 66" xfId="2076"/>
    <cellStyle name="Accent2 67" xfId="2077"/>
    <cellStyle name="Accent2 68" xfId="2078"/>
    <cellStyle name="Accent2 69" xfId="2079"/>
    <cellStyle name="Accent2 7" xfId="2080"/>
    <cellStyle name="Accent2 70" xfId="2081"/>
    <cellStyle name="Accent2 71" xfId="2082"/>
    <cellStyle name="Accent2 72" xfId="2083"/>
    <cellStyle name="Accent2 8" xfId="2084"/>
    <cellStyle name="Accent2 9" xfId="2085"/>
    <cellStyle name="Accent3 - 20%" xfId="24021"/>
    <cellStyle name="Accent3 - 40%" xfId="24022"/>
    <cellStyle name="Accent3 - 60%" xfId="24023"/>
    <cellStyle name="Accent3 10" xfId="2086"/>
    <cellStyle name="Accent3 11" xfId="2087"/>
    <cellStyle name="Accent3 12" xfId="2088"/>
    <cellStyle name="Accent3 13" xfId="2089"/>
    <cellStyle name="Accent3 14" xfId="2090"/>
    <cellStyle name="Accent3 15" xfId="2091"/>
    <cellStyle name="Accent3 16" xfId="2092"/>
    <cellStyle name="Accent3 17" xfId="2093"/>
    <cellStyle name="Accent3 18" xfId="2094"/>
    <cellStyle name="Accent3 19" xfId="2095"/>
    <cellStyle name="Accent3 2" xfId="2096"/>
    <cellStyle name="Accent3 2 2" xfId="24025"/>
    <cellStyle name="Accent3 2 3" xfId="24024"/>
    <cellStyle name="Accent3 20" xfId="2097"/>
    <cellStyle name="Accent3 21" xfId="2098"/>
    <cellStyle name="Accent3 22" xfId="2099"/>
    <cellStyle name="Accent3 23" xfId="2100"/>
    <cellStyle name="Accent3 24" xfId="2101"/>
    <cellStyle name="Accent3 25" xfId="2102"/>
    <cellStyle name="Accent3 26" xfId="2103"/>
    <cellStyle name="Accent3 27" xfId="2104"/>
    <cellStyle name="Accent3 28" xfId="2105"/>
    <cellStyle name="Accent3 29" xfId="2106"/>
    <cellStyle name="Accent3 3" xfId="2107"/>
    <cellStyle name="Accent3 3 2" xfId="24026"/>
    <cellStyle name="Accent3 30" xfId="2108"/>
    <cellStyle name="Accent3 31" xfId="2109"/>
    <cellStyle name="Accent3 32" xfId="2110"/>
    <cellStyle name="Accent3 33" xfId="2111"/>
    <cellStyle name="Accent3 34" xfId="2112"/>
    <cellStyle name="Accent3 35" xfId="2113"/>
    <cellStyle name="Accent3 36" xfId="2114"/>
    <cellStyle name="Accent3 37" xfId="2115"/>
    <cellStyle name="Accent3 38" xfId="2116"/>
    <cellStyle name="Accent3 39" xfId="2117"/>
    <cellStyle name="Accent3 4" xfId="2118"/>
    <cellStyle name="Accent3 4 2" xfId="24027"/>
    <cellStyle name="Accent3 40" xfId="2119"/>
    <cellStyle name="Accent3 41" xfId="2120"/>
    <cellStyle name="Accent3 42" xfId="2121"/>
    <cellStyle name="Accent3 43" xfId="2122"/>
    <cellStyle name="Accent3 44" xfId="2123"/>
    <cellStyle name="Accent3 45" xfId="2124"/>
    <cellStyle name="Accent3 46" xfId="2125"/>
    <cellStyle name="Accent3 47" xfId="2126"/>
    <cellStyle name="Accent3 48" xfId="2127"/>
    <cellStyle name="Accent3 49" xfId="2128"/>
    <cellStyle name="Accent3 5" xfId="2129"/>
    <cellStyle name="Accent3 50" xfId="2130"/>
    <cellStyle name="Accent3 51" xfId="2131"/>
    <cellStyle name="Accent3 52" xfId="2132"/>
    <cellStyle name="Accent3 53" xfId="2133"/>
    <cellStyle name="Accent3 54" xfId="2134"/>
    <cellStyle name="Accent3 55" xfId="2135"/>
    <cellStyle name="Accent3 56" xfId="2136"/>
    <cellStyle name="Accent3 57" xfId="2137"/>
    <cellStyle name="Accent3 58" xfId="2138"/>
    <cellStyle name="Accent3 59" xfId="2139"/>
    <cellStyle name="Accent3 6" xfId="2140"/>
    <cellStyle name="Accent3 60" xfId="2141"/>
    <cellStyle name="Accent3 61" xfId="2142"/>
    <cellStyle name="Accent3 62" xfId="2143"/>
    <cellStyle name="Accent3 63" xfId="2144"/>
    <cellStyle name="Accent3 64" xfId="2145"/>
    <cellStyle name="Accent3 65" xfId="2146"/>
    <cellStyle name="Accent3 66" xfId="2147"/>
    <cellStyle name="Accent3 67" xfId="2148"/>
    <cellStyle name="Accent3 68" xfId="2149"/>
    <cellStyle name="Accent3 69" xfId="2150"/>
    <cellStyle name="Accent3 7" xfId="2151"/>
    <cellStyle name="Accent3 70" xfId="2152"/>
    <cellStyle name="Accent3 71" xfId="2153"/>
    <cellStyle name="Accent3 72" xfId="2154"/>
    <cellStyle name="Accent3 8" xfId="2155"/>
    <cellStyle name="Accent3 9" xfId="2156"/>
    <cellStyle name="Accent4 - 20%" xfId="24028"/>
    <cellStyle name="Accent4 - 40%" xfId="24029"/>
    <cellStyle name="Accent4 - 60%" xfId="24030"/>
    <cellStyle name="Accent4 10" xfId="2157"/>
    <cellStyle name="Accent4 11" xfId="2158"/>
    <cellStyle name="Accent4 12" xfId="2159"/>
    <cellStyle name="Accent4 13" xfId="2160"/>
    <cellStyle name="Accent4 14" xfId="2161"/>
    <cellStyle name="Accent4 15" xfId="2162"/>
    <cellStyle name="Accent4 16" xfId="2163"/>
    <cellStyle name="Accent4 17" xfId="2164"/>
    <cellStyle name="Accent4 18" xfId="2165"/>
    <cellStyle name="Accent4 19" xfId="2166"/>
    <cellStyle name="Accent4 2" xfId="2167"/>
    <cellStyle name="Accent4 2 2" xfId="24034"/>
    <cellStyle name="Accent4 2 3" xfId="24033"/>
    <cellStyle name="Accent4 20" xfId="2168"/>
    <cellStyle name="Accent4 21" xfId="2169"/>
    <cellStyle name="Accent4 22" xfId="2170"/>
    <cellStyle name="Accent4 23" xfId="2171"/>
    <cellStyle name="Accent4 24" xfId="2172"/>
    <cellStyle name="Accent4 25" xfId="2173"/>
    <cellStyle name="Accent4 26" xfId="2174"/>
    <cellStyle name="Accent4 27" xfId="2175"/>
    <cellStyle name="Accent4 28" xfId="2176"/>
    <cellStyle name="Accent4 29" xfId="2177"/>
    <cellStyle name="Accent4 3" xfId="2178"/>
    <cellStyle name="Accent4 3 2" xfId="24035"/>
    <cellStyle name="Accent4 30" xfId="2179"/>
    <cellStyle name="Accent4 31" xfId="2180"/>
    <cellStyle name="Accent4 32" xfId="2181"/>
    <cellStyle name="Accent4 33" xfId="2182"/>
    <cellStyle name="Accent4 34" xfId="2183"/>
    <cellStyle name="Accent4 35" xfId="2184"/>
    <cellStyle name="Accent4 36" xfId="2185"/>
    <cellStyle name="Accent4 37" xfId="2186"/>
    <cellStyle name="Accent4 38" xfId="2187"/>
    <cellStyle name="Accent4 39" xfId="2188"/>
    <cellStyle name="Accent4 4" xfId="2189"/>
    <cellStyle name="Accent4 4 2" xfId="24036"/>
    <cellStyle name="Accent4 40" xfId="2190"/>
    <cellStyle name="Accent4 41" xfId="2191"/>
    <cellStyle name="Accent4 42" xfId="2192"/>
    <cellStyle name="Accent4 43" xfId="2193"/>
    <cellStyle name="Accent4 44" xfId="2194"/>
    <cellStyle name="Accent4 45" xfId="2195"/>
    <cellStyle name="Accent4 46" xfId="2196"/>
    <cellStyle name="Accent4 47" xfId="2197"/>
    <cellStyle name="Accent4 48" xfId="2198"/>
    <cellStyle name="Accent4 49" xfId="2199"/>
    <cellStyle name="Accent4 5" xfId="2200"/>
    <cellStyle name="Accent4 50" xfId="2201"/>
    <cellStyle name="Accent4 51" xfId="2202"/>
    <cellStyle name="Accent4 52" xfId="2203"/>
    <cellStyle name="Accent4 53" xfId="2204"/>
    <cellStyle name="Accent4 54" xfId="2205"/>
    <cellStyle name="Accent4 55" xfId="2206"/>
    <cellStyle name="Accent4 56" xfId="2207"/>
    <cellStyle name="Accent4 57" xfId="2208"/>
    <cellStyle name="Accent4 58" xfId="2209"/>
    <cellStyle name="Accent4 59" xfId="2210"/>
    <cellStyle name="Accent4 6" xfId="2211"/>
    <cellStyle name="Accent4 60" xfId="2212"/>
    <cellStyle name="Accent4 61" xfId="2213"/>
    <cellStyle name="Accent4 62" xfId="2214"/>
    <cellStyle name="Accent4 63" xfId="2215"/>
    <cellStyle name="Accent4 64" xfId="2216"/>
    <cellStyle name="Accent4 65" xfId="2217"/>
    <cellStyle name="Accent4 66" xfId="2218"/>
    <cellStyle name="Accent4 67" xfId="2219"/>
    <cellStyle name="Accent4 68" xfId="2220"/>
    <cellStyle name="Accent4 69" xfId="2221"/>
    <cellStyle name="Accent4 7" xfId="2222"/>
    <cellStyle name="Accent4 70" xfId="2223"/>
    <cellStyle name="Accent4 71" xfId="2224"/>
    <cellStyle name="Accent4 72" xfId="2225"/>
    <cellStyle name="Accent4 8" xfId="2226"/>
    <cellStyle name="Accent4 9" xfId="2227"/>
    <cellStyle name="Accent5 - 20%" xfId="24037"/>
    <cellStyle name="Accent5 - 40%" xfId="24038"/>
    <cellStyle name="Accent5 - 60%" xfId="24039"/>
    <cellStyle name="Accent5 10" xfId="2228"/>
    <cellStyle name="Accent5 11" xfId="2229"/>
    <cellStyle name="Accent5 12" xfId="2230"/>
    <cellStyle name="Accent5 13" xfId="2231"/>
    <cellStyle name="Accent5 14" xfId="2232"/>
    <cellStyle name="Accent5 15" xfId="2233"/>
    <cellStyle name="Accent5 16" xfId="2234"/>
    <cellStyle name="Accent5 17" xfId="2235"/>
    <cellStyle name="Accent5 18" xfId="2236"/>
    <cellStyle name="Accent5 19" xfId="2237"/>
    <cellStyle name="Accent5 2" xfId="2238"/>
    <cellStyle name="Accent5 2 2" xfId="24041"/>
    <cellStyle name="Accent5 2 3" xfId="24040"/>
    <cellStyle name="Accent5 20" xfId="2239"/>
    <cellStyle name="Accent5 21" xfId="2240"/>
    <cellStyle name="Accent5 22" xfId="2241"/>
    <cellStyle name="Accent5 23" xfId="2242"/>
    <cellStyle name="Accent5 24" xfId="2243"/>
    <cellStyle name="Accent5 25" xfId="2244"/>
    <cellStyle name="Accent5 26" xfId="2245"/>
    <cellStyle name="Accent5 27" xfId="2246"/>
    <cellStyle name="Accent5 28" xfId="2247"/>
    <cellStyle name="Accent5 29" xfId="2248"/>
    <cellStyle name="Accent5 3" xfId="2249"/>
    <cellStyle name="Accent5 3 2" xfId="24042"/>
    <cellStyle name="Accent5 30" xfId="2250"/>
    <cellStyle name="Accent5 31" xfId="2251"/>
    <cellStyle name="Accent5 32" xfId="2252"/>
    <cellStyle name="Accent5 33" xfId="2253"/>
    <cellStyle name="Accent5 34" xfId="2254"/>
    <cellStyle name="Accent5 35" xfId="2255"/>
    <cellStyle name="Accent5 36" xfId="2256"/>
    <cellStyle name="Accent5 37" xfId="2257"/>
    <cellStyle name="Accent5 38" xfId="2258"/>
    <cellStyle name="Accent5 39" xfId="2259"/>
    <cellStyle name="Accent5 4" xfId="2260"/>
    <cellStyle name="Accent5 4 2" xfId="24043"/>
    <cellStyle name="Accent5 40" xfId="2261"/>
    <cellStyle name="Accent5 41" xfId="2262"/>
    <cellStyle name="Accent5 42" xfId="2263"/>
    <cellStyle name="Accent5 43" xfId="2264"/>
    <cellStyle name="Accent5 44" xfId="2265"/>
    <cellStyle name="Accent5 45" xfId="2266"/>
    <cellStyle name="Accent5 46" xfId="2267"/>
    <cellStyle name="Accent5 47" xfId="2268"/>
    <cellStyle name="Accent5 48" xfId="2269"/>
    <cellStyle name="Accent5 49" xfId="2270"/>
    <cellStyle name="Accent5 5" xfId="2271"/>
    <cellStyle name="Accent5 50" xfId="2272"/>
    <cellStyle name="Accent5 51" xfId="2273"/>
    <cellStyle name="Accent5 52" xfId="2274"/>
    <cellStyle name="Accent5 53" xfId="2275"/>
    <cellStyle name="Accent5 54" xfId="2276"/>
    <cellStyle name="Accent5 55" xfId="2277"/>
    <cellStyle name="Accent5 56" xfId="2278"/>
    <cellStyle name="Accent5 57" xfId="2279"/>
    <cellStyle name="Accent5 58" xfId="2280"/>
    <cellStyle name="Accent5 59" xfId="2281"/>
    <cellStyle name="Accent5 6" xfId="2282"/>
    <cellStyle name="Accent5 60" xfId="2283"/>
    <cellStyle name="Accent5 61" xfId="2284"/>
    <cellStyle name="Accent5 62" xfId="2285"/>
    <cellStyle name="Accent5 63" xfId="2286"/>
    <cellStyle name="Accent5 64" xfId="2287"/>
    <cellStyle name="Accent5 65" xfId="2288"/>
    <cellStyle name="Accent5 66" xfId="2289"/>
    <cellStyle name="Accent5 67" xfId="2290"/>
    <cellStyle name="Accent5 68" xfId="2291"/>
    <cellStyle name="Accent5 69" xfId="2292"/>
    <cellStyle name="Accent5 7" xfId="2293"/>
    <cellStyle name="Accent5 70" xfId="2294"/>
    <cellStyle name="Accent5 71" xfId="2295"/>
    <cellStyle name="Accent5 72" xfId="2296"/>
    <cellStyle name="Accent5 8" xfId="2297"/>
    <cellStyle name="Accent5 9" xfId="2298"/>
    <cellStyle name="Accent6 - 20%" xfId="24044"/>
    <cellStyle name="Accent6 - 40%" xfId="24045"/>
    <cellStyle name="Accent6 - 60%" xfId="24046"/>
    <cellStyle name="Accent6 10" xfId="2299"/>
    <cellStyle name="Accent6 11" xfId="2300"/>
    <cellStyle name="Accent6 12" xfId="2301"/>
    <cellStyle name="Accent6 13" xfId="2302"/>
    <cellStyle name="Accent6 14" xfId="2303"/>
    <cellStyle name="Accent6 15" xfId="2304"/>
    <cellStyle name="Accent6 16" xfId="2305"/>
    <cellStyle name="Accent6 17" xfId="2306"/>
    <cellStyle name="Accent6 18" xfId="2307"/>
    <cellStyle name="Accent6 19" xfId="2308"/>
    <cellStyle name="Accent6 2" xfId="2309"/>
    <cellStyle name="Accent6 2 2" xfId="24048"/>
    <cellStyle name="Accent6 2 3" xfId="24047"/>
    <cellStyle name="Accent6 20" xfId="2310"/>
    <cellStyle name="Accent6 21" xfId="2311"/>
    <cellStyle name="Accent6 22" xfId="2312"/>
    <cellStyle name="Accent6 23" xfId="2313"/>
    <cellStyle name="Accent6 24" xfId="2314"/>
    <cellStyle name="Accent6 25" xfId="2315"/>
    <cellStyle name="Accent6 26" xfId="2316"/>
    <cellStyle name="Accent6 27" xfId="2317"/>
    <cellStyle name="Accent6 28" xfId="2318"/>
    <cellStyle name="Accent6 29" xfId="2319"/>
    <cellStyle name="Accent6 3" xfId="2320"/>
    <cellStyle name="Accent6 3 2" xfId="24049"/>
    <cellStyle name="Accent6 30" xfId="2321"/>
    <cellStyle name="Accent6 31" xfId="2322"/>
    <cellStyle name="Accent6 32" xfId="2323"/>
    <cellStyle name="Accent6 33" xfId="2324"/>
    <cellStyle name="Accent6 34" xfId="2325"/>
    <cellStyle name="Accent6 35" xfId="2326"/>
    <cellStyle name="Accent6 36" xfId="2327"/>
    <cellStyle name="Accent6 37" xfId="2328"/>
    <cellStyle name="Accent6 38" xfId="2329"/>
    <cellStyle name="Accent6 39" xfId="2330"/>
    <cellStyle name="Accent6 4" xfId="2331"/>
    <cellStyle name="Accent6 4 2" xfId="24050"/>
    <cellStyle name="Accent6 40" xfId="2332"/>
    <cellStyle name="Accent6 41" xfId="2333"/>
    <cellStyle name="Accent6 42" xfId="2334"/>
    <cellStyle name="Accent6 43" xfId="2335"/>
    <cellStyle name="Accent6 44" xfId="2336"/>
    <cellStyle name="Accent6 45" xfId="2337"/>
    <cellStyle name="Accent6 46" xfId="2338"/>
    <cellStyle name="Accent6 47" xfId="2339"/>
    <cellStyle name="Accent6 48" xfId="2340"/>
    <cellStyle name="Accent6 49" xfId="2341"/>
    <cellStyle name="Accent6 5" xfId="2342"/>
    <cellStyle name="Accent6 50" xfId="2343"/>
    <cellStyle name="Accent6 51" xfId="2344"/>
    <cellStyle name="Accent6 52" xfId="2345"/>
    <cellStyle name="Accent6 53" xfId="2346"/>
    <cellStyle name="Accent6 54" xfId="2347"/>
    <cellStyle name="Accent6 55" xfId="2348"/>
    <cellStyle name="Accent6 56" xfId="2349"/>
    <cellStyle name="Accent6 57" xfId="2350"/>
    <cellStyle name="Accent6 58" xfId="2351"/>
    <cellStyle name="Accent6 59" xfId="2352"/>
    <cellStyle name="Accent6 6" xfId="2353"/>
    <cellStyle name="Accent6 60" xfId="2354"/>
    <cellStyle name="Accent6 61" xfId="2355"/>
    <cellStyle name="Accent6 62" xfId="2356"/>
    <cellStyle name="Accent6 63" xfId="2357"/>
    <cellStyle name="Accent6 64" xfId="2358"/>
    <cellStyle name="Accent6 65" xfId="2359"/>
    <cellStyle name="Accent6 66" xfId="2360"/>
    <cellStyle name="Accent6 67" xfId="2361"/>
    <cellStyle name="Accent6 68" xfId="2362"/>
    <cellStyle name="Accent6 69" xfId="2363"/>
    <cellStyle name="Accent6 7" xfId="2364"/>
    <cellStyle name="Accent6 70" xfId="2365"/>
    <cellStyle name="Accent6 71" xfId="2366"/>
    <cellStyle name="Accent6 72" xfId="2367"/>
    <cellStyle name="Accent6 8" xfId="2368"/>
    <cellStyle name="Accent6 9" xfId="2369"/>
    <cellStyle name="Bad 10" xfId="2370"/>
    <cellStyle name="Bad 11" xfId="2371"/>
    <cellStyle name="Bad 12" xfId="2372"/>
    <cellStyle name="Bad 13" xfId="2373"/>
    <cellStyle name="Bad 14" xfId="2374"/>
    <cellStyle name="Bad 15" xfId="2375"/>
    <cellStyle name="Bad 16" xfId="2376"/>
    <cellStyle name="Bad 17" xfId="2377"/>
    <cellStyle name="Bad 18" xfId="2378"/>
    <cellStyle name="Bad 19" xfId="2379"/>
    <cellStyle name="Bad 2" xfId="2380"/>
    <cellStyle name="Bad 2 2" xfId="24052"/>
    <cellStyle name="Bad 2 3" xfId="24051"/>
    <cellStyle name="Bad 20" xfId="2381"/>
    <cellStyle name="Bad 21" xfId="2382"/>
    <cellStyle name="Bad 22" xfId="2383"/>
    <cellStyle name="Bad 23" xfId="2384"/>
    <cellStyle name="Bad 24" xfId="2385"/>
    <cellStyle name="Bad 25" xfId="2386"/>
    <cellStyle name="Bad 26" xfId="2387"/>
    <cellStyle name="Bad 27" xfId="2388"/>
    <cellStyle name="Bad 28" xfId="2389"/>
    <cellStyle name="Bad 29" xfId="2390"/>
    <cellStyle name="Bad 3" xfId="2391"/>
    <cellStyle name="Bad 3 2" xfId="24053"/>
    <cellStyle name="Bad 30" xfId="2392"/>
    <cellStyle name="Bad 31" xfId="2393"/>
    <cellStyle name="Bad 32" xfId="2394"/>
    <cellStyle name="Bad 33" xfId="2395"/>
    <cellStyle name="Bad 34" xfId="2396"/>
    <cellStyle name="Bad 35" xfId="2397"/>
    <cellStyle name="Bad 36" xfId="2398"/>
    <cellStyle name="Bad 37" xfId="2399"/>
    <cellStyle name="Bad 38" xfId="2400"/>
    <cellStyle name="Bad 39" xfId="2401"/>
    <cellStyle name="Bad 4" xfId="2402"/>
    <cellStyle name="Bad 4 2" xfId="24054"/>
    <cellStyle name="Bad 40" xfId="2403"/>
    <cellStyle name="Bad 41" xfId="2404"/>
    <cellStyle name="Bad 42" xfId="2405"/>
    <cellStyle name="Bad 43" xfId="2406"/>
    <cellStyle name="Bad 44" xfId="2407"/>
    <cellStyle name="Bad 45" xfId="2408"/>
    <cellStyle name="Bad 46" xfId="2409"/>
    <cellStyle name="Bad 47" xfId="2410"/>
    <cellStyle name="Bad 48" xfId="2411"/>
    <cellStyle name="Bad 49" xfId="2412"/>
    <cellStyle name="Bad 5" xfId="2413"/>
    <cellStyle name="Bad 50" xfId="2414"/>
    <cellStyle name="Bad 51" xfId="2415"/>
    <cellStyle name="Bad 52" xfId="2416"/>
    <cellStyle name="Bad 53" xfId="2417"/>
    <cellStyle name="Bad 54" xfId="2418"/>
    <cellStyle name="Bad 55" xfId="2419"/>
    <cellStyle name="Bad 56" xfId="2420"/>
    <cellStyle name="Bad 57" xfId="2421"/>
    <cellStyle name="Bad 58" xfId="2422"/>
    <cellStyle name="Bad 59" xfId="2423"/>
    <cellStyle name="Bad 6" xfId="2424"/>
    <cellStyle name="Bad 60" xfId="2425"/>
    <cellStyle name="Bad 61" xfId="2426"/>
    <cellStyle name="Bad 62" xfId="2427"/>
    <cellStyle name="Bad 63" xfId="2428"/>
    <cellStyle name="Bad 64" xfId="2429"/>
    <cellStyle name="Bad 65" xfId="2430"/>
    <cellStyle name="Bad 66" xfId="2431"/>
    <cellStyle name="Bad 67" xfId="2432"/>
    <cellStyle name="Bad 68" xfId="2433"/>
    <cellStyle name="Bad 69" xfId="2434"/>
    <cellStyle name="Bad 7" xfId="2435"/>
    <cellStyle name="Bad 70" xfId="2436"/>
    <cellStyle name="Bad 71" xfId="2437"/>
    <cellStyle name="Bad 72" xfId="2438"/>
    <cellStyle name="Bad 8" xfId="2439"/>
    <cellStyle name="Bad 9" xfId="2440"/>
    <cellStyle name="BlackStrike" xfId="540"/>
    <cellStyle name="BlackText" xfId="541"/>
    <cellStyle name="Blue" xfId="542"/>
    <cellStyle name="BoldText" xfId="543"/>
    <cellStyle name="Border Heavy" xfId="544"/>
    <cellStyle name="Border Heavy 2" xfId="24285"/>
    <cellStyle name="Border Thin" xfId="545"/>
    <cellStyle name="Border Thin 2" xfId="24055"/>
    <cellStyle name="Calculation 10" xfId="2441"/>
    <cellStyle name="Calculation 11" xfId="2442"/>
    <cellStyle name="Calculation 12" xfId="2443"/>
    <cellStyle name="Calculation 13" xfId="2444"/>
    <cellStyle name="Calculation 14" xfId="2445"/>
    <cellStyle name="Calculation 15" xfId="2446"/>
    <cellStyle name="Calculation 16" xfId="2447"/>
    <cellStyle name="Calculation 17" xfId="2448"/>
    <cellStyle name="Calculation 18" xfId="2449"/>
    <cellStyle name="Calculation 19" xfId="2450"/>
    <cellStyle name="Calculation 2" xfId="2451"/>
    <cellStyle name="Calculation 2 2" xfId="24057"/>
    <cellStyle name="Calculation 2 2 2" xfId="24699"/>
    <cellStyle name="Calculation 2 2 2 2" xfId="25298"/>
    <cellStyle name="Calculation 2 2 2 3" xfId="25658"/>
    <cellStyle name="Calculation 2 2 3" xfId="25022"/>
    <cellStyle name="Calculation 2 2 3 2" xfId="25431"/>
    <cellStyle name="Calculation 2 2 3 3" xfId="25669"/>
    <cellStyle name="Calculation 2 2 4" xfId="25556"/>
    <cellStyle name="Calculation 2 3" xfId="24056"/>
    <cellStyle name="Calculation 2 3 2" xfId="25555"/>
    <cellStyle name="Calculation 2 4" xfId="24698"/>
    <cellStyle name="Calculation 2 4 2" xfId="25361"/>
    <cellStyle name="Calculation 2 4 3" xfId="25657"/>
    <cellStyle name="Calculation 2 5" xfId="25021"/>
    <cellStyle name="Calculation 2 5 2" xfId="25330"/>
    <cellStyle name="Calculation 2 5 3" xfId="25668"/>
    <cellStyle name="Calculation 20" xfId="2452"/>
    <cellStyle name="Calculation 21" xfId="2453"/>
    <cellStyle name="Calculation 22" xfId="2454"/>
    <cellStyle name="Calculation 23" xfId="2455"/>
    <cellStyle name="Calculation 24" xfId="2456"/>
    <cellStyle name="Calculation 25" xfId="2457"/>
    <cellStyle name="Calculation 26" xfId="2458"/>
    <cellStyle name="Calculation 27" xfId="2459"/>
    <cellStyle name="Calculation 28" xfId="2460"/>
    <cellStyle name="Calculation 29" xfId="2461"/>
    <cellStyle name="Calculation 3" xfId="2462"/>
    <cellStyle name="Calculation 3 2" xfId="24058"/>
    <cellStyle name="Calculation 3 2 2" xfId="25557"/>
    <cellStyle name="Calculation 3 3" xfId="24700"/>
    <cellStyle name="Calculation 3 3 2" xfId="25287"/>
    <cellStyle name="Calculation 3 3 3" xfId="25659"/>
    <cellStyle name="Calculation 3 4" xfId="25023"/>
    <cellStyle name="Calculation 3 4 2" xfId="25347"/>
    <cellStyle name="Calculation 3 4 3" xfId="25670"/>
    <cellStyle name="Calculation 30" xfId="2463"/>
    <cellStyle name="Calculation 31" xfId="2464"/>
    <cellStyle name="Calculation 32" xfId="2465"/>
    <cellStyle name="Calculation 33" xfId="2466"/>
    <cellStyle name="Calculation 34" xfId="2467"/>
    <cellStyle name="Calculation 35" xfId="2468"/>
    <cellStyle name="Calculation 36" xfId="2469"/>
    <cellStyle name="Calculation 37" xfId="2470"/>
    <cellStyle name="Calculation 38" xfId="2471"/>
    <cellStyle name="Calculation 39" xfId="2472"/>
    <cellStyle name="Calculation 4" xfId="2473"/>
    <cellStyle name="Calculation 4 2" xfId="24059"/>
    <cellStyle name="Calculation 4 2 2" xfId="25558"/>
    <cellStyle name="Calculation 4 3" xfId="24701"/>
    <cellStyle name="Calculation 4 3 2" xfId="25369"/>
    <cellStyle name="Calculation 4 3 3" xfId="25660"/>
    <cellStyle name="Calculation 4 4" xfId="25024"/>
    <cellStyle name="Calculation 4 4 2" xfId="25448"/>
    <cellStyle name="Calculation 4 4 3" xfId="25671"/>
    <cellStyle name="Calculation 40" xfId="2474"/>
    <cellStyle name="Calculation 41" xfId="2475"/>
    <cellStyle name="Calculation 42" xfId="2476"/>
    <cellStyle name="Calculation 43" xfId="2477"/>
    <cellStyle name="Calculation 44" xfId="2478"/>
    <cellStyle name="Calculation 45" xfId="2479"/>
    <cellStyle name="Calculation 46" xfId="2480"/>
    <cellStyle name="Calculation 47" xfId="2481"/>
    <cellStyle name="Calculation 48" xfId="2482"/>
    <cellStyle name="Calculation 49" xfId="2483"/>
    <cellStyle name="Calculation 5" xfId="2484"/>
    <cellStyle name="Calculation 50" xfId="2485"/>
    <cellStyle name="Calculation 51" xfId="2486"/>
    <cellStyle name="Calculation 52" xfId="2487"/>
    <cellStyle name="Calculation 53" xfId="2488"/>
    <cellStyle name="Calculation 54" xfId="2489"/>
    <cellStyle name="Calculation 55" xfId="2490"/>
    <cellStyle name="Calculation 56" xfId="2491"/>
    <cellStyle name="Calculation 57" xfId="2492"/>
    <cellStyle name="Calculation 58" xfId="2493"/>
    <cellStyle name="Calculation 59" xfId="2494"/>
    <cellStyle name="Calculation 6" xfId="2495"/>
    <cellStyle name="Calculation 60" xfId="2496"/>
    <cellStyle name="Calculation 61" xfId="2497"/>
    <cellStyle name="Calculation 62" xfId="2498"/>
    <cellStyle name="Calculation 63" xfId="2499"/>
    <cellStyle name="Calculation 64" xfId="2500"/>
    <cellStyle name="Calculation 65" xfId="2501"/>
    <cellStyle name="Calculation 66" xfId="2502"/>
    <cellStyle name="Calculation 67" xfId="2503"/>
    <cellStyle name="Calculation 68" xfId="2504"/>
    <cellStyle name="Calculation 69" xfId="2505"/>
    <cellStyle name="Calculation 7" xfId="2506"/>
    <cellStyle name="Calculation 70" xfId="2507"/>
    <cellStyle name="Calculation 71" xfId="2508"/>
    <cellStyle name="Calculation 72" xfId="2509"/>
    <cellStyle name="Calculation 8" xfId="2510"/>
    <cellStyle name="Calculation 9" xfId="2511"/>
    <cellStyle name="Check Cell 10" xfId="2512"/>
    <cellStyle name="Check Cell 11" xfId="2513"/>
    <cellStyle name="Check Cell 12" xfId="2514"/>
    <cellStyle name="Check Cell 13" xfId="2515"/>
    <cellStyle name="Check Cell 14" xfId="2516"/>
    <cellStyle name="Check Cell 15" xfId="2517"/>
    <cellStyle name="Check Cell 16" xfId="2518"/>
    <cellStyle name="Check Cell 17" xfId="2519"/>
    <cellStyle name="Check Cell 18" xfId="2520"/>
    <cellStyle name="Check Cell 19" xfId="2521"/>
    <cellStyle name="Check Cell 2" xfId="2522"/>
    <cellStyle name="Check Cell 2 2" xfId="24061"/>
    <cellStyle name="Check Cell 2 3" xfId="24060"/>
    <cellStyle name="Check Cell 20" xfId="2523"/>
    <cellStyle name="Check Cell 21" xfId="2524"/>
    <cellStyle name="Check Cell 22" xfId="2525"/>
    <cellStyle name="Check Cell 23" xfId="2526"/>
    <cellStyle name="Check Cell 24" xfId="2527"/>
    <cellStyle name="Check Cell 25" xfId="2528"/>
    <cellStyle name="Check Cell 26" xfId="2529"/>
    <cellStyle name="Check Cell 27" xfId="2530"/>
    <cellStyle name="Check Cell 28" xfId="2531"/>
    <cellStyle name="Check Cell 29" xfId="2532"/>
    <cellStyle name="Check Cell 3" xfId="2533"/>
    <cellStyle name="Check Cell 3 2" xfId="24062"/>
    <cellStyle name="Check Cell 30" xfId="2534"/>
    <cellStyle name="Check Cell 31" xfId="2535"/>
    <cellStyle name="Check Cell 32" xfId="2536"/>
    <cellStyle name="Check Cell 33" xfId="2537"/>
    <cellStyle name="Check Cell 34" xfId="2538"/>
    <cellStyle name="Check Cell 35" xfId="2539"/>
    <cellStyle name="Check Cell 36" xfId="2540"/>
    <cellStyle name="Check Cell 37" xfId="2541"/>
    <cellStyle name="Check Cell 38" xfId="2542"/>
    <cellStyle name="Check Cell 39" xfId="2543"/>
    <cellStyle name="Check Cell 4" xfId="2544"/>
    <cellStyle name="Check Cell 4 2" xfId="24063"/>
    <cellStyle name="Check Cell 40" xfId="2545"/>
    <cellStyle name="Check Cell 41" xfId="2546"/>
    <cellStyle name="Check Cell 42" xfId="2547"/>
    <cellStyle name="Check Cell 43" xfId="2548"/>
    <cellStyle name="Check Cell 44" xfId="2549"/>
    <cellStyle name="Check Cell 45" xfId="2550"/>
    <cellStyle name="Check Cell 46" xfId="2551"/>
    <cellStyle name="Check Cell 47" xfId="2552"/>
    <cellStyle name="Check Cell 48" xfId="2553"/>
    <cellStyle name="Check Cell 49" xfId="2554"/>
    <cellStyle name="Check Cell 5" xfId="2555"/>
    <cellStyle name="Check Cell 50" xfId="2556"/>
    <cellStyle name="Check Cell 51" xfId="2557"/>
    <cellStyle name="Check Cell 52" xfId="2558"/>
    <cellStyle name="Check Cell 53" xfId="2559"/>
    <cellStyle name="Check Cell 54" xfId="2560"/>
    <cellStyle name="Check Cell 55" xfId="2561"/>
    <cellStyle name="Check Cell 56" xfId="2562"/>
    <cellStyle name="Check Cell 57" xfId="2563"/>
    <cellStyle name="Check Cell 58" xfId="2564"/>
    <cellStyle name="Check Cell 59" xfId="2565"/>
    <cellStyle name="Check Cell 6" xfId="2566"/>
    <cellStyle name="Check Cell 60" xfId="2567"/>
    <cellStyle name="Check Cell 61" xfId="2568"/>
    <cellStyle name="Check Cell 62" xfId="2569"/>
    <cellStyle name="Check Cell 63" xfId="2570"/>
    <cellStyle name="Check Cell 64" xfId="2571"/>
    <cellStyle name="Check Cell 65" xfId="2572"/>
    <cellStyle name="Check Cell 66" xfId="2573"/>
    <cellStyle name="Check Cell 67" xfId="2574"/>
    <cellStyle name="Check Cell 68" xfId="2575"/>
    <cellStyle name="Check Cell 69" xfId="2576"/>
    <cellStyle name="Check Cell 7" xfId="2577"/>
    <cellStyle name="Check Cell 70" xfId="2578"/>
    <cellStyle name="Check Cell 71" xfId="2579"/>
    <cellStyle name="Check Cell 72" xfId="2580"/>
    <cellStyle name="Check Cell 8" xfId="2581"/>
    <cellStyle name="Check Cell 9" xfId="2582"/>
    <cellStyle name="Co. Names" xfId="546"/>
    <cellStyle name="Co. Names 2" xfId="24064"/>
    <cellStyle name="Column total in dollars" xfId="11"/>
    <cellStyle name="ColumnAttributeAbovePrompt" xfId="2583"/>
    <cellStyle name="ColumnAttributePrompt" xfId="2584"/>
    <cellStyle name="ColumnAttributeValue" xfId="2585"/>
    <cellStyle name="ColumnHeadingPrompt" xfId="2586"/>
    <cellStyle name="ColumnHeadingValue" xfId="2587"/>
    <cellStyle name="Comma" xfId="25744"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0] 2" xfId="176"/>
    <cellStyle name="Comma [0] 3" xfId="177"/>
    <cellStyle name="Comma [0] 3 2" xfId="363"/>
    <cellStyle name="Comma [0] 3 2 2" xfId="445"/>
    <cellStyle name="Comma [0] 3 2 2 2" xfId="531"/>
    <cellStyle name="Comma [0] 3 2 2 2 2" xfId="13894"/>
    <cellStyle name="Comma [0] 3 2 2 3" xfId="13817"/>
    <cellStyle name="Comma [0] 3 2 3" xfId="494"/>
    <cellStyle name="Comma [0] 3 2 3 2" xfId="13857"/>
    <cellStyle name="Comma [0] 3 2 4" xfId="13773"/>
    <cellStyle name="Comma [0] 3 3" xfId="425"/>
    <cellStyle name="Comma [0] 3 3 2" xfId="516"/>
    <cellStyle name="Comma [0] 3 3 2 2" xfId="13879"/>
    <cellStyle name="Comma [0] 3 3 3" xfId="13802"/>
    <cellStyle name="Comma [0] 3 4" xfId="479"/>
    <cellStyle name="Comma [0] 3 4 2" xfId="13842"/>
    <cellStyle name="Comma [0] 3 5" xfId="13687"/>
    <cellStyle name="Comma [1]" xfId="547"/>
    <cellStyle name="Comma [1] 2" xfId="24066"/>
    <cellStyle name="Comma [2]" xfId="548"/>
    <cellStyle name="Comma [3]" xfId="549"/>
    <cellStyle name="Comma 10" xfId="172"/>
    <cellStyle name="Comma 10 10" xfId="25746"/>
    <cellStyle name="Comma 10 2" xfId="281"/>
    <cellStyle name="Comma 10 3" xfId="633"/>
    <cellStyle name="Comma 10 3 2" xfId="13905"/>
    <cellStyle name="Comma 11" xfId="178"/>
    <cellStyle name="Comma 11 2" xfId="634"/>
    <cellStyle name="Comma 11 3" xfId="23929"/>
    <cellStyle name="Comma 12" xfId="179"/>
    <cellStyle name="Comma 13" xfId="180"/>
    <cellStyle name="Comma 14" xfId="175"/>
    <cellStyle name="Comma 15" xfId="181"/>
    <cellStyle name="Comma 16" xfId="173"/>
    <cellStyle name="Comma 17" xfId="182"/>
    <cellStyle name="Comma 18" xfId="174"/>
    <cellStyle name="Comma 19" xfId="283"/>
    <cellStyle name="Comma 2" xfId="5"/>
    <cellStyle name="Comma 2 10" xfId="25768"/>
    <cellStyle name="Comma 2 2" xfId="21"/>
    <cellStyle name="Comma 2 2 2" xfId="398"/>
    <cellStyle name="Comma 2 2 2 2" xfId="637"/>
    <cellStyle name="Comma 2 2 2 3" xfId="636"/>
    <cellStyle name="Comma 2 2 2 4" xfId="25782"/>
    <cellStyle name="Comma 2 2 3" xfId="374"/>
    <cellStyle name="Comma 2 2 3 2" xfId="638"/>
    <cellStyle name="Comma 2 2 4" xfId="23898"/>
    <cellStyle name="Comma 2 2 5" xfId="25769"/>
    <cellStyle name="Comma 2 3" xfId="183"/>
    <cellStyle name="Comma 2 3 2" xfId="364"/>
    <cellStyle name="Comma 2 3 2 2" xfId="446"/>
    <cellStyle name="Comma 2 3 2 2 2" xfId="532"/>
    <cellStyle name="Comma 2 3 2 2 2 2" xfId="13895"/>
    <cellStyle name="Comma 2 3 2 2 3" xfId="13818"/>
    <cellStyle name="Comma 2 3 2 3" xfId="495"/>
    <cellStyle name="Comma 2 3 2 3 2" xfId="13858"/>
    <cellStyle name="Comma 2 3 2 4" xfId="13774"/>
    <cellStyle name="Comma 2 3 3" xfId="426"/>
    <cellStyle name="Comma 2 3 3 2" xfId="517"/>
    <cellStyle name="Comma 2 3 3 2 2" xfId="13880"/>
    <cellStyle name="Comma 2 3 3 3" xfId="13803"/>
    <cellStyle name="Comma 2 3 4" xfId="480"/>
    <cellStyle name="Comma 2 3 4 2" xfId="13843"/>
    <cellStyle name="Comma 2 3 5" xfId="639"/>
    <cellStyle name="Comma 2 3 5 2" xfId="13907"/>
    <cellStyle name="Comma 2 3 6" xfId="13688"/>
    <cellStyle name="Comma 2 3 7" xfId="24067"/>
    <cellStyle name="Comma 2 4" xfId="351"/>
    <cellStyle name="Comma 2 4 2" xfId="25783"/>
    <cellStyle name="Comma 2 4 3" xfId="25770"/>
    <cellStyle name="Comma 2 5" xfId="373"/>
    <cellStyle name="Comma 2 5 2" xfId="25784"/>
    <cellStyle name="Comma 2 5 3" xfId="25771"/>
    <cellStyle name="Comma 2 6" xfId="635"/>
    <cellStyle name="Comma 2 6 2" xfId="13906"/>
    <cellStyle name="Comma 2 6 3" xfId="25781"/>
    <cellStyle name="Comma 2 7" xfId="2588"/>
    <cellStyle name="Comma 2 8" xfId="13603"/>
    <cellStyle name="Comma 2 9" xfId="12600"/>
    <cellStyle name="Comma 20" xfId="282"/>
    <cellStyle name="Comma 21" xfId="290"/>
    <cellStyle name="Comma 21 2" xfId="369"/>
    <cellStyle name="Comma 22" xfId="288"/>
    <cellStyle name="Comma 23" xfId="291"/>
    <cellStyle name="Comma 24" xfId="289"/>
    <cellStyle name="Comma 25" xfId="301"/>
    <cellStyle name="Comma 26" xfId="300"/>
    <cellStyle name="Comma 27" xfId="312"/>
    <cellStyle name="Comma 28" xfId="311"/>
    <cellStyle name="Comma 29" xfId="313"/>
    <cellStyle name="Comma 3" xfId="10"/>
    <cellStyle name="Comma 3 10" xfId="23905"/>
    <cellStyle name="Comma 3 11" xfId="25779"/>
    <cellStyle name="Comma 3 2" xfId="22"/>
    <cellStyle name="Comma 3 3" xfId="184"/>
    <cellStyle name="Comma 3 4" xfId="353"/>
    <cellStyle name="Comma 3 5" xfId="397"/>
    <cellStyle name="Comma 3 6" xfId="375"/>
    <cellStyle name="Comma 3 7" xfId="2589"/>
    <cellStyle name="Comma 3 8" xfId="13605"/>
    <cellStyle name="Comma 3 9" xfId="13599"/>
    <cellStyle name="Comma 30" xfId="310"/>
    <cellStyle name="Comma 31" xfId="314"/>
    <cellStyle name="Comma 32" xfId="308"/>
    <cellStyle name="Comma 33" xfId="315"/>
    <cellStyle name="Comma 34" xfId="306"/>
    <cellStyle name="Comma 35" xfId="337"/>
    <cellStyle name="Comma 36" xfId="334"/>
    <cellStyle name="Comma 37" xfId="338"/>
    <cellStyle name="Comma 38" xfId="336"/>
    <cellStyle name="Comma 39" xfId="394"/>
    <cellStyle name="Comma 4" xfId="8"/>
    <cellStyle name="Comma 4 2" xfId="185"/>
    <cellStyle name="Comma 4 2 2" xfId="365"/>
    <cellStyle name="Comma 4 2 2 2" xfId="447"/>
    <cellStyle name="Comma 4 2 2 2 2" xfId="533"/>
    <cellStyle name="Comma 4 2 2 2 2 2" xfId="13896"/>
    <cellStyle name="Comma 4 2 2 2 3" xfId="13819"/>
    <cellStyle name="Comma 4 2 2 3" xfId="496"/>
    <cellStyle name="Comma 4 2 2 3 2" xfId="13859"/>
    <cellStyle name="Comma 4 2 2 4" xfId="13775"/>
    <cellStyle name="Comma 4 2 3" xfId="427"/>
    <cellStyle name="Comma 4 2 3 2" xfId="518"/>
    <cellStyle name="Comma 4 2 3 2 2" xfId="13881"/>
    <cellStyle name="Comma 4 2 3 3" xfId="13804"/>
    <cellStyle name="Comma 4 2 4" xfId="481"/>
    <cellStyle name="Comma 4 2 4 2" xfId="13844"/>
    <cellStyle name="Comma 4 2 5" xfId="641"/>
    <cellStyle name="Comma 4 2 6" xfId="13689"/>
    <cellStyle name="Comma 4 2 7" xfId="24068"/>
    <cellStyle name="Comma 4 3" xfId="352"/>
    <cellStyle name="Comma 4 4" xfId="640"/>
    <cellStyle name="Comma 4 5" xfId="3619"/>
    <cellStyle name="Comma 4 6" xfId="25792"/>
    <cellStyle name="Comma 40" xfId="371"/>
    <cellStyle name="Comma 40 2" xfId="501"/>
    <cellStyle name="Comma 40 2 2" xfId="13864"/>
    <cellStyle name="Comma 40 3" xfId="13780"/>
    <cellStyle name="Comma 41" xfId="391"/>
    <cellStyle name="Comma 41 2" xfId="505"/>
    <cellStyle name="Comma 41 2 2" xfId="13868"/>
    <cellStyle name="Comma 41 3" xfId="13786"/>
    <cellStyle name="Comma 42" xfId="388"/>
    <cellStyle name="Comma 42 2" xfId="504"/>
    <cellStyle name="Comma 42 2 2" xfId="13867"/>
    <cellStyle name="Comma 42 3" xfId="13784"/>
    <cellStyle name="Comma 43" xfId="452"/>
    <cellStyle name="Comma 43 2" xfId="538"/>
    <cellStyle name="Comma 43 2 2" xfId="13901"/>
    <cellStyle name="Comma 43 3" xfId="13824"/>
    <cellStyle name="Comma 44" xfId="13600"/>
    <cellStyle name="Comma 45" xfId="23886"/>
    <cellStyle name="Comma 46" xfId="23891"/>
    <cellStyle name="Comma 47" xfId="23895"/>
    <cellStyle name="Comma 48" xfId="23899"/>
    <cellStyle name="Comma 49" xfId="2"/>
    <cellStyle name="Comma 5" xfId="23"/>
    <cellStyle name="Comma 5 2" xfId="24069"/>
    <cellStyle name="Comma 50" xfId="25277"/>
    <cellStyle name="Comma 51" xfId="25294"/>
    <cellStyle name="Comma 52" xfId="25456"/>
    <cellStyle name="Comma 53" xfId="25749"/>
    <cellStyle name="Comma 54" xfId="25755"/>
    <cellStyle name="Comma 55" xfId="25756"/>
    <cellStyle name="Comma 56" xfId="25761"/>
    <cellStyle name="Comma 57" xfId="25762"/>
    <cellStyle name="Comma 6" xfId="24"/>
    <cellStyle name="Comma 6 2" xfId="399"/>
    <cellStyle name="Comma 6 2 2" xfId="24319"/>
    <cellStyle name="Comma 6 2 3" xfId="24783"/>
    <cellStyle name="Comma 6 2 4" xfId="25150"/>
    <cellStyle name="Comma 6 3" xfId="376"/>
    <cellStyle name="Comma 6 4" xfId="23931"/>
    <cellStyle name="Comma 6 5" xfId="24558"/>
    <cellStyle name="Comma 6 6" xfId="24948"/>
    <cellStyle name="Comma 7" xfId="186"/>
    <cellStyle name="Comma 7 2" xfId="642"/>
    <cellStyle name="Comma 7 2 2" xfId="24406"/>
    <cellStyle name="Comma 7 2 3" xfId="24858"/>
    <cellStyle name="Comma 7 2 4" xfId="25223"/>
    <cellStyle name="Comma 7 3" xfId="24070"/>
    <cellStyle name="Comma 7 4" xfId="24703"/>
    <cellStyle name="Comma 7 5" xfId="25025"/>
    <cellStyle name="Comma 8" xfId="187"/>
    <cellStyle name="Comma 8 2" xfId="643"/>
    <cellStyle name="Comma 8 2 2" xfId="13908"/>
    <cellStyle name="Comma 8 2 3" xfId="24481"/>
    <cellStyle name="Comma 8 2 4" xfId="24913"/>
    <cellStyle name="Comma 8 2 5" xfId="25273"/>
    <cellStyle name="Comma 8 3" xfId="24295"/>
    <cellStyle name="Comma 8 4" xfId="24776"/>
    <cellStyle name="Comma 8 5" xfId="25145"/>
    <cellStyle name="Comma 9" xfId="188"/>
    <cellStyle name="Comma 9 2" xfId="24482"/>
    <cellStyle name="Comma 9 2 2" xfId="24914"/>
    <cellStyle name="Comma 9 2 3" xfId="25274"/>
    <cellStyle name="Comma 9 3" xfId="24296"/>
    <cellStyle name="Comma 9 4" xfId="24777"/>
    <cellStyle name="Comma 9 5" xfId="25146"/>
    <cellStyle name="Comma0" xfId="25"/>
    <cellStyle name="Comma0 - Style3" xfId="26"/>
    <cellStyle name="Comma0 - Style4" xfId="27"/>
    <cellStyle name="Comma0 10" xfId="461"/>
    <cellStyle name="Comma0 11" xfId="24411"/>
    <cellStyle name="Comma0 12" xfId="24399"/>
    <cellStyle name="Comma0 13" xfId="24503"/>
    <cellStyle name="Comma0 14" xfId="24400"/>
    <cellStyle name="Comma0 15" xfId="24496"/>
    <cellStyle name="Comma0 16" xfId="24474"/>
    <cellStyle name="Comma0 17" xfId="24497"/>
    <cellStyle name="Comma0 18" xfId="24402"/>
    <cellStyle name="Comma0 19" xfId="24477"/>
    <cellStyle name="Comma0 2" xfId="400"/>
    <cellStyle name="Comma0 2 2" xfId="24072"/>
    <cellStyle name="Comma0 20" xfId="24508"/>
    <cellStyle name="Comma0 21" xfId="24509"/>
    <cellStyle name="Comma0 22" xfId="24510"/>
    <cellStyle name="Comma0 23" xfId="24512"/>
    <cellStyle name="Comma0 24" xfId="24513"/>
    <cellStyle name="Comma0 25" xfId="24514"/>
    <cellStyle name="Comma0 26" xfId="24515"/>
    <cellStyle name="Comma0 27" xfId="24516"/>
    <cellStyle name="Comma0 28" xfId="24517"/>
    <cellStyle name="Comma0 29" xfId="23909"/>
    <cellStyle name="Comma0 3" xfId="377"/>
    <cellStyle name="Comma0 3 2" xfId="24073"/>
    <cellStyle name="Comma0 30" xfId="23926"/>
    <cellStyle name="Comma0 31" xfId="24531"/>
    <cellStyle name="Comma0 32" xfId="24012"/>
    <cellStyle name="Comma0 33" xfId="24540"/>
    <cellStyle name="Comma0 34" xfId="24102"/>
    <cellStyle name="Comma0 35" xfId="24032"/>
    <cellStyle name="Comma0 36" xfId="24071"/>
    <cellStyle name="Comma0 37" xfId="24533"/>
    <cellStyle name="Comma0 38" xfId="24535"/>
    <cellStyle name="Comma0 39" xfId="24524"/>
    <cellStyle name="Comma0 4" xfId="435"/>
    <cellStyle name="Comma0 40" xfId="24547"/>
    <cellStyle name="Comma0 41" xfId="24773"/>
    <cellStyle name="Comma0 42" xfId="24922"/>
    <cellStyle name="Comma0 43" xfId="24687"/>
    <cellStyle name="Comma0 44" xfId="24702"/>
    <cellStyle name="Comma0 45" xfId="24934"/>
    <cellStyle name="Comma0 46" xfId="24765"/>
    <cellStyle name="Comma0 47" xfId="24938"/>
    <cellStyle name="Comma0 48" xfId="24706"/>
    <cellStyle name="Comma0 49" xfId="24766"/>
    <cellStyle name="Comma0 5" xfId="430"/>
    <cellStyle name="Comma0 50" xfId="24546"/>
    <cellStyle name="Comma0 51" xfId="24761"/>
    <cellStyle name="Comma0 52" xfId="24923"/>
    <cellStyle name="Comma0 53" xfId="24942"/>
    <cellStyle name="Comma0 6" xfId="433"/>
    <cellStyle name="Comma0 7" xfId="455"/>
    <cellStyle name="Comma0 8" xfId="463"/>
    <cellStyle name="Comma0 9" xfId="456"/>
    <cellStyle name="Comma0_3.7 Revenue Correcting - Dec09" xfId="349"/>
    <cellStyle name="Comma1 - Style1" xfId="28"/>
    <cellStyle name="Currency" xfId="25747" builtinId="4"/>
    <cellStyle name="Currency [1]" xfId="550"/>
    <cellStyle name="Currency [1] 2" xfId="24074"/>
    <cellStyle name="Currency [2]" xfId="551"/>
    <cellStyle name="Currency [2] 2" xfId="24075"/>
    <cellStyle name="Currency [3]" xfId="552"/>
    <cellStyle name="Currency [3] 2" xfId="24076"/>
    <cellStyle name="Currency 10" xfId="24300"/>
    <cellStyle name="Currency 11" xfId="24466"/>
    <cellStyle name="Currency 12" xfId="3"/>
    <cellStyle name="Currency 13" xfId="24305"/>
    <cellStyle name="Currency 14" xfId="25278"/>
    <cellStyle name="Currency 15" xfId="25293"/>
    <cellStyle name="Currency 15 2" xfId="25799"/>
    <cellStyle name="Currency 16" xfId="24306"/>
    <cellStyle name="Currency 17" xfId="24307"/>
    <cellStyle name="Currency 18" xfId="25457"/>
    <cellStyle name="Currency 2" xfId="29"/>
    <cellStyle name="Currency 2 10" xfId="24077"/>
    <cellStyle name="Currency 2 11" xfId="25753"/>
    <cellStyle name="Currency 2 2" xfId="354"/>
    <cellStyle name="Currency 2 2 2" xfId="437"/>
    <cellStyle name="Currency 2 2 2 2" xfId="523"/>
    <cellStyle name="Currency 2 2 2 2 2" xfId="13886"/>
    <cellStyle name="Currency 2 2 2 3" xfId="13809"/>
    <cellStyle name="Currency 2 2 3" xfId="486"/>
    <cellStyle name="Currency 2 2 3 2" xfId="13849"/>
    <cellStyle name="Currency 2 2 4" xfId="13764"/>
    <cellStyle name="Currency 2 2 5" xfId="24078"/>
    <cellStyle name="Currency 2 3" xfId="401"/>
    <cellStyle name="Currency 2 3 2" xfId="506"/>
    <cellStyle name="Currency 2 3 2 2" xfId="13869"/>
    <cellStyle name="Currency 2 3 3" xfId="13788"/>
    <cellStyle name="Currency 2 3 4" xfId="24079"/>
    <cellStyle name="Currency 2 4" xfId="378"/>
    <cellStyle name="Currency 2 5" xfId="468"/>
    <cellStyle name="Currency 2 6" xfId="471"/>
    <cellStyle name="Currency 2 6 2" xfId="13834"/>
    <cellStyle name="Currency 2 7" xfId="644"/>
    <cellStyle name="Currency 2 7 2" xfId="13909"/>
    <cellStyle name="Currency 2 8" xfId="23896"/>
    <cellStyle name="Currency 2 9" xfId="13606"/>
    <cellStyle name="Currency 3" xfId="30"/>
    <cellStyle name="Currency 3 2" xfId="402"/>
    <cellStyle name="Currency 3 2 2" xfId="24302"/>
    <cellStyle name="Currency 3 3" xfId="379"/>
    <cellStyle name="Currency 3 4" xfId="3620"/>
    <cellStyle name="Currency 3 5" xfId="24080"/>
    <cellStyle name="Currency 3 6" xfId="25793"/>
    <cellStyle name="Currency 4" xfId="168"/>
    <cellStyle name="Currency 5" xfId="169"/>
    <cellStyle name="Currency 5 2" xfId="360"/>
    <cellStyle name="Currency 5 2 2" xfId="442"/>
    <cellStyle name="Currency 5 2 2 2" xfId="528"/>
    <cellStyle name="Currency 5 2 2 2 2" xfId="13891"/>
    <cellStyle name="Currency 5 2 2 3" xfId="13814"/>
    <cellStyle name="Currency 5 2 3" xfId="491"/>
    <cellStyle name="Currency 5 2 3 2" xfId="13854"/>
    <cellStyle name="Currency 5 2 4" xfId="13770"/>
    <cellStyle name="Currency 5 2 5" xfId="24303"/>
    <cellStyle name="Currency 5 3" xfId="422"/>
    <cellStyle name="Currency 5 3 2" xfId="513"/>
    <cellStyle name="Currency 5 3 2 2" xfId="13876"/>
    <cellStyle name="Currency 5 3 3" xfId="13799"/>
    <cellStyle name="Currency 5 3 4" xfId="24407"/>
    <cellStyle name="Currency 5 3 5" xfId="24859"/>
    <cellStyle name="Currency 5 3 6" xfId="25224"/>
    <cellStyle name="Currency 5 4" xfId="476"/>
    <cellStyle name="Currency 5 4 2" xfId="13839"/>
    <cellStyle name="Currency 5 5" xfId="13684"/>
    <cellStyle name="Currency 5 6" xfId="23903"/>
    <cellStyle name="Currency 5 7" xfId="24081"/>
    <cellStyle name="Currency 5 8" xfId="24707"/>
    <cellStyle name="Currency 5 9" xfId="25026"/>
    <cellStyle name="Currency 6" xfId="395"/>
    <cellStyle name="Currency 6 2" xfId="24293"/>
    <cellStyle name="Currency 7" xfId="2590"/>
    <cellStyle name="Currency 7 2" xfId="24484"/>
    <cellStyle name="Currency 7 2 2" xfId="24915"/>
    <cellStyle name="Currency 7 2 3" xfId="25275"/>
    <cellStyle name="Currency 7 3" xfId="24297"/>
    <cellStyle name="Currency 7 4" xfId="24778"/>
    <cellStyle name="Currency 7 5" xfId="25147"/>
    <cellStyle name="Currency 8" xfId="13601"/>
    <cellStyle name="Currency 8 2" xfId="23904"/>
    <cellStyle name="Currency 9" xfId="23889"/>
    <cellStyle name="Currency 9 2" xfId="24299"/>
    <cellStyle name="Currency No Comma" xfId="31"/>
    <cellStyle name="Currency(0)" xfId="32"/>
    <cellStyle name="Currency0" xfId="33"/>
    <cellStyle name="Currency0 2" xfId="403"/>
    <cellStyle name="Currency0 2 2" xfId="24082"/>
    <cellStyle name="Currency0 3" xfId="380"/>
    <cellStyle name="Currency0 4" xfId="23910"/>
    <cellStyle name="Currsmall" xfId="553"/>
    <cellStyle name="Data Link" xfId="554"/>
    <cellStyle name="Date" xfId="34"/>
    <cellStyle name="Date - Style3" xfId="35"/>
    <cellStyle name="Date (mm/dd/yy)" xfId="555"/>
    <cellStyle name="Date (mm/yy)" xfId="556"/>
    <cellStyle name="Date (mmm/yy)" xfId="557"/>
    <cellStyle name="Date (Mon, Tues, etc)" xfId="558"/>
    <cellStyle name="Date (Monday, Tuesday, etc)" xfId="559"/>
    <cellStyle name="Date 10" xfId="460"/>
    <cellStyle name="Date 11" xfId="24408"/>
    <cellStyle name="Date 12" xfId="24401"/>
    <cellStyle name="Date 13" xfId="24409"/>
    <cellStyle name="Date 14" xfId="24405"/>
    <cellStyle name="Date 15" xfId="24502"/>
    <cellStyle name="Date 16" xfId="24404"/>
    <cellStyle name="Date 17" xfId="24495"/>
    <cellStyle name="Date 18" xfId="24315"/>
    <cellStyle name="Date 19" xfId="24493"/>
    <cellStyle name="Date 2" xfId="404"/>
    <cellStyle name="Date 2 2" xfId="24083"/>
    <cellStyle name="Date 20" xfId="24317"/>
    <cellStyle name="Date 21" xfId="24489"/>
    <cellStyle name="Date 22" xfId="24483"/>
    <cellStyle name="Date 23" xfId="24491"/>
    <cellStyle name="Date 24" xfId="24403"/>
    <cellStyle name="Date 25" xfId="24488"/>
    <cellStyle name="Date 26" xfId="24507"/>
    <cellStyle name="Date 27" xfId="23911"/>
    <cellStyle name="Date 28" xfId="23925"/>
    <cellStyle name="Date 29" xfId="24530"/>
    <cellStyle name="Date 3" xfId="381"/>
    <cellStyle name="Date 30" xfId="24007"/>
    <cellStyle name="Date 31" xfId="24539"/>
    <cellStyle name="Date 32" xfId="24520"/>
    <cellStyle name="Date 33" xfId="24084"/>
    <cellStyle name="Date 34" xfId="24527"/>
    <cellStyle name="Date 35" xfId="24538"/>
    <cellStyle name="Date 36" xfId="24097"/>
    <cellStyle name="Date 37" xfId="24534"/>
    <cellStyle name="Date 38" xfId="24548"/>
    <cellStyle name="Date 39" xfId="24772"/>
    <cellStyle name="Date 4" xfId="434"/>
    <cellStyle name="Date 40" xfId="24635"/>
    <cellStyle name="Date 41" xfId="24916"/>
    <cellStyle name="Date 42" xfId="24932"/>
    <cellStyle name="Date 43" xfId="24856"/>
    <cellStyle name="Date 44" xfId="24760"/>
    <cellStyle name="Date 45" xfId="24930"/>
    <cellStyle name="Date 46" xfId="24925"/>
    <cellStyle name="Date 47" xfId="24939"/>
    <cellStyle name="Date 48" xfId="24921"/>
    <cellStyle name="Date 49" xfId="24928"/>
    <cellStyle name="Date 5" xfId="436"/>
    <cellStyle name="Date 50" xfId="24908"/>
    <cellStyle name="Date 51" xfId="24943"/>
    <cellStyle name="Date 6" xfId="389"/>
    <cellStyle name="Date 7" xfId="457"/>
    <cellStyle name="Date 8" xfId="462"/>
    <cellStyle name="Date 9" xfId="458"/>
    <cellStyle name="Date_2002SavingsIdeasSummary" xfId="560"/>
    <cellStyle name="Emphasis 1" xfId="24085"/>
    <cellStyle name="Emphasis 2" xfId="24086"/>
    <cellStyle name="Emphasis 3" xfId="24087"/>
    <cellStyle name="Explanatory Text 10" xfId="2591"/>
    <cellStyle name="Explanatory Text 11" xfId="2592"/>
    <cellStyle name="Explanatory Text 12" xfId="2593"/>
    <cellStyle name="Explanatory Text 13" xfId="2594"/>
    <cellStyle name="Explanatory Text 14" xfId="2595"/>
    <cellStyle name="Explanatory Text 15" xfId="2596"/>
    <cellStyle name="Explanatory Text 16" xfId="2597"/>
    <cellStyle name="Explanatory Text 17" xfId="2598"/>
    <cellStyle name="Explanatory Text 18" xfId="2599"/>
    <cellStyle name="Explanatory Text 19" xfId="2600"/>
    <cellStyle name="Explanatory Text 2" xfId="2601"/>
    <cellStyle name="Explanatory Text 20" xfId="2602"/>
    <cellStyle name="Explanatory Text 21" xfId="2603"/>
    <cellStyle name="Explanatory Text 22" xfId="2604"/>
    <cellStyle name="Explanatory Text 23" xfId="2605"/>
    <cellStyle name="Explanatory Text 24" xfId="2606"/>
    <cellStyle name="Explanatory Text 25" xfId="2607"/>
    <cellStyle name="Explanatory Text 26" xfId="2608"/>
    <cellStyle name="Explanatory Text 27" xfId="2609"/>
    <cellStyle name="Explanatory Text 28" xfId="2610"/>
    <cellStyle name="Explanatory Text 29" xfId="2611"/>
    <cellStyle name="Explanatory Text 3" xfId="2612"/>
    <cellStyle name="Explanatory Text 30" xfId="2613"/>
    <cellStyle name="Explanatory Text 31" xfId="2614"/>
    <cellStyle name="Explanatory Text 32" xfId="2615"/>
    <cellStyle name="Explanatory Text 33" xfId="2616"/>
    <cellStyle name="Explanatory Text 34" xfId="2617"/>
    <cellStyle name="Explanatory Text 35" xfId="2618"/>
    <cellStyle name="Explanatory Text 36" xfId="2619"/>
    <cellStyle name="Explanatory Text 37" xfId="2620"/>
    <cellStyle name="Explanatory Text 38" xfId="2621"/>
    <cellStyle name="Explanatory Text 39" xfId="2622"/>
    <cellStyle name="Explanatory Text 4" xfId="2623"/>
    <cellStyle name="Explanatory Text 40" xfId="2624"/>
    <cellStyle name="Explanatory Text 41" xfId="2625"/>
    <cellStyle name="Explanatory Text 42" xfId="2626"/>
    <cellStyle name="Explanatory Text 43" xfId="2627"/>
    <cellStyle name="Explanatory Text 44" xfId="2628"/>
    <cellStyle name="Explanatory Text 45" xfId="2629"/>
    <cellStyle name="Explanatory Text 46" xfId="2630"/>
    <cellStyle name="Explanatory Text 47" xfId="2631"/>
    <cellStyle name="Explanatory Text 48" xfId="2632"/>
    <cellStyle name="Explanatory Text 49" xfId="2633"/>
    <cellStyle name="Explanatory Text 5" xfId="2634"/>
    <cellStyle name="Explanatory Text 50" xfId="2635"/>
    <cellStyle name="Explanatory Text 51" xfId="2636"/>
    <cellStyle name="Explanatory Text 52" xfId="2637"/>
    <cellStyle name="Explanatory Text 53" xfId="2638"/>
    <cellStyle name="Explanatory Text 54" xfId="2639"/>
    <cellStyle name="Explanatory Text 55" xfId="2640"/>
    <cellStyle name="Explanatory Text 56" xfId="2641"/>
    <cellStyle name="Explanatory Text 57" xfId="2642"/>
    <cellStyle name="Explanatory Text 58" xfId="2643"/>
    <cellStyle name="Explanatory Text 59" xfId="2644"/>
    <cellStyle name="Explanatory Text 6" xfId="2645"/>
    <cellStyle name="Explanatory Text 60" xfId="2646"/>
    <cellStyle name="Explanatory Text 61" xfId="2647"/>
    <cellStyle name="Explanatory Text 62" xfId="2648"/>
    <cellStyle name="Explanatory Text 63" xfId="2649"/>
    <cellStyle name="Explanatory Text 64" xfId="2650"/>
    <cellStyle name="Explanatory Text 65" xfId="2651"/>
    <cellStyle name="Explanatory Text 66" xfId="2652"/>
    <cellStyle name="Explanatory Text 67" xfId="2653"/>
    <cellStyle name="Explanatory Text 68" xfId="2654"/>
    <cellStyle name="Explanatory Text 69" xfId="2655"/>
    <cellStyle name="Explanatory Text 7" xfId="2656"/>
    <cellStyle name="Explanatory Text 70" xfId="2657"/>
    <cellStyle name="Explanatory Text 71" xfId="2658"/>
    <cellStyle name="Explanatory Text 72" xfId="2659"/>
    <cellStyle name="Explanatory Text 8" xfId="2660"/>
    <cellStyle name="Explanatory Text 9" xfId="2661"/>
    <cellStyle name="F2" xfId="561"/>
    <cellStyle name="F2 2" xfId="24088"/>
    <cellStyle name="F2 3" xfId="23912"/>
    <cellStyle name="F3" xfId="562"/>
    <cellStyle name="F3 2" xfId="24089"/>
    <cellStyle name="F3 3" xfId="23913"/>
    <cellStyle name="F4" xfId="563"/>
    <cellStyle name="F4 2" xfId="24090"/>
    <cellStyle name="F4 3" xfId="23914"/>
    <cellStyle name="F5" xfId="564"/>
    <cellStyle name="F5 2" xfId="24091"/>
    <cellStyle name="F5 3" xfId="23915"/>
    <cellStyle name="F6" xfId="565"/>
    <cellStyle name="F6 2" xfId="24092"/>
    <cellStyle name="F6 3" xfId="23916"/>
    <cellStyle name="F7" xfId="566"/>
    <cellStyle name="F7 2" xfId="24093"/>
    <cellStyle name="F7 3" xfId="23917"/>
    <cellStyle name="F8" xfId="567"/>
    <cellStyle name="F8 2" xfId="24094"/>
    <cellStyle name="F8 3" xfId="23918"/>
    <cellStyle name="Fixed" xfId="36"/>
    <cellStyle name="Fixed 2" xfId="405"/>
    <cellStyle name="Fixed 2 2" xfId="24095"/>
    <cellStyle name="Fixed 3" xfId="382"/>
    <cellStyle name="Fixed 4" xfId="23919"/>
    <cellStyle name="Fixlong" xfId="568"/>
    <cellStyle name="Followed Hyperlink" xfId="4621" builtinId="9" customBuiltin="1"/>
    <cellStyle name="Followed Hyperlink 2" xfId="2662"/>
    <cellStyle name="Followed Hyperlink 3" xfId="2663"/>
    <cellStyle name="Formula" xfId="569"/>
    <cellStyle name="Formula 2" xfId="24096"/>
    <cellStyle name="Formula 2 2" xfId="24774"/>
    <cellStyle name="Formula 3" xfId="24861"/>
    <cellStyle name="General" xfId="37"/>
    <cellStyle name="Good 10" xfId="2664"/>
    <cellStyle name="Good 11" xfId="2665"/>
    <cellStyle name="Good 12" xfId="2666"/>
    <cellStyle name="Good 13" xfId="2667"/>
    <cellStyle name="Good 14" xfId="2668"/>
    <cellStyle name="Good 15" xfId="2669"/>
    <cellStyle name="Good 16" xfId="2670"/>
    <cellStyle name="Good 17" xfId="2671"/>
    <cellStyle name="Good 18" xfId="2672"/>
    <cellStyle name="Good 19" xfId="2673"/>
    <cellStyle name="Good 2" xfId="2674"/>
    <cellStyle name="Good 2 2" xfId="24099"/>
    <cellStyle name="Good 2 3" xfId="24098"/>
    <cellStyle name="Good 20" xfId="2675"/>
    <cellStyle name="Good 21" xfId="2676"/>
    <cellStyle name="Good 22" xfId="2677"/>
    <cellStyle name="Good 23" xfId="2678"/>
    <cellStyle name="Good 24" xfId="2679"/>
    <cellStyle name="Good 25" xfId="2680"/>
    <cellStyle name="Good 26" xfId="2681"/>
    <cellStyle name="Good 27" xfId="2682"/>
    <cellStyle name="Good 28" xfId="2683"/>
    <cellStyle name="Good 29" xfId="2684"/>
    <cellStyle name="Good 3" xfId="2685"/>
    <cellStyle name="Good 3 2" xfId="24100"/>
    <cellStyle name="Good 30" xfId="2686"/>
    <cellStyle name="Good 31" xfId="2687"/>
    <cellStyle name="Good 32" xfId="2688"/>
    <cellStyle name="Good 33" xfId="2689"/>
    <cellStyle name="Good 34" xfId="2690"/>
    <cellStyle name="Good 35" xfId="2691"/>
    <cellStyle name="Good 36" xfId="2692"/>
    <cellStyle name="Good 37" xfId="2693"/>
    <cellStyle name="Good 38" xfId="2694"/>
    <cellStyle name="Good 39" xfId="2695"/>
    <cellStyle name="Good 4" xfId="2696"/>
    <cellStyle name="Good 4 2" xfId="24101"/>
    <cellStyle name="Good 40" xfId="2697"/>
    <cellStyle name="Good 41" xfId="2698"/>
    <cellStyle name="Good 42" xfId="2699"/>
    <cellStyle name="Good 43" xfId="2700"/>
    <cellStyle name="Good 44" xfId="2701"/>
    <cellStyle name="Good 45" xfId="2702"/>
    <cellStyle name="Good 46" xfId="2703"/>
    <cellStyle name="Good 47" xfId="2704"/>
    <cellStyle name="Good 48" xfId="2705"/>
    <cellStyle name="Good 49" xfId="2706"/>
    <cellStyle name="Good 5" xfId="2707"/>
    <cellStyle name="Good 50" xfId="2708"/>
    <cellStyle name="Good 51" xfId="2709"/>
    <cellStyle name="Good 52" xfId="2710"/>
    <cellStyle name="Good 53" xfId="2711"/>
    <cellStyle name="Good 54" xfId="2712"/>
    <cellStyle name="Good 55" xfId="2713"/>
    <cellStyle name="Good 56" xfId="2714"/>
    <cellStyle name="Good 57" xfId="2715"/>
    <cellStyle name="Good 58" xfId="2716"/>
    <cellStyle name="Good 59" xfId="2717"/>
    <cellStyle name="Good 6" xfId="2718"/>
    <cellStyle name="Good 60" xfId="2719"/>
    <cellStyle name="Good 61" xfId="2720"/>
    <cellStyle name="Good 62" xfId="2721"/>
    <cellStyle name="Good 63" xfId="2722"/>
    <cellStyle name="Good 64" xfId="2723"/>
    <cellStyle name="Good 65" xfId="2724"/>
    <cellStyle name="Good 66" xfId="2725"/>
    <cellStyle name="Good 67" xfId="2726"/>
    <cellStyle name="Good 68" xfId="2727"/>
    <cellStyle name="Good 69" xfId="2728"/>
    <cellStyle name="Good 7" xfId="2729"/>
    <cellStyle name="Good 70" xfId="2730"/>
    <cellStyle name="Good 71" xfId="2731"/>
    <cellStyle name="Good 72" xfId="2732"/>
    <cellStyle name="Good 8" xfId="2733"/>
    <cellStyle name="Good 9" xfId="2734"/>
    <cellStyle name="Grey" xfId="38"/>
    <cellStyle name="header" xfId="39"/>
    <cellStyle name="Header1" xfId="40"/>
    <cellStyle name="Header2" xfId="41"/>
    <cellStyle name="Header2 2" xfId="383"/>
    <cellStyle name="Header2 2 2" xfId="13782"/>
    <cellStyle name="Header2 2 2 2" xfId="25376"/>
    <cellStyle name="Header2 2 3" xfId="25280"/>
    <cellStyle name="Header2 3" xfId="13607"/>
    <cellStyle name="Header2 3 2" xfId="25374"/>
    <cellStyle name="Header2 4" xfId="24857"/>
    <cellStyle name="Heading 1 10" xfId="2735"/>
    <cellStyle name="Heading 1 11" xfId="2736"/>
    <cellStyle name="Heading 1 12" xfId="2737"/>
    <cellStyle name="Heading 1 13" xfId="2738"/>
    <cellStyle name="Heading 1 14" xfId="2739"/>
    <cellStyle name="Heading 1 15" xfId="2740"/>
    <cellStyle name="Heading 1 16" xfId="2741"/>
    <cellStyle name="Heading 1 17" xfId="2742"/>
    <cellStyle name="Heading 1 18" xfId="2743"/>
    <cellStyle name="Heading 1 19" xfId="2744"/>
    <cellStyle name="Heading 1 2" xfId="42"/>
    <cellStyle name="Heading 1 2 2" xfId="2745"/>
    <cellStyle name="Heading 1 2 2 2" xfId="24104"/>
    <cellStyle name="Heading 1 2 3" xfId="13608"/>
    <cellStyle name="Heading 1 2 4" xfId="24103"/>
    <cellStyle name="Heading 1 20" xfId="2746"/>
    <cellStyle name="Heading 1 21" xfId="2747"/>
    <cellStyle name="Heading 1 22" xfId="2748"/>
    <cellStyle name="Heading 1 23" xfId="2749"/>
    <cellStyle name="Heading 1 24" xfId="2750"/>
    <cellStyle name="Heading 1 25" xfId="2751"/>
    <cellStyle name="Heading 1 26" xfId="2752"/>
    <cellStyle name="Heading 1 27" xfId="2753"/>
    <cellStyle name="Heading 1 28" xfId="2754"/>
    <cellStyle name="Heading 1 29" xfId="2755"/>
    <cellStyle name="Heading 1 3" xfId="2756"/>
    <cellStyle name="Heading 1 3 2" xfId="24105"/>
    <cellStyle name="Heading 1 30" xfId="2757"/>
    <cellStyle name="Heading 1 31" xfId="2758"/>
    <cellStyle name="Heading 1 32" xfId="2759"/>
    <cellStyle name="Heading 1 33" xfId="2760"/>
    <cellStyle name="Heading 1 34" xfId="2761"/>
    <cellStyle name="Heading 1 35" xfId="2762"/>
    <cellStyle name="Heading 1 36" xfId="2763"/>
    <cellStyle name="Heading 1 37" xfId="2764"/>
    <cellStyle name="Heading 1 38" xfId="2765"/>
    <cellStyle name="Heading 1 39" xfId="2766"/>
    <cellStyle name="Heading 1 4" xfId="2767"/>
    <cellStyle name="Heading 1 4 2" xfId="24106"/>
    <cellStyle name="Heading 1 40" xfId="2768"/>
    <cellStyle name="Heading 1 41" xfId="2769"/>
    <cellStyle name="Heading 1 42" xfId="2770"/>
    <cellStyle name="Heading 1 43" xfId="2771"/>
    <cellStyle name="Heading 1 44" xfId="2772"/>
    <cellStyle name="Heading 1 45" xfId="2773"/>
    <cellStyle name="Heading 1 46" xfId="2774"/>
    <cellStyle name="Heading 1 47" xfId="2775"/>
    <cellStyle name="Heading 1 48" xfId="2776"/>
    <cellStyle name="Heading 1 49" xfId="2777"/>
    <cellStyle name="Heading 1 5" xfId="2778"/>
    <cellStyle name="Heading 1 50" xfId="2779"/>
    <cellStyle name="Heading 1 51" xfId="2780"/>
    <cellStyle name="Heading 1 52" xfId="2781"/>
    <cellStyle name="Heading 1 53" xfId="2782"/>
    <cellStyle name="Heading 1 54" xfId="2783"/>
    <cellStyle name="Heading 1 55" xfId="2784"/>
    <cellStyle name="Heading 1 56" xfId="2785"/>
    <cellStyle name="Heading 1 57" xfId="2786"/>
    <cellStyle name="Heading 1 58" xfId="2787"/>
    <cellStyle name="Heading 1 59" xfId="2788"/>
    <cellStyle name="Heading 1 6" xfId="2789"/>
    <cellStyle name="Heading 1 60" xfId="2790"/>
    <cellStyle name="Heading 1 61" xfId="2791"/>
    <cellStyle name="Heading 1 62" xfId="2792"/>
    <cellStyle name="Heading 1 63" xfId="2793"/>
    <cellStyle name="Heading 1 64" xfId="2794"/>
    <cellStyle name="Heading 1 65" xfId="2795"/>
    <cellStyle name="Heading 1 66" xfId="2796"/>
    <cellStyle name="Heading 1 67" xfId="2797"/>
    <cellStyle name="Heading 1 68" xfId="2798"/>
    <cellStyle name="Heading 1 69" xfId="2799"/>
    <cellStyle name="Heading 1 7" xfId="2800"/>
    <cellStyle name="Heading 1 70" xfId="2801"/>
    <cellStyle name="Heading 1 71" xfId="2802"/>
    <cellStyle name="Heading 1 72" xfId="2803"/>
    <cellStyle name="Heading 1 73" xfId="23920"/>
    <cellStyle name="Heading 1 8" xfId="2804"/>
    <cellStyle name="Heading 1 9" xfId="2805"/>
    <cellStyle name="Heading 2 10" xfId="2806"/>
    <cellStyle name="Heading 2 11" xfId="2807"/>
    <cellStyle name="Heading 2 12" xfId="2808"/>
    <cellStyle name="Heading 2 13" xfId="2809"/>
    <cellStyle name="Heading 2 14" xfId="2810"/>
    <cellStyle name="Heading 2 15" xfId="2811"/>
    <cellStyle name="Heading 2 16" xfId="2812"/>
    <cellStyle name="Heading 2 17" xfId="2813"/>
    <cellStyle name="Heading 2 18" xfId="2814"/>
    <cellStyle name="Heading 2 19" xfId="2815"/>
    <cellStyle name="Heading 2 2" xfId="43"/>
    <cellStyle name="Heading 2 2 2" xfId="2816"/>
    <cellStyle name="Heading 2 2 2 2" xfId="24108"/>
    <cellStyle name="Heading 2 2 3" xfId="13609"/>
    <cellStyle name="Heading 2 2 4" xfId="24107"/>
    <cellStyle name="Heading 2 20" xfId="2817"/>
    <cellStyle name="Heading 2 21" xfId="2818"/>
    <cellStyle name="Heading 2 22" xfId="2819"/>
    <cellStyle name="Heading 2 23" xfId="2820"/>
    <cellStyle name="Heading 2 24" xfId="2821"/>
    <cellStyle name="Heading 2 25" xfId="2822"/>
    <cellStyle name="Heading 2 26" xfId="2823"/>
    <cellStyle name="Heading 2 27" xfId="2824"/>
    <cellStyle name="Heading 2 28" xfId="2825"/>
    <cellStyle name="Heading 2 29" xfId="2826"/>
    <cellStyle name="Heading 2 3" xfId="2827"/>
    <cellStyle name="Heading 2 3 2" xfId="24109"/>
    <cellStyle name="Heading 2 30" xfId="2828"/>
    <cellStyle name="Heading 2 31" xfId="2829"/>
    <cellStyle name="Heading 2 32" xfId="2830"/>
    <cellStyle name="Heading 2 33" xfId="2831"/>
    <cellStyle name="Heading 2 34" xfId="2832"/>
    <cellStyle name="Heading 2 35" xfId="2833"/>
    <cellStyle name="Heading 2 36" xfId="2834"/>
    <cellStyle name="Heading 2 37" xfId="2835"/>
    <cellStyle name="Heading 2 38" xfId="2836"/>
    <cellStyle name="Heading 2 39" xfId="2837"/>
    <cellStyle name="Heading 2 4" xfId="2838"/>
    <cellStyle name="Heading 2 4 2" xfId="24110"/>
    <cellStyle name="Heading 2 40" xfId="2839"/>
    <cellStyle name="Heading 2 41" xfId="2840"/>
    <cellStyle name="Heading 2 42" xfId="2841"/>
    <cellStyle name="Heading 2 43" xfId="2842"/>
    <cellStyle name="Heading 2 44" xfId="2843"/>
    <cellStyle name="Heading 2 45" xfId="2844"/>
    <cellStyle name="Heading 2 46" xfId="2845"/>
    <cellStyle name="Heading 2 47" xfId="2846"/>
    <cellStyle name="Heading 2 48" xfId="2847"/>
    <cellStyle name="Heading 2 49" xfId="2848"/>
    <cellStyle name="Heading 2 5" xfId="2849"/>
    <cellStyle name="Heading 2 50" xfId="2850"/>
    <cellStyle name="Heading 2 51" xfId="2851"/>
    <cellStyle name="Heading 2 52" xfId="2852"/>
    <cellStyle name="Heading 2 53" xfId="2853"/>
    <cellStyle name="Heading 2 54" xfId="2854"/>
    <cellStyle name="Heading 2 55" xfId="2855"/>
    <cellStyle name="Heading 2 56" xfId="2856"/>
    <cellStyle name="Heading 2 57" xfId="2857"/>
    <cellStyle name="Heading 2 58" xfId="2858"/>
    <cellStyle name="Heading 2 59" xfId="2859"/>
    <cellStyle name="Heading 2 6" xfId="2860"/>
    <cellStyle name="Heading 2 60" xfId="2861"/>
    <cellStyle name="Heading 2 61" xfId="2862"/>
    <cellStyle name="Heading 2 62" xfId="2863"/>
    <cellStyle name="Heading 2 63" xfId="2864"/>
    <cellStyle name="Heading 2 64" xfId="2865"/>
    <cellStyle name="Heading 2 65" xfId="2866"/>
    <cellStyle name="Heading 2 66" xfId="2867"/>
    <cellStyle name="Heading 2 67" xfId="2868"/>
    <cellStyle name="Heading 2 68" xfId="2869"/>
    <cellStyle name="Heading 2 69" xfId="2870"/>
    <cellStyle name="Heading 2 7" xfId="2871"/>
    <cellStyle name="Heading 2 70" xfId="2872"/>
    <cellStyle name="Heading 2 71" xfId="2873"/>
    <cellStyle name="Heading 2 72" xfId="2874"/>
    <cellStyle name="Heading 2 73" xfId="23921"/>
    <cellStyle name="Heading 2 8" xfId="2875"/>
    <cellStyle name="Heading 2 9" xfId="2876"/>
    <cellStyle name="Heading 3 10" xfId="2877"/>
    <cellStyle name="Heading 3 11" xfId="2878"/>
    <cellStyle name="Heading 3 12" xfId="2879"/>
    <cellStyle name="Heading 3 13" xfId="2880"/>
    <cellStyle name="Heading 3 14" xfId="2881"/>
    <cellStyle name="Heading 3 15" xfId="2882"/>
    <cellStyle name="Heading 3 16" xfId="2883"/>
    <cellStyle name="Heading 3 17" xfId="2884"/>
    <cellStyle name="Heading 3 18" xfId="2885"/>
    <cellStyle name="Heading 3 19" xfId="2886"/>
    <cellStyle name="Heading 3 2" xfId="2887"/>
    <cellStyle name="Heading 3 2 2" xfId="24112"/>
    <cellStyle name="Heading 3 2 3" xfId="24111"/>
    <cellStyle name="Heading 3 20" xfId="2888"/>
    <cellStyle name="Heading 3 21" xfId="2889"/>
    <cellStyle name="Heading 3 22" xfId="2890"/>
    <cellStyle name="Heading 3 23" xfId="2891"/>
    <cellStyle name="Heading 3 24" xfId="2892"/>
    <cellStyle name="Heading 3 25" xfId="2893"/>
    <cellStyle name="Heading 3 26" xfId="2894"/>
    <cellStyle name="Heading 3 27" xfId="2895"/>
    <cellStyle name="Heading 3 28" xfId="2896"/>
    <cellStyle name="Heading 3 29" xfId="2897"/>
    <cellStyle name="Heading 3 3" xfId="2898"/>
    <cellStyle name="Heading 3 3 2" xfId="24113"/>
    <cellStyle name="Heading 3 30" xfId="2899"/>
    <cellStyle name="Heading 3 31" xfId="2900"/>
    <cellStyle name="Heading 3 32" xfId="2901"/>
    <cellStyle name="Heading 3 33" xfId="2902"/>
    <cellStyle name="Heading 3 34" xfId="2903"/>
    <cellStyle name="Heading 3 35" xfId="2904"/>
    <cellStyle name="Heading 3 36" xfId="2905"/>
    <cellStyle name="Heading 3 37" xfId="2906"/>
    <cellStyle name="Heading 3 38" xfId="2907"/>
    <cellStyle name="Heading 3 39" xfId="2908"/>
    <cellStyle name="Heading 3 4" xfId="2909"/>
    <cellStyle name="Heading 3 4 2" xfId="24114"/>
    <cellStyle name="Heading 3 40" xfId="2910"/>
    <cellStyle name="Heading 3 41" xfId="2911"/>
    <cellStyle name="Heading 3 42" xfId="2912"/>
    <cellStyle name="Heading 3 43" xfId="2913"/>
    <cellStyle name="Heading 3 44" xfId="2914"/>
    <cellStyle name="Heading 3 45" xfId="2915"/>
    <cellStyle name="Heading 3 46" xfId="2916"/>
    <cellStyle name="Heading 3 47" xfId="2917"/>
    <cellStyle name="Heading 3 48" xfId="2918"/>
    <cellStyle name="Heading 3 49" xfId="2919"/>
    <cellStyle name="Heading 3 5" xfId="2920"/>
    <cellStyle name="Heading 3 50" xfId="2921"/>
    <cellStyle name="Heading 3 51" xfId="2922"/>
    <cellStyle name="Heading 3 52" xfId="2923"/>
    <cellStyle name="Heading 3 53" xfId="2924"/>
    <cellStyle name="Heading 3 54" xfId="2925"/>
    <cellStyle name="Heading 3 55" xfId="2926"/>
    <cellStyle name="Heading 3 56" xfId="2927"/>
    <cellStyle name="Heading 3 57" xfId="2928"/>
    <cellStyle name="Heading 3 58" xfId="2929"/>
    <cellStyle name="Heading 3 59" xfId="2930"/>
    <cellStyle name="Heading 3 6" xfId="2931"/>
    <cellStyle name="Heading 3 60" xfId="2932"/>
    <cellStyle name="Heading 3 61" xfId="2933"/>
    <cellStyle name="Heading 3 62" xfId="2934"/>
    <cellStyle name="Heading 3 63" xfId="2935"/>
    <cellStyle name="Heading 3 64" xfId="2936"/>
    <cellStyle name="Heading 3 65" xfId="2937"/>
    <cellStyle name="Heading 3 66" xfId="2938"/>
    <cellStyle name="Heading 3 67" xfId="2939"/>
    <cellStyle name="Heading 3 68" xfId="2940"/>
    <cellStyle name="Heading 3 69" xfId="2941"/>
    <cellStyle name="Heading 3 7" xfId="2942"/>
    <cellStyle name="Heading 3 70" xfId="2943"/>
    <cellStyle name="Heading 3 71" xfId="2944"/>
    <cellStyle name="Heading 3 72" xfId="2945"/>
    <cellStyle name="Heading 3 8" xfId="2946"/>
    <cellStyle name="Heading 3 9" xfId="2947"/>
    <cellStyle name="Heading 4 10" xfId="2948"/>
    <cellStyle name="Heading 4 11" xfId="2949"/>
    <cellStyle name="Heading 4 12" xfId="2950"/>
    <cellStyle name="Heading 4 13" xfId="2951"/>
    <cellStyle name="Heading 4 14" xfId="2952"/>
    <cellStyle name="Heading 4 15" xfId="2953"/>
    <cellStyle name="Heading 4 16" xfId="2954"/>
    <cellStyle name="Heading 4 17" xfId="2955"/>
    <cellStyle name="Heading 4 18" xfId="2956"/>
    <cellStyle name="Heading 4 19" xfId="2957"/>
    <cellStyle name="Heading 4 2" xfId="2958"/>
    <cellStyle name="Heading 4 2 2" xfId="24116"/>
    <cellStyle name="Heading 4 2 3" xfId="24115"/>
    <cellStyle name="Heading 4 20" xfId="2959"/>
    <cellStyle name="Heading 4 21" xfId="2960"/>
    <cellStyle name="Heading 4 22" xfId="2961"/>
    <cellStyle name="Heading 4 23" xfId="2962"/>
    <cellStyle name="Heading 4 24" xfId="2963"/>
    <cellStyle name="Heading 4 25" xfId="2964"/>
    <cellStyle name="Heading 4 26" xfId="2965"/>
    <cellStyle name="Heading 4 27" xfId="2966"/>
    <cellStyle name="Heading 4 28" xfId="2967"/>
    <cellStyle name="Heading 4 29" xfId="2968"/>
    <cellStyle name="Heading 4 3" xfId="2969"/>
    <cellStyle name="Heading 4 3 2" xfId="24117"/>
    <cellStyle name="Heading 4 30" xfId="2970"/>
    <cellStyle name="Heading 4 31" xfId="2971"/>
    <cellStyle name="Heading 4 32" xfId="2972"/>
    <cellStyle name="Heading 4 33" xfId="2973"/>
    <cellStyle name="Heading 4 34" xfId="2974"/>
    <cellStyle name="Heading 4 35" xfId="2975"/>
    <cellStyle name="Heading 4 36" xfId="2976"/>
    <cellStyle name="Heading 4 37" xfId="2977"/>
    <cellStyle name="Heading 4 38" xfId="2978"/>
    <cellStyle name="Heading 4 39" xfId="2979"/>
    <cellStyle name="Heading 4 4" xfId="2980"/>
    <cellStyle name="Heading 4 4 2" xfId="24118"/>
    <cellStyle name="Heading 4 40" xfId="2981"/>
    <cellStyle name="Heading 4 41" xfId="2982"/>
    <cellStyle name="Heading 4 42" xfId="2983"/>
    <cellStyle name="Heading 4 43" xfId="2984"/>
    <cellStyle name="Heading 4 44" xfId="2985"/>
    <cellStyle name="Heading 4 45" xfId="2986"/>
    <cellStyle name="Heading 4 46" xfId="2987"/>
    <cellStyle name="Heading 4 47" xfId="2988"/>
    <cellStyle name="Heading 4 48" xfId="2989"/>
    <cellStyle name="Heading 4 49" xfId="2990"/>
    <cellStyle name="Heading 4 5" xfId="2991"/>
    <cellStyle name="Heading 4 50" xfId="2992"/>
    <cellStyle name="Heading 4 51" xfId="2993"/>
    <cellStyle name="Heading 4 52" xfId="2994"/>
    <cellStyle name="Heading 4 53" xfId="2995"/>
    <cellStyle name="Heading 4 54" xfId="2996"/>
    <cellStyle name="Heading 4 55" xfId="2997"/>
    <cellStyle name="Heading 4 56" xfId="2998"/>
    <cellStyle name="Heading 4 57" xfId="2999"/>
    <cellStyle name="Heading 4 58" xfId="3000"/>
    <cellStyle name="Heading 4 59" xfId="3001"/>
    <cellStyle name="Heading 4 6" xfId="3002"/>
    <cellStyle name="Heading 4 60" xfId="3003"/>
    <cellStyle name="Heading 4 61" xfId="3004"/>
    <cellStyle name="Heading 4 62" xfId="3005"/>
    <cellStyle name="Heading 4 63" xfId="3006"/>
    <cellStyle name="Heading 4 64" xfId="3007"/>
    <cellStyle name="Heading 4 65" xfId="3008"/>
    <cellStyle name="Heading 4 66" xfId="3009"/>
    <cellStyle name="Heading 4 67" xfId="3010"/>
    <cellStyle name="Heading 4 68" xfId="3011"/>
    <cellStyle name="Heading 4 69" xfId="3012"/>
    <cellStyle name="Heading 4 7" xfId="3013"/>
    <cellStyle name="Heading 4 70" xfId="3014"/>
    <cellStyle name="Heading 4 71" xfId="3015"/>
    <cellStyle name="Heading 4 72" xfId="3016"/>
    <cellStyle name="Heading 4 8" xfId="3017"/>
    <cellStyle name="Heading 4 9" xfId="3018"/>
    <cellStyle name="HEADING1" xfId="570"/>
    <cellStyle name="HEADING2" xfId="571"/>
    <cellStyle name="HEADING2 2" xfId="24119"/>
    <cellStyle name="Hyperlink" xfId="4620" builtinId="8" customBuiltin="1"/>
    <cellStyle name="Hyperlink 2" xfId="645"/>
    <cellStyle name="Hyperlink 2 2" xfId="3019"/>
    <cellStyle name="Hyperlink 3" xfId="3020"/>
    <cellStyle name="Hyperlink 4" xfId="23892"/>
    <cellStyle name="Input [yellow]" xfId="44"/>
    <cellStyle name="Input [yellow] 2" xfId="24553"/>
    <cellStyle name="Input 10" xfId="189"/>
    <cellStyle name="Input 10 2" xfId="3021"/>
    <cellStyle name="Input 10 3" xfId="13690"/>
    <cellStyle name="Input 11" xfId="190"/>
    <cellStyle name="Input 11 2" xfId="3022"/>
    <cellStyle name="Input 11 3" xfId="13691"/>
    <cellStyle name="Input 12" xfId="191"/>
    <cellStyle name="Input 12 2" xfId="3023"/>
    <cellStyle name="Input 12 3" xfId="13692"/>
    <cellStyle name="Input 13" xfId="192"/>
    <cellStyle name="Input 13 2" xfId="3024"/>
    <cellStyle name="Input 13 3" xfId="13693"/>
    <cellStyle name="Input 14" xfId="193"/>
    <cellStyle name="Input 14 2" xfId="3025"/>
    <cellStyle name="Input 14 3" xfId="13694"/>
    <cellStyle name="Input 15" xfId="284"/>
    <cellStyle name="Input 15 2" xfId="3026"/>
    <cellStyle name="Input 15 3" xfId="13737"/>
    <cellStyle name="Input 16" xfId="285"/>
    <cellStyle name="Input 16 2" xfId="3027"/>
    <cellStyle name="Input 16 3" xfId="13738"/>
    <cellStyle name="Input 17" xfId="292"/>
    <cellStyle name="Input 17 2" xfId="3028"/>
    <cellStyle name="Input 17 3" xfId="13739"/>
    <cellStyle name="Input 18" xfId="293"/>
    <cellStyle name="Input 18 2" xfId="3029"/>
    <cellStyle name="Input 18 3" xfId="13740"/>
    <cellStyle name="Input 19" xfId="294"/>
    <cellStyle name="Input 19 2" xfId="3030"/>
    <cellStyle name="Input 19 3" xfId="13741"/>
    <cellStyle name="Input 2" xfId="45"/>
    <cellStyle name="Input 2 2" xfId="3031"/>
    <cellStyle name="Input 2 2 2" xfId="24121"/>
    <cellStyle name="Input 2 2 2 2" xfId="25560"/>
    <cellStyle name="Input 2 2 3" xfId="24710"/>
    <cellStyle name="Input 2 2 3 2" xfId="25356"/>
    <cellStyle name="Input 2 2 3 3" xfId="25662"/>
    <cellStyle name="Input 2 2 4" xfId="25028"/>
    <cellStyle name="Input 2 2 4 2" xfId="25368"/>
    <cellStyle name="Input 2 2 4 3" xfId="25673"/>
    <cellStyle name="Input 2 3" xfId="13610"/>
    <cellStyle name="Input 2 4" xfId="24120"/>
    <cellStyle name="Input 2 4 2" xfId="25559"/>
    <cellStyle name="Input 2 5" xfId="24709"/>
    <cellStyle name="Input 2 5 2" xfId="25439"/>
    <cellStyle name="Input 2 5 3" xfId="25661"/>
    <cellStyle name="Input 2 6" xfId="25027"/>
    <cellStyle name="Input 2 6 2" xfId="25285"/>
    <cellStyle name="Input 2 6 3" xfId="25672"/>
    <cellStyle name="Input 20" xfId="295"/>
    <cellStyle name="Input 20 2" xfId="3032"/>
    <cellStyle name="Input 20 3" xfId="13742"/>
    <cellStyle name="Input 21" xfId="302"/>
    <cellStyle name="Input 21 2" xfId="3033"/>
    <cellStyle name="Input 21 3" xfId="13743"/>
    <cellStyle name="Input 22" xfId="303"/>
    <cellStyle name="Input 22 2" xfId="3034"/>
    <cellStyle name="Input 22 3" xfId="13744"/>
    <cellStyle name="Input 23" xfId="316"/>
    <cellStyle name="Input 23 2" xfId="3035"/>
    <cellStyle name="Input 23 3" xfId="13747"/>
    <cellStyle name="Input 24" xfId="317"/>
    <cellStyle name="Input 24 2" xfId="3036"/>
    <cellStyle name="Input 24 3" xfId="13748"/>
    <cellStyle name="Input 25" xfId="318"/>
    <cellStyle name="Input 25 2" xfId="3037"/>
    <cellStyle name="Input 25 3" xfId="13749"/>
    <cellStyle name="Input 26" xfId="319"/>
    <cellStyle name="Input 26 2" xfId="3038"/>
    <cellStyle name="Input 26 3" xfId="13750"/>
    <cellStyle name="Input 27" xfId="320"/>
    <cellStyle name="Input 27 2" xfId="3039"/>
    <cellStyle name="Input 27 3" xfId="13751"/>
    <cellStyle name="Input 28" xfId="321"/>
    <cellStyle name="Input 28 2" xfId="3040"/>
    <cellStyle name="Input 28 3" xfId="13752"/>
    <cellStyle name="Input 29" xfId="322"/>
    <cellStyle name="Input 29 2" xfId="3041"/>
    <cellStyle name="Input 29 3" xfId="13753"/>
    <cellStyle name="Input 3" xfId="194"/>
    <cellStyle name="Input 3 2" xfId="3042"/>
    <cellStyle name="Input 3 3" xfId="13695"/>
    <cellStyle name="Input 3 4" xfId="24122"/>
    <cellStyle name="Input 3 4 2" xfId="25561"/>
    <cellStyle name="Input 3 5" xfId="24711"/>
    <cellStyle name="Input 3 5 2" xfId="25390"/>
    <cellStyle name="Input 3 5 3" xfId="25663"/>
    <cellStyle name="Input 3 6" xfId="25029"/>
    <cellStyle name="Input 3 6 2" xfId="25382"/>
    <cellStyle name="Input 3 6 3" xfId="25674"/>
    <cellStyle name="Input 30" xfId="323"/>
    <cellStyle name="Input 30 2" xfId="3043"/>
    <cellStyle name="Input 30 3" xfId="13754"/>
    <cellStyle name="Input 31" xfId="339"/>
    <cellStyle name="Input 31 2" xfId="3044"/>
    <cellStyle name="Input 31 3" xfId="13758"/>
    <cellStyle name="Input 32" xfId="340"/>
    <cellStyle name="Input 32 2" xfId="3045"/>
    <cellStyle name="Input 32 3" xfId="13759"/>
    <cellStyle name="Input 33" xfId="341"/>
    <cellStyle name="Input 33 2" xfId="3046"/>
    <cellStyle name="Input 33 3" xfId="13760"/>
    <cellStyle name="Input 34" xfId="342"/>
    <cellStyle name="Input 34 2" xfId="3047"/>
    <cellStyle name="Input 34 3" xfId="13761"/>
    <cellStyle name="Input 35" xfId="3048"/>
    <cellStyle name="Input 36" xfId="3049"/>
    <cellStyle name="Input 37" xfId="3050"/>
    <cellStyle name="Input 38" xfId="3051"/>
    <cellStyle name="Input 39" xfId="3052"/>
    <cellStyle name="Input 4" xfId="195"/>
    <cellStyle name="Input 4 2" xfId="3053"/>
    <cellStyle name="Input 4 3" xfId="13696"/>
    <cellStyle name="Input 4 4" xfId="24123"/>
    <cellStyle name="Input 4 4 2" xfId="25562"/>
    <cellStyle name="Input 4 5" xfId="24712"/>
    <cellStyle name="Input 4 5 2" xfId="25404"/>
    <cellStyle name="Input 4 5 3" xfId="25664"/>
    <cellStyle name="Input 4 6" xfId="25030"/>
    <cellStyle name="Input 4 6 2" xfId="25397"/>
    <cellStyle name="Input 4 6 3" xfId="25675"/>
    <cellStyle name="Input 40" xfId="3054"/>
    <cellStyle name="Input 41" xfId="3055"/>
    <cellStyle name="Input 42" xfId="3056"/>
    <cellStyle name="Input 43" xfId="3057"/>
    <cellStyle name="Input 44" xfId="3058"/>
    <cellStyle name="Input 45" xfId="3059"/>
    <cellStyle name="Input 46" xfId="3060"/>
    <cellStyle name="Input 47" xfId="3061"/>
    <cellStyle name="Input 48" xfId="3062"/>
    <cellStyle name="Input 49" xfId="3063"/>
    <cellStyle name="Input 5" xfId="196"/>
    <cellStyle name="Input 5 2" xfId="3064"/>
    <cellStyle name="Input 5 3" xfId="13697"/>
    <cellStyle name="Input 50" xfId="3065"/>
    <cellStyle name="Input 51" xfId="3066"/>
    <cellStyle name="Input 52" xfId="3067"/>
    <cellStyle name="Input 53" xfId="3068"/>
    <cellStyle name="Input 54" xfId="3069"/>
    <cellStyle name="Input 55" xfId="3070"/>
    <cellStyle name="Input 56" xfId="3071"/>
    <cellStyle name="Input 57" xfId="3072"/>
    <cellStyle name="Input 58" xfId="3073"/>
    <cellStyle name="Input 59" xfId="3074"/>
    <cellStyle name="Input 6" xfId="197"/>
    <cellStyle name="Input 6 2" xfId="3075"/>
    <cellStyle name="Input 6 3" xfId="13698"/>
    <cellStyle name="Input 60" xfId="3076"/>
    <cellStyle name="Input 61" xfId="3077"/>
    <cellStyle name="Input 62" xfId="3078"/>
    <cellStyle name="Input 63" xfId="3079"/>
    <cellStyle name="Input 64" xfId="3080"/>
    <cellStyle name="Input 65" xfId="3081"/>
    <cellStyle name="Input 66" xfId="3082"/>
    <cellStyle name="Input 67" xfId="3083"/>
    <cellStyle name="Input 68" xfId="3084"/>
    <cellStyle name="Input 69" xfId="3085"/>
    <cellStyle name="Input 7" xfId="198"/>
    <cellStyle name="Input 7 2" xfId="3086"/>
    <cellStyle name="Input 7 3" xfId="13699"/>
    <cellStyle name="Input 70" xfId="3087"/>
    <cellStyle name="Input 71" xfId="3088"/>
    <cellStyle name="Input 72" xfId="3089"/>
    <cellStyle name="Input 73" xfId="23922"/>
    <cellStyle name="Input 74" xfId="24261"/>
    <cellStyle name="Input 75" xfId="23924"/>
    <cellStyle name="Input 76" xfId="24209"/>
    <cellStyle name="Input 77" xfId="24519"/>
    <cellStyle name="Input 78" xfId="24020"/>
    <cellStyle name="Input 79" xfId="24536"/>
    <cellStyle name="Input 8" xfId="199"/>
    <cellStyle name="Input 8 2" xfId="3090"/>
    <cellStyle name="Input 8 3" xfId="13700"/>
    <cellStyle name="Input 80" xfId="24541"/>
    <cellStyle name="Input 81" xfId="24245"/>
    <cellStyle name="Input 82" xfId="24537"/>
    <cellStyle name="Input 83" xfId="24031"/>
    <cellStyle name="Input 84" xfId="24550"/>
    <cellStyle name="Input 85" xfId="24552"/>
    <cellStyle name="Input 86" xfId="24636"/>
    <cellStyle name="Input 87" xfId="24715"/>
    <cellStyle name="Input 88" xfId="24708"/>
    <cellStyle name="Input 89" xfId="24918"/>
    <cellStyle name="Input 9" xfId="200"/>
    <cellStyle name="Input 9 2" xfId="3091"/>
    <cellStyle name="Input 9 3" xfId="13701"/>
    <cellStyle name="Input 90" xfId="24937"/>
    <cellStyle name="Input 91" xfId="24911"/>
    <cellStyle name="Input 92" xfId="24672"/>
    <cellStyle name="Input 93" xfId="24713"/>
    <cellStyle name="Input 94" xfId="24544"/>
    <cellStyle name="Input 95" xfId="24691"/>
    <cellStyle name="Input 96" xfId="24549"/>
    <cellStyle name="Input 97" xfId="24944"/>
    <cellStyle name="Input1" xfId="572"/>
    <cellStyle name="Input1 2" xfId="24124"/>
    <cellStyle name="Input2" xfId="573"/>
    <cellStyle name="Input2 2" xfId="24125"/>
    <cellStyle name="Input2 2 2" xfId="25312"/>
    <cellStyle name="Input2 3" xfId="25454"/>
    <cellStyle name="LineItemPrompt" xfId="3092"/>
    <cellStyle name="LineItemValue" xfId="3093"/>
    <cellStyle name="Linked Cell 10" xfId="3094"/>
    <cellStyle name="Linked Cell 11" xfId="3095"/>
    <cellStyle name="Linked Cell 12" xfId="3096"/>
    <cellStyle name="Linked Cell 13" xfId="3097"/>
    <cellStyle name="Linked Cell 14" xfId="3098"/>
    <cellStyle name="Linked Cell 15" xfId="3099"/>
    <cellStyle name="Linked Cell 16" xfId="3100"/>
    <cellStyle name="Linked Cell 17" xfId="3101"/>
    <cellStyle name="Linked Cell 18" xfId="3102"/>
    <cellStyle name="Linked Cell 19" xfId="3103"/>
    <cellStyle name="Linked Cell 2" xfId="3104"/>
    <cellStyle name="Linked Cell 2 2" xfId="24127"/>
    <cellStyle name="Linked Cell 2 3" xfId="24126"/>
    <cellStyle name="Linked Cell 20" xfId="3105"/>
    <cellStyle name="Linked Cell 21" xfId="3106"/>
    <cellStyle name="Linked Cell 22" xfId="3107"/>
    <cellStyle name="Linked Cell 23" xfId="3108"/>
    <cellStyle name="Linked Cell 24" xfId="3109"/>
    <cellStyle name="Linked Cell 25" xfId="3110"/>
    <cellStyle name="Linked Cell 26" xfId="3111"/>
    <cellStyle name="Linked Cell 27" xfId="3112"/>
    <cellStyle name="Linked Cell 28" xfId="3113"/>
    <cellStyle name="Linked Cell 29" xfId="3114"/>
    <cellStyle name="Linked Cell 3" xfId="3115"/>
    <cellStyle name="Linked Cell 3 2" xfId="24128"/>
    <cellStyle name="Linked Cell 30" xfId="3116"/>
    <cellStyle name="Linked Cell 31" xfId="3117"/>
    <cellStyle name="Linked Cell 32" xfId="3118"/>
    <cellStyle name="Linked Cell 33" xfId="3119"/>
    <cellStyle name="Linked Cell 34" xfId="3120"/>
    <cellStyle name="Linked Cell 35" xfId="3121"/>
    <cellStyle name="Linked Cell 36" xfId="3122"/>
    <cellStyle name="Linked Cell 37" xfId="3123"/>
    <cellStyle name="Linked Cell 38" xfId="3124"/>
    <cellStyle name="Linked Cell 39" xfId="3125"/>
    <cellStyle name="Linked Cell 4" xfId="3126"/>
    <cellStyle name="Linked Cell 4 2" xfId="24129"/>
    <cellStyle name="Linked Cell 40" xfId="3127"/>
    <cellStyle name="Linked Cell 41" xfId="3128"/>
    <cellStyle name="Linked Cell 42" xfId="3129"/>
    <cellStyle name="Linked Cell 43" xfId="3130"/>
    <cellStyle name="Linked Cell 44" xfId="3131"/>
    <cellStyle name="Linked Cell 45" xfId="3132"/>
    <cellStyle name="Linked Cell 46" xfId="3133"/>
    <cellStyle name="Linked Cell 47" xfId="3134"/>
    <cellStyle name="Linked Cell 48" xfId="3135"/>
    <cellStyle name="Linked Cell 49" xfId="3136"/>
    <cellStyle name="Linked Cell 5" xfId="3137"/>
    <cellStyle name="Linked Cell 50" xfId="3138"/>
    <cellStyle name="Linked Cell 51" xfId="3139"/>
    <cellStyle name="Linked Cell 52" xfId="3140"/>
    <cellStyle name="Linked Cell 53" xfId="3141"/>
    <cellStyle name="Linked Cell 54" xfId="3142"/>
    <cellStyle name="Linked Cell 55" xfId="3143"/>
    <cellStyle name="Linked Cell 56" xfId="3144"/>
    <cellStyle name="Linked Cell 57" xfId="3145"/>
    <cellStyle name="Linked Cell 58" xfId="3146"/>
    <cellStyle name="Linked Cell 59" xfId="3147"/>
    <cellStyle name="Linked Cell 6" xfId="3148"/>
    <cellStyle name="Linked Cell 60" xfId="3149"/>
    <cellStyle name="Linked Cell 61" xfId="3150"/>
    <cellStyle name="Linked Cell 62" xfId="3151"/>
    <cellStyle name="Linked Cell 63" xfId="3152"/>
    <cellStyle name="Linked Cell 64" xfId="3153"/>
    <cellStyle name="Linked Cell 65" xfId="3154"/>
    <cellStyle name="Linked Cell 66" xfId="3155"/>
    <cellStyle name="Linked Cell 67" xfId="3156"/>
    <cellStyle name="Linked Cell 68" xfId="3157"/>
    <cellStyle name="Linked Cell 69" xfId="3158"/>
    <cellStyle name="Linked Cell 7" xfId="3159"/>
    <cellStyle name="Linked Cell 70" xfId="3160"/>
    <cellStyle name="Linked Cell 71" xfId="3161"/>
    <cellStyle name="Linked Cell 72" xfId="3162"/>
    <cellStyle name="Linked Cell 8" xfId="3163"/>
    <cellStyle name="Linked Cell 9" xfId="3164"/>
    <cellStyle name="Manual-Input" xfId="3165"/>
    <cellStyle name="Marathon" xfId="46"/>
    <cellStyle name="MCP" xfId="47"/>
    <cellStyle name="Multiple" xfId="574"/>
    <cellStyle name="Multiple [1]" xfId="575"/>
    <cellStyle name="Multiple_10_21 A&amp;G Review" xfId="576"/>
    <cellStyle name="Neutral 10" xfId="3166"/>
    <cellStyle name="Neutral 11" xfId="3167"/>
    <cellStyle name="Neutral 12" xfId="3168"/>
    <cellStyle name="Neutral 13" xfId="3169"/>
    <cellStyle name="Neutral 14" xfId="3170"/>
    <cellStyle name="Neutral 15" xfId="3171"/>
    <cellStyle name="Neutral 16" xfId="3172"/>
    <cellStyle name="Neutral 17" xfId="3173"/>
    <cellStyle name="Neutral 18" xfId="3174"/>
    <cellStyle name="Neutral 19" xfId="3175"/>
    <cellStyle name="Neutral 2" xfId="3176"/>
    <cellStyle name="Neutral 2 2" xfId="24132"/>
    <cellStyle name="Neutral 2 3" xfId="24131"/>
    <cellStyle name="Neutral 20" xfId="3177"/>
    <cellStyle name="Neutral 21" xfId="3178"/>
    <cellStyle name="Neutral 22" xfId="3179"/>
    <cellStyle name="Neutral 23" xfId="3180"/>
    <cellStyle name="Neutral 24" xfId="3181"/>
    <cellStyle name="Neutral 25" xfId="3182"/>
    <cellStyle name="Neutral 26" xfId="3183"/>
    <cellStyle name="Neutral 27" xfId="3184"/>
    <cellStyle name="Neutral 28" xfId="3185"/>
    <cellStyle name="Neutral 29" xfId="3186"/>
    <cellStyle name="Neutral 3" xfId="3187"/>
    <cellStyle name="Neutral 3 2" xfId="24133"/>
    <cellStyle name="Neutral 30" xfId="3188"/>
    <cellStyle name="Neutral 31" xfId="3189"/>
    <cellStyle name="Neutral 32" xfId="3190"/>
    <cellStyle name="Neutral 33" xfId="3191"/>
    <cellStyle name="Neutral 34" xfId="3192"/>
    <cellStyle name="Neutral 35" xfId="3193"/>
    <cellStyle name="Neutral 36" xfId="3194"/>
    <cellStyle name="Neutral 37" xfId="3195"/>
    <cellStyle name="Neutral 38" xfId="3196"/>
    <cellStyle name="Neutral 39" xfId="3197"/>
    <cellStyle name="Neutral 4" xfId="3198"/>
    <cellStyle name="Neutral 4 2" xfId="24134"/>
    <cellStyle name="Neutral 40" xfId="3199"/>
    <cellStyle name="Neutral 41" xfId="3200"/>
    <cellStyle name="Neutral 42" xfId="3201"/>
    <cellStyle name="Neutral 43" xfId="3202"/>
    <cellStyle name="Neutral 44" xfId="3203"/>
    <cellStyle name="Neutral 45" xfId="3204"/>
    <cellStyle name="Neutral 46" xfId="3205"/>
    <cellStyle name="Neutral 47" xfId="3206"/>
    <cellStyle name="Neutral 48" xfId="3207"/>
    <cellStyle name="Neutral 49" xfId="3208"/>
    <cellStyle name="Neutral 5" xfId="3209"/>
    <cellStyle name="Neutral 50" xfId="3210"/>
    <cellStyle name="Neutral 51" xfId="3211"/>
    <cellStyle name="Neutral 52" xfId="3212"/>
    <cellStyle name="Neutral 53" xfId="3213"/>
    <cellStyle name="Neutral 54" xfId="3214"/>
    <cellStyle name="Neutral 55" xfId="3215"/>
    <cellStyle name="Neutral 56" xfId="3216"/>
    <cellStyle name="Neutral 57" xfId="3217"/>
    <cellStyle name="Neutral 58" xfId="3218"/>
    <cellStyle name="Neutral 59" xfId="3219"/>
    <cellStyle name="Neutral 6" xfId="3220"/>
    <cellStyle name="Neutral 60" xfId="3221"/>
    <cellStyle name="Neutral 61" xfId="3222"/>
    <cellStyle name="Neutral 62" xfId="3223"/>
    <cellStyle name="Neutral 63" xfId="3224"/>
    <cellStyle name="Neutral 64" xfId="3225"/>
    <cellStyle name="Neutral 65" xfId="3226"/>
    <cellStyle name="Neutral 66" xfId="3227"/>
    <cellStyle name="Neutral 67" xfId="3228"/>
    <cellStyle name="Neutral 68" xfId="3229"/>
    <cellStyle name="Neutral 69" xfId="3230"/>
    <cellStyle name="Neutral 7" xfId="3231"/>
    <cellStyle name="Neutral 70" xfId="3232"/>
    <cellStyle name="Neutral 71" xfId="3233"/>
    <cellStyle name="Neutral 72" xfId="3234"/>
    <cellStyle name="Neutral 8" xfId="3235"/>
    <cellStyle name="Neutral 9" xfId="3236"/>
    <cellStyle name="nONE" xfId="48"/>
    <cellStyle name="nONE 2" xfId="201"/>
    <cellStyle name="noninput" xfId="49"/>
    <cellStyle name="Normal" xfId="0" builtinId="0"/>
    <cellStyle name="Normal - Style1" xfId="50"/>
    <cellStyle name="Normal 10" xfId="309"/>
    <cellStyle name="Normal 10 10" xfId="25766"/>
    <cellStyle name="Normal 10 11" xfId="25791"/>
    <cellStyle name="Normal 10 2" xfId="646"/>
    <cellStyle name="Normal 10 2 2" xfId="12453"/>
    <cellStyle name="Normal 10 2 2 2" xfId="23741"/>
    <cellStyle name="Normal 10 2 3" xfId="10459"/>
    <cellStyle name="Normal 10 2 3 2" xfId="21747"/>
    <cellStyle name="Normal 10 2 4" xfId="8465"/>
    <cellStyle name="Normal 10 2 4 2" xfId="19753"/>
    <cellStyle name="Normal 10 2 5" xfId="6471"/>
    <cellStyle name="Normal 10 2 5 2" xfId="17759"/>
    <cellStyle name="Normal 10 2 6" xfId="4474"/>
    <cellStyle name="Normal 10 2 6 2" xfId="15765"/>
    <cellStyle name="Normal 10 2 7" xfId="24135"/>
    <cellStyle name="Normal 10 3" xfId="11456"/>
    <cellStyle name="Normal 10 3 2" xfId="22744"/>
    <cellStyle name="Normal 10 4" xfId="9462"/>
    <cellStyle name="Normal 10 4 2" xfId="20750"/>
    <cellStyle name="Normal 10 5" xfId="7468"/>
    <cellStyle name="Normal 10 5 2" xfId="18756"/>
    <cellStyle name="Normal 10 6" xfId="5474"/>
    <cellStyle name="Normal 10 6 2" xfId="16762"/>
    <cellStyle name="Normal 10 7" xfId="3237"/>
    <cellStyle name="Normal 10 7 2" xfId="14768"/>
    <cellStyle name="Normal 10 8" xfId="13746"/>
    <cellStyle name="Normal 10 9" xfId="13454"/>
    <cellStyle name="Normal 100" xfId="25763"/>
    <cellStyle name="Normal 101" xfId="25797"/>
    <cellStyle name="Normal 11" xfId="167"/>
    <cellStyle name="Normal 11 2" xfId="647"/>
    <cellStyle name="Normal 11 2 2" xfId="12454"/>
    <cellStyle name="Normal 11 2 2 2" xfId="23742"/>
    <cellStyle name="Normal 11 2 3" xfId="10460"/>
    <cellStyle name="Normal 11 2 3 2" xfId="21748"/>
    <cellStyle name="Normal 11 2 4" xfId="8466"/>
    <cellStyle name="Normal 11 2 4 2" xfId="19754"/>
    <cellStyle name="Normal 11 2 5" xfId="6472"/>
    <cellStyle name="Normal 11 2 5 2" xfId="17760"/>
    <cellStyle name="Normal 11 2 6" xfId="4475"/>
    <cellStyle name="Normal 11 2 6 2" xfId="15766"/>
    <cellStyle name="Normal 11 3" xfId="11457"/>
    <cellStyle name="Normal 11 3 2" xfId="22745"/>
    <cellStyle name="Normal 11 4" xfId="9463"/>
    <cellStyle name="Normal 11 4 2" xfId="20751"/>
    <cellStyle name="Normal 11 5" xfId="7469"/>
    <cellStyle name="Normal 11 5 2" xfId="18757"/>
    <cellStyle name="Normal 11 6" xfId="5475"/>
    <cellStyle name="Normal 11 6 2" xfId="16763"/>
    <cellStyle name="Normal 11 7" xfId="3238"/>
    <cellStyle name="Normal 11 7 2" xfId="14769"/>
    <cellStyle name="Normal 11 8" xfId="13683"/>
    <cellStyle name="Normal 11 9" xfId="13455"/>
    <cellStyle name="Normal 12" xfId="307"/>
    <cellStyle name="Normal 12 10" xfId="24136"/>
    <cellStyle name="Normal 12 2" xfId="648"/>
    <cellStyle name="Normal 12 2 2" xfId="12455"/>
    <cellStyle name="Normal 12 2 2 2" xfId="23743"/>
    <cellStyle name="Normal 12 2 3" xfId="10461"/>
    <cellStyle name="Normal 12 2 3 2" xfId="21749"/>
    <cellStyle name="Normal 12 2 4" xfId="8467"/>
    <cellStyle name="Normal 12 2 4 2" xfId="19755"/>
    <cellStyle name="Normal 12 2 5" xfId="6473"/>
    <cellStyle name="Normal 12 2 5 2" xfId="17761"/>
    <cellStyle name="Normal 12 2 6" xfId="4476"/>
    <cellStyle name="Normal 12 2 6 2" xfId="15767"/>
    <cellStyle name="Normal 12 2 7" xfId="24137"/>
    <cellStyle name="Normal 12 3" xfId="11458"/>
    <cellStyle name="Normal 12 3 2" xfId="22746"/>
    <cellStyle name="Normal 12 3 3" xfId="24301"/>
    <cellStyle name="Normal 12 4" xfId="9464"/>
    <cellStyle name="Normal 12 4 2" xfId="20752"/>
    <cellStyle name="Normal 12 5" xfId="7470"/>
    <cellStyle name="Normal 12 5 2" xfId="18758"/>
    <cellStyle name="Normal 12 6" xfId="5476"/>
    <cellStyle name="Normal 12 6 2" xfId="16764"/>
    <cellStyle name="Normal 12 7" xfId="3239"/>
    <cellStyle name="Normal 12 7 2" xfId="14770"/>
    <cellStyle name="Normal 12 8" xfId="13745"/>
    <cellStyle name="Normal 12 9" xfId="13456"/>
    <cellStyle name="Normal 13" xfId="324"/>
    <cellStyle name="Normal 13 10" xfId="23930"/>
    <cellStyle name="Normal 13 11" xfId="24557"/>
    <cellStyle name="Normal 13 12" xfId="24947"/>
    <cellStyle name="Normal 13 2" xfId="649"/>
    <cellStyle name="Normal 13 2 2" xfId="12456"/>
    <cellStyle name="Normal 13 2 2 2" xfId="23744"/>
    <cellStyle name="Normal 13 2 3" xfId="10462"/>
    <cellStyle name="Normal 13 2 3 2" xfId="21750"/>
    <cellStyle name="Normal 13 2 4" xfId="8468"/>
    <cellStyle name="Normal 13 2 4 2" xfId="19756"/>
    <cellStyle name="Normal 13 2 5" xfId="6474"/>
    <cellStyle name="Normal 13 2 5 2" xfId="17762"/>
    <cellStyle name="Normal 13 2 6" xfId="4477"/>
    <cellStyle name="Normal 13 2 6 2" xfId="15768"/>
    <cellStyle name="Normal 13 2 7" xfId="24318"/>
    <cellStyle name="Normal 13 2 8" xfId="24782"/>
    <cellStyle name="Normal 13 2 9" xfId="25149"/>
    <cellStyle name="Normal 13 3" xfId="11459"/>
    <cellStyle name="Normal 13 3 2" xfId="22747"/>
    <cellStyle name="Normal 13 4" xfId="9465"/>
    <cellStyle name="Normal 13 4 2" xfId="20753"/>
    <cellStyle name="Normal 13 5" xfId="7471"/>
    <cellStyle name="Normal 13 5 2" xfId="18759"/>
    <cellStyle name="Normal 13 6" xfId="5477"/>
    <cellStyle name="Normal 13 6 2" xfId="16765"/>
    <cellStyle name="Normal 13 7" xfId="3240"/>
    <cellStyle name="Normal 13 7 2" xfId="14771"/>
    <cellStyle name="Normal 13 8" xfId="13755"/>
    <cellStyle name="Normal 13 9" xfId="13457"/>
    <cellStyle name="Normal 14" xfId="333"/>
    <cellStyle name="Normal 14 10" xfId="24138"/>
    <cellStyle name="Normal 14 11" xfId="24714"/>
    <cellStyle name="Normal 14 12" xfId="25031"/>
    <cellStyle name="Normal 14 2" xfId="650"/>
    <cellStyle name="Normal 14 2 2" xfId="12457"/>
    <cellStyle name="Normal 14 2 2 2" xfId="23745"/>
    <cellStyle name="Normal 14 2 3" xfId="10463"/>
    <cellStyle name="Normal 14 2 3 2" xfId="21751"/>
    <cellStyle name="Normal 14 2 4" xfId="8469"/>
    <cellStyle name="Normal 14 2 4 2" xfId="19757"/>
    <cellStyle name="Normal 14 2 5" xfId="6475"/>
    <cellStyle name="Normal 14 2 5 2" xfId="17763"/>
    <cellStyle name="Normal 14 2 6" xfId="4478"/>
    <cellStyle name="Normal 14 2 6 2" xfId="15769"/>
    <cellStyle name="Normal 14 2 7" xfId="24417"/>
    <cellStyle name="Normal 14 2 8" xfId="24862"/>
    <cellStyle name="Normal 14 2 9" xfId="25225"/>
    <cellStyle name="Normal 14 3" xfId="11460"/>
    <cellStyle name="Normal 14 3 2" xfId="22748"/>
    <cellStyle name="Normal 14 4" xfId="9466"/>
    <cellStyle name="Normal 14 4 2" xfId="20754"/>
    <cellStyle name="Normal 14 5" xfId="7472"/>
    <cellStyle name="Normal 14 5 2" xfId="18760"/>
    <cellStyle name="Normal 14 6" xfId="5478"/>
    <cellStyle name="Normal 14 6 2" xfId="16766"/>
    <cellStyle name="Normal 14 7" xfId="3241"/>
    <cellStyle name="Normal 14 7 2" xfId="14772"/>
    <cellStyle name="Normal 14 8" xfId="13756"/>
    <cellStyle name="Normal 14 9" xfId="13458"/>
    <cellStyle name="Normal 15" xfId="166"/>
    <cellStyle name="Normal 15 2" xfId="651"/>
    <cellStyle name="Normal 15 2 2" xfId="12458"/>
    <cellStyle name="Normal 15 2 2 2" xfId="23746"/>
    <cellStyle name="Normal 15 2 3" xfId="10464"/>
    <cellStyle name="Normal 15 2 3 2" xfId="21752"/>
    <cellStyle name="Normal 15 2 4" xfId="8470"/>
    <cellStyle name="Normal 15 2 4 2" xfId="19758"/>
    <cellStyle name="Normal 15 2 5" xfId="6476"/>
    <cellStyle name="Normal 15 2 5 2" xfId="17764"/>
    <cellStyle name="Normal 15 2 6" xfId="4479"/>
    <cellStyle name="Normal 15 2 6 2" xfId="15770"/>
    <cellStyle name="Normal 15 3" xfId="11461"/>
    <cellStyle name="Normal 15 3 2" xfId="22749"/>
    <cellStyle name="Normal 15 4" xfId="9467"/>
    <cellStyle name="Normal 15 4 2" xfId="20755"/>
    <cellStyle name="Normal 15 5" xfId="7473"/>
    <cellStyle name="Normal 15 5 2" xfId="18761"/>
    <cellStyle name="Normal 15 6" xfId="5479"/>
    <cellStyle name="Normal 15 6 2" xfId="16767"/>
    <cellStyle name="Normal 15 7" xfId="3242"/>
    <cellStyle name="Normal 15 7 2" xfId="14773"/>
    <cellStyle name="Normal 15 8" xfId="13682"/>
    <cellStyle name="Normal 15 9" xfId="13459"/>
    <cellStyle name="Normal 16" xfId="335"/>
    <cellStyle name="Normal 16 10" xfId="24298"/>
    <cellStyle name="Normal 16 2" xfId="4480"/>
    <cellStyle name="Normal 16 2 2" xfId="12459"/>
    <cellStyle name="Normal 16 2 2 2" xfId="23747"/>
    <cellStyle name="Normal 16 2 3" xfId="10465"/>
    <cellStyle name="Normal 16 2 3 2" xfId="21753"/>
    <cellStyle name="Normal 16 2 4" xfId="8471"/>
    <cellStyle name="Normal 16 2 4 2" xfId="19759"/>
    <cellStyle name="Normal 16 2 5" xfId="6477"/>
    <cellStyle name="Normal 16 2 5 2" xfId="17765"/>
    <cellStyle name="Normal 16 2 6" xfId="15771"/>
    <cellStyle name="Normal 16 3" xfId="11462"/>
    <cellStyle name="Normal 16 3 2" xfId="22750"/>
    <cellStyle name="Normal 16 4" xfId="9468"/>
    <cellStyle name="Normal 16 4 2" xfId="20756"/>
    <cellStyle name="Normal 16 5" xfId="7474"/>
    <cellStyle name="Normal 16 5 2" xfId="18762"/>
    <cellStyle name="Normal 16 6" xfId="5480"/>
    <cellStyle name="Normal 16 6 2" xfId="16768"/>
    <cellStyle name="Normal 16 7" xfId="3243"/>
    <cellStyle name="Normal 16 7 2" xfId="14774"/>
    <cellStyle name="Normal 16 8" xfId="13757"/>
    <cellStyle name="Normal 16 9" xfId="13460"/>
    <cellStyle name="Normal 17" xfId="343"/>
    <cellStyle name="Normal 17 10" xfId="23928"/>
    <cellStyle name="Normal 17 11" xfId="24556"/>
    <cellStyle name="Normal 17 12" xfId="24946"/>
    <cellStyle name="Normal 17 2" xfId="4481"/>
    <cellStyle name="Normal 17 2 2" xfId="12460"/>
    <cellStyle name="Normal 17 2 2 2" xfId="23748"/>
    <cellStyle name="Normal 17 2 3" xfId="10466"/>
    <cellStyle name="Normal 17 2 3 2" xfId="21754"/>
    <cellStyle name="Normal 17 2 4" xfId="8472"/>
    <cellStyle name="Normal 17 2 4 2" xfId="19760"/>
    <cellStyle name="Normal 17 2 5" xfId="6478"/>
    <cellStyle name="Normal 17 2 5 2" xfId="17766"/>
    <cellStyle name="Normal 17 2 6" xfId="15772"/>
    <cellStyle name="Normal 17 2 7" xfId="24316"/>
    <cellStyle name="Normal 17 2 8" xfId="24781"/>
    <cellStyle name="Normal 17 2 9" xfId="25148"/>
    <cellStyle name="Normal 17 3" xfId="11463"/>
    <cellStyle name="Normal 17 3 2" xfId="22751"/>
    <cellStyle name="Normal 17 4" xfId="9469"/>
    <cellStyle name="Normal 17 4 2" xfId="20757"/>
    <cellStyle name="Normal 17 5" xfId="7475"/>
    <cellStyle name="Normal 17 5 2" xfId="18763"/>
    <cellStyle name="Normal 17 6" xfId="5481"/>
    <cellStyle name="Normal 17 6 2" xfId="16769"/>
    <cellStyle name="Normal 17 7" xfId="3244"/>
    <cellStyle name="Normal 17 7 2" xfId="14775"/>
    <cellStyle name="Normal 17 8" xfId="13762"/>
    <cellStyle name="Normal 17 9" xfId="13461"/>
    <cellStyle name="Normal 18" xfId="350"/>
    <cellStyle name="Normal 18 2" xfId="4482"/>
    <cellStyle name="Normal 18 2 2" xfId="12461"/>
    <cellStyle name="Normal 18 2 2 2" xfId="23749"/>
    <cellStyle name="Normal 18 2 3" xfId="10467"/>
    <cellStyle name="Normal 18 2 3 2" xfId="21755"/>
    <cellStyle name="Normal 18 2 4" xfId="8473"/>
    <cellStyle name="Normal 18 2 4 2" xfId="19761"/>
    <cellStyle name="Normal 18 2 5" xfId="6479"/>
    <cellStyle name="Normal 18 2 5 2" xfId="17767"/>
    <cellStyle name="Normal 18 2 6" xfId="15773"/>
    <cellStyle name="Normal 18 3" xfId="11464"/>
    <cellStyle name="Normal 18 3 2" xfId="22752"/>
    <cellStyle name="Normal 18 4" xfId="9470"/>
    <cellStyle name="Normal 18 4 2" xfId="20758"/>
    <cellStyle name="Normal 18 5" xfId="7476"/>
    <cellStyle name="Normal 18 5 2" xfId="18764"/>
    <cellStyle name="Normal 18 6" xfId="5482"/>
    <cellStyle name="Normal 18 6 2" xfId="16770"/>
    <cellStyle name="Normal 18 7" xfId="3245"/>
    <cellStyle name="Normal 18 7 2" xfId="14776"/>
    <cellStyle name="Normal 18 8" xfId="13763"/>
    <cellStyle name="Normal 18 9" xfId="13462"/>
    <cellStyle name="Normal 19" xfId="359"/>
    <cellStyle name="Normal 19 2" xfId="4483"/>
    <cellStyle name="Normal 19 2 2" xfId="12462"/>
    <cellStyle name="Normal 19 2 2 2" xfId="23750"/>
    <cellStyle name="Normal 19 2 3" xfId="10468"/>
    <cellStyle name="Normal 19 2 3 2" xfId="21756"/>
    <cellStyle name="Normal 19 2 4" xfId="8474"/>
    <cellStyle name="Normal 19 2 4 2" xfId="19762"/>
    <cellStyle name="Normal 19 2 5" xfId="6480"/>
    <cellStyle name="Normal 19 2 5 2" xfId="17768"/>
    <cellStyle name="Normal 19 2 6" xfId="15774"/>
    <cellStyle name="Normal 19 3" xfId="11465"/>
    <cellStyle name="Normal 19 3 2" xfId="22753"/>
    <cellStyle name="Normal 19 4" xfId="9471"/>
    <cellStyle name="Normal 19 4 2" xfId="20759"/>
    <cellStyle name="Normal 19 5" xfId="7477"/>
    <cellStyle name="Normal 19 5 2" xfId="18765"/>
    <cellStyle name="Normal 19 6" xfId="5483"/>
    <cellStyle name="Normal 19 6 2" xfId="16771"/>
    <cellStyle name="Normal 19 7" xfId="3246"/>
    <cellStyle name="Normal 19 7 2" xfId="14777"/>
    <cellStyle name="Normal 19 8" xfId="13769"/>
    <cellStyle name="Normal 19 9" xfId="13463"/>
    <cellStyle name="Normal 2" xfId="9"/>
    <cellStyle name="Normal 2 10" xfId="24139"/>
    <cellStyle name="Normal 2 11" xfId="25752"/>
    <cellStyle name="Normal 2 2" xfId="51"/>
    <cellStyle name="Normal 2 2 2" xfId="202"/>
    <cellStyle name="Normal 2 2 2 2" xfId="348"/>
    <cellStyle name="Normal 2 2 2 2 2" xfId="654"/>
    <cellStyle name="Normal 2 2 2 2 3" xfId="653"/>
    <cellStyle name="Normal 2 2 2 3" xfId="366"/>
    <cellStyle name="Normal 2 2 2 3 2" xfId="448"/>
    <cellStyle name="Normal 2 2 2 3 2 2" xfId="534"/>
    <cellStyle name="Normal 2 2 2 3 2 2 2" xfId="13897"/>
    <cellStyle name="Normal 2 2 2 3 2 3" xfId="13820"/>
    <cellStyle name="Normal 2 2 2 3 3" xfId="497"/>
    <cellStyle name="Normal 2 2 2 3 3 2" xfId="13860"/>
    <cellStyle name="Normal 2 2 2 3 4" xfId="13776"/>
    <cellStyle name="Normal 2 2 2 4" xfId="428"/>
    <cellStyle name="Normal 2 2 2 4 2" xfId="519"/>
    <cellStyle name="Normal 2 2 2 4 2 2" xfId="13882"/>
    <cellStyle name="Normal 2 2 2 4 3" xfId="13805"/>
    <cellStyle name="Normal 2 2 2 5" xfId="482"/>
    <cellStyle name="Normal 2 2 2 5 2" xfId="13845"/>
    <cellStyle name="Normal 2 2 2 6" xfId="652"/>
    <cellStyle name="Normal 2 2 2 7" xfId="13702"/>
    <cellStyle name="Normal 2 2 3" xfId="406"/>
    <cellStyle name="Normal 2 2 4" xfId="384"/>
    <cellStyle name="Normal 2 3" xfId="165"/>
    <cellStyle name="Normal 2 3 2" xfId="421"/>
    <cellStyle name="Normal 2 3 2 2" xfId="25785"/>
    <cellStyle name="Normal 2 3 3" xfId="385"/>
    <cellStyle name="Normal 2 3 4" xfId="655"/>
    <cellStyle name="Normal 2 3 4 2" xfId="13910"/>
    <cellStyle name="Normal 2 4" xfId="656"/>
    <cellStyle name="Normal 2 4 2" xfId="3248"/>
    <cellStyle name="Normal 2 4 2 2" xfId="25786"/>
    <cellStyle name="Normal 2 4 3" xfId="25772"/>
    <cellStyle name="Normal 2 5" xfId="657"/>
    <cellStyle name="Normal 2 5 2" xfId="11466"/>
    <cellStyle name="Normal 2 5 2 2" xfId="22754"/>
    <cellStyle name="Normal 2 5 3" xfId="9472"/>
    <cellStyle name="Normal 2 5 3 2" xfId="20760"/>
    <cellStyle name="Normal 2 5 4" xfId="7478"/>
    <cellStyle name="Normal 2 5 4 2" xfId="18766"/>
    <cellStyle name="Normal 2 5 5" xfId="5484"/>
    <cellStyle name="Normal 2 5 5 2" xfId="16772"/>
    <cellStyle name="Normal 2 5 6" xfId="3249"/>
    <cellStyle name="Normal 2 5 6 2" xfId="14778"/>
    <cellStyle name="Normal 2 5 7" xfId="24140"/>
    <cellStyle name="Normal 2 6" xfId="4484"/>
    <cellStyle name="Normal 2 6 2" xfId="12463"/>
    <cellStyle name="Normal 2 6 2 2" xfId="23751"/>
    <cellStyle name="Normal 2 6 3" xfId="10469"/>
    <cellStyle name="Normal 2 6 3 2" xfId="21757"/>
    <cellStyle name="Normal 2 6 4" xfId="8475"/>
    <cellStyle name="Normal 2 6 4 2" xfId="19763"/>
    <cellStyle name="Normal 2 6 5" xfId="6481"/>
    <cellStyle name="Normal 2 6 5 2" xfId="17769"/>
    <cellStyle name="Normal 2 6 6" xfId="15775"/>
    <cellStyle name="Normal 2 6 7" xfId="24141"/>
    <cellStyle name="Normal 2 6 8" xfId="25780"/>
    <cellStyle name="Normal 2 7" xfId="3247"/>
    <cellStyle name="Normal 2 7 2" xfId="24142"/>
    <cellStyle name="Normal 2 8" xfId="13604"/>
    <cellStyle name="Normal 2 9" xfId="23906"/>
    <cellStyle name="Normal 20" xfId="393"/>
    <cellStyle name="Normal 20 2" xfId="4485"/>
    <cellStyle name="Normal 20 2 2" xfId="12464"/>
    <cellStyle name="Normal 20 2 2 2" xfId="23752"/>
    <cellStyle name="Normal 20 2 3" xfId="10470"/>
    <cellStyle name="Normal 20 2 3 2" xfId="21758"/>
    <cellStyle name="Normal 20 2 4" xfId="8476"/>
    <cellStyle name="Normal 20 2 4 2" xfId="19764"/>
    <cellStyle name="Normal 20 2 5" xfId="6482"/>
    <cellStyle name="Normal 20 2 5 2" xfId="17770"/>
    <cellStyle name="Normal 20 2 6" xfId="15776"/>
    <cellStyle name="Normal 20 3" xfId="11467"/>
    <cellStyle name="Normal 20 3 2" xfId="22755"/>
    <cellStyle name="Normal 20 4" xfId="9473"/>
    <cellStyle name="Normal 20 4 2" xfId="20761"/>
    <cellStyle name="Normal 20 5" xfId="7479"/>
    <cellStyle name="Normal 20 5 2" xfId="18767"/>
    <cellStyle name="Normal 20 6" xfId="5485"/>
    <cellStyle name="Normal 20 6 2" xfId="16773"/>
    <cellStyle name="Normal 20 7" xfId="3250"/>
    <cellStyle name="Normal 20 7 2" xfId="14779"/>
    <cellStyle name="Normal 20 8" xfId="13787"/>
    <cellStyle name="Normal 20 9" xfId="13464"/>
    <cellStyle name="Normal 21" xfId="370"/>
    <cellStyle name="Normal 21 10" xfId="24130"/>
    <cellStyle name="Normal 21 2" xfId="500"/>
    <cellStyle name="Normal 21 2 2" xfId="12465"/>
    <cellStyle name="Normal 21 2 2 2" xfId="23753"/>
    <cellStyle name="Normal 21 2 3" xfId="10471"/>
    <cellStyle name="Normal 21 2 3 2" xfId="21759"/>
    <cellStyle name="Normal 21 2 4" xfId="8477"/>
    <cellStyle name="Normal 21 2 4 2" xfId="19765"/>
    <cellStyle name="Normal 21 2 5" xfId="6483"/>
    <cellStyle name="Normal 21 2 5 2" xfId="17771"/>
    <cellStyle name="Normal 21 2 6" xfId="4486"/>
    <cellStyle name="Normal 21 2 6 2" xfId="15777"/>
    <cellStyle name="Normal 21 2 7" xfId="13863"/>
    <cellStyle name="Normal 21 3" xfId="11468"/>
    <cellStyle name="Normal 21 3 2" xfId="22756"/>
    <cellStyle name="Normal 21 4" xfId="9474"/>
    <cellStyle name="Normal 21 4 2" xfId="20762"/>
    <cellStyle name="Normal 21 5" xfId="7480"/>
    <cellStyle name="Normal 21 5 2" xfId="18768"/>
    <cellStyle name="Normal 21 6" xfId="5486"/>
    <cellStyle name="Normal 21 6 2" xfId="16774"/>
    <cellStyle name="Normal 21 7" xfId="3251"/>
    <cellStyle name="Normal 21 7 2" xfId="14780"/>
    <cellStyle name="Normal 21 8" xfId="13779"/>
    <cellStyle name="Normal 21 9" xfId="13465"/>
    <cellStyle name="Normal 22" xfId="419"/>
    <cellStyle name="Normal 22 10" xfId="24314"/>
    <cellStyle name="Normal 22 2" xfId="512"/>
    <cellStyle name="Normal 22 2 2" xfId="12466"/>
    <cellStyle name="Normal 22 2 2 2" xfId="23754"/>
    <cellStyle name="Normal 22 2 3" xfId="10472"/>
    <cellStyle name="Normal 22 2 3 2" xfId="21760"/>
    <cellStyle name="Normal 22 2 4" xfId="8478"/>
    <cellStyle name="Normal 22 2 4 2" xfId="19766"/>
    <cellStyle name="Normal 22 2 5" xfId="6484"/>
    <cellStyle name="Normal 22 2 5 2" xfId="17772"/>
    <cellStyle name="Normal 22 2 6" xfId="4487"/>
    <cellStyle name="Normal 22 2 6 2" xfId="15778"/>
    <cellStyle name="Normal 22 2 7" xfId="13875"/>
    <cellStyle name="Normal 22 3" xfId="11469"/>
    <cellStyle name="Normal 22 3 2" xfId="22757"/>
    <cellStyle name="Normal 22 4" xfId="9475"/>
    <cellStyle name="Normal 22 4 2" xfId="20763"/>
    <cellStyle name="Normal 22 5" xfId="7481"/>
    <cellStyle name="Normal 22 5 2" xfId="18769"/>
    <cellStyle name="Normal 22 6" xfId="5487"/>
    <cellStyle name="Normal 22 6 2" xfId="16775"/>
    <cellStyle name="Normal 22 7" xfId="3252"/>
    <cellStyle name="Normal 22 7 2" xfId="14781"/>
    <cellStyle name="Normal 22 8" xfId="13798"/>
    <cellStyle name="Normal 22 9" xfId="13466"/>
    <cellStyle name="Normal 23" xfId="52"/>
    <cellStyle name="Normal 23 10" xfId="24478"/>
    <cellStyle name="Normal 23 2" xfId="4488"/>
    <cellStyle name="Normal 23 2 2" xfId="12467"/>
    <cellStyle name="Normal 23 2 2 2" xfId="23755"/>
    <cellStyle name="Normal 23 2 3" xfId="10473"/>
    <cellStyle name="Normal 23 2 3 2" xfId="21761"/>
    <cellStyle name="Normal 23 2 4" xfId="8479"/>
    <cellStyle name="Normal 23 2 4 2" xfId="19767"/>
    <cellStyle name="Normal 23 2 5" xfId="6485"/>
    <cellStyle name="Normal 23 2 5 2" xfId="17773"/>
    <cellStyle name="Normal 23 2 6" xfId="15779"/>
    <cellStyle name="Normal 23 3" xfId="4619"/>
    <cellStyle name="Normal 23 3 2" xfId="11470"/>
    <cellStyle name="Normal 23 3 2 2" xfId="22758"/>
    <cellStyle name="Normal 23 4" xfId="9476"/>
    <cellStyle name="Normal 23 4 2" xfId="20764"/>
    <cellStyle name="Normal 23 5" xfId="7482"/>
    <cellStyle name="Normal 23 5 2" xfId="18770"/>
    <cellStyle name="Normal 23 6" xfId="5488"/>
    <cellStyle name="Normal 23 6 2" xfId="16776"/>
    <cellStyle name="Normal 23 7" xfId="3253"/>
    <cellStyle name="Normal 23 7 2" xfId="14782"/>
    <cellStyle name="Normal 23 8" xfId="13611"/>
    <cellStyle name="Normal 23 9" xfId="13467"/>
    <cellStyle name="Normal 24" xfId="409"/>
    <cellStyle name="Normal 24 10" xfId="24500"/>
    <cellStyle name="Normal 24 2" xfId="509"/>
    <cellStyle name="Normal 24 2 2" xfId="12468"/>
    <cellStyle name="Normal 24 2 2 2" xfId="23756"/>
    <cellStyle name="Normal 24 2 3" xfId="10474"/>
    <cellStyle name="Normal 24 2 3 2" xfId="21762"/>
    <cellStyle name="Normal 24 2 4" xfId="8480"/>
    <cellStyle name="Normal 24 2 4 2" xfId="19768"/>
    <cellStyle name="Normal 24 2 5" xfId="6486"/>
    <cellStyle name="Normal 24 2 5 2" xfId="17774"/>
    <cellStyle name="Normal 24 2 6" xfId="4489"/>
    <cellStyle name="Normal 24 2 6 2" xfId="15780"/>
    <cellStyle name="Normal 24 2 7" xfId="13872"/>
    <cellStyle name="Normal 24 3" xfId="11471"/>
    <cellStyle name="Normal 24 3 2" xfId="22759"/>
    <cellStyle name="Normal 24 4" xfId="9477"/>
    <cellStyle name="Normal 24 4 2" xfId="20765"/>
    <cellStyle name="Normal 24 5" xfId="7483"/>
    <cellStyle name="Normal 24 5 2" xfId="18771"/>
    <cellStyle name="Normal 24 6" xfId="5489"/>
    <cellStyle name="Normal 24 6 2" xfId="16777"/>
    <cellStyle name="Normal 24 7" xfId="3254"/>
    <cellStyle name="Normal 24 7 2" xfId="14783"/>
    <cellStyle name="Normal 24 8" xfId="13791"/>
    <cellStyle name="Normal 24 9" xfId="13468"/>
    <cellStyle name="Normal 25" xfId="451"/>
    <cellStyle name="Normal 25 10" xfId="24476"/>
    <cellStyle name="Normal 25 2" xfId="537"/>
    <cellStyle name="Normal 25 2 2" xfId="12469"/>
    <cellStyle name="Normal 25 2 2 2" xfId="23757"/>
    <cellStyle name="Normal 25 2 3" xfId="10475"/>
    <cellStyle name="Normal 25 2 3 2" xfId="21763"/>
    <cellStyle name="Normal 25 2 4" xfId="8481"/>
    <cellStyle name="Normal 25 2 4 2" xfId="19769"/>
    <cellStyle name="Normal 25 2 5" xfId="6487"/>
    <cellStyle name="Normal 25 2 5 2" xfId="17775"/>
    <cellStyle name="Normal 25 2 6" xfId="4490"/>
    <cellStyle name="Normal 25 2 6 2" xfId="15781"/>
    <cellStyle name="Normal 25 2 7" xfId="13900"/>
    <cellStyle name="Normal 25 3" xfId="11472"/>
    <cellStyle name="Normal 25 3 2" xfId="22760"/>
    <cellStyle name="Normal 25 4" xfId="9478"/>
    <cellStyle name="Normal 25 4 2" xfId="20766"/>
    <cellStyle name="Normal 25 5" xfId="7484"/>
    <cellStyle name="Normal 25 5 2" xfId="18772"/>
    <cellStyle name="Normal 25 6" xfId="5490"/>
    <cellStyle name="Normal 25 6 2" xfId="16778"/>
    <cellStyle name="Normal 25 7" xfId="3255"/>
    <cellStyle name="Normal 25 7 2" xfId="14784"/>
    <cellStyle name="Normal 25 8" xfId="13823"/>
    <cellStyle name="Normal 25 9" xfId="13469"/>
    <cellStyle name="Normal 26" xfId="454"/>
    <cellStyle name="Normal 26 2" xfId="4491"/>
    <cellStyle name="Normal 26 2 2" xfId="12470"/>
    <cellStyle name="Normal 26 2 2 2" xfId="23758"/>
    <cellStyle name="Normal 26 2 3" xfId="10476"/>
    <cellStyle name="Normal 26 2 3 2" xfId="21764"/>
    <cellStyle name="Normal 26 2 4" xfId="8482"/>
    <cellStyle name="Normal 26 2 4 2" xfId="19770"/>
    <cellStyle name="Normal 26 2 5" xfId="6488"/>
    <cellStyle name="Normal 26 2 5 2" xfId="17776"/>
    <cellStyle name="Normal 26 2 6" xfId="15782"/>
    <cellStyle name="Normal 26 3" xfId="11473"/>
    <cellStyle name="Normal 26 3 2" xfId="22761"/>
    <cellStyle name="Normal 26 4" xfId="9479"/>
    <cellStyle name="Normal 26 4 2" xfId="20767"/>
    <cellStyle name="Normal 26 5" xfId="7485"/>
    <cellStyle name="Normal 26 5 2" xfId="18773"/>
    <cellStyle name="Normal 26 6" xfId="5491"/>
    <cellStyle name="Normal 26 6 2" xfId="16779"/>
    <cellStyle name="Normal 26 7" xfId="3256"/>
    <cellStyle name="Normal 26 7 2" xfId="14785"/>
    <cellStyle name="Normal 26 8" xfId="13826"/>
    <cellStyle name="Normal 26 9" xfId="13470"/>
    <cellStyle name="Normal 27" xfId="465"/>
    <cellStyle name="Normal 27 2" xfId="4492"/>
    <cellStyle name="Normal 27 2 2" xfId="12471"/>
    <cellStyle name="Normal 27 2 2 2" xfId="23759"/>
    <cellStyle name="Normal 27 2 3" xfId="10477"/>
    <cellStyle name="Normal 27 2 3 2" xfId="21765"/>
    <cellStyle name="Normal 27 2 4" xfId="8483"/>
    <cellStyle name="Normal 27 2 4 2" xfId="19771"/>
    <cellStyle name="Normal 27 2 5" xfId="6489"/>
    <cellStyle name="Normal 27 2 5 2" xfId="17777"/>
    <cellStyle name="Normal 27 2 6" xfId="15783"/>
    <cellStyle name="Normal 27 3" xfId="11474"/>
    <cellStyle name="Normal 27 3 2" xfId="22762"/>
    <cellStyle name="Normal 27 4" xfId="9480"/>
    <cellStyle name="Normal 27 4 2" xfId="20768"/>
    <cellStyle name="Normal 27 5" xfId="7486"/>
    <cellStyle name="Normal 27 5 2" xfId="18774"/>
    <cellStyle name="Normal 27 6" xfId="5492"/>
    <cellStyle name="Normal 27 6 2" xfId="16780"/>
    <cellStyle name="Normal 27 7" xfId="3257"/>
    <cellStyle name="Normal 27 7 2" xfId="14786"/>
    <cellStyle name="Normal 27 8" xfId="13829"/>
    <cellStyle name="Normal 27 9" xfId="13471"/>
    <cellStyle name="Normal 28" xfId="469"/>
    <cellStyle name="Normal 28 2" xfId="4493"/>
    <cellStyle name="Normal 28 2 2" xfId="12472"/>
    <cellStyle name="Normal 28 2 2 2" xfId="23760"/>
    <cellStyle name="Normal 28 2 3" xfId="10478"/>
    <cellStyle name="Normal 28 2 3 2" xfId="21766"/>
    <cellStyle name="Normal 28 2 4" xfId="8484"/>
    <cellStyle name="Normal 28 2 4 2" xfId="19772"/>
    <cellStyle name="Normal 28 2 5" xfId="6490"/>
    <cellStyle name="Normal 28 2 5 2" xfId="17778"/>
    <cellStyle name="Normal 28 2 6" xfId="15784"/>
    <cellStyle name="Normal 28 3" xfId="11475"/>
    <cellStyle name="Normal 28 3 2" xfId="22763"/>
    <cellStyle name="Normal 28 4" xfId="9481"/>
    <cellStyle name="Normal 28 4 2" xfId="20769"/>
    <cellStyle name="Normal 28 5" xfId="7487"/>
    <cellStyle name="Normal 28 5 2" xfId="18775"/>
    <cellStyle name="Normal 28 6" xfId="5493"/>
    <cellStyle name="Normal 28 6 2" xfId="16781"/>
    <cellStyle name="Normal 28 7" xfId="3258"/>
    <cellStyle name="Normal 28 7 2" xfId="14787"/>
    <cellStyle name="Normal 28 8" xfId="13832"/>
    <cellStyle name="Normal 28 9" xfId="13472"/>
    <cellStyle name="Normal 29" xfId="464"/>
    <cellStyle name="Normal 29 2" xfId="4494"/>
    <cellStyle name="Normal 29 2 2" xfId="12473"/>
    <cellStyle name="Normal 29 2 2 2" xfId="23761"/>
    <cellStyle name="Normal 29 2 3" xfId="10479"/>
    <cellStyle name="Normal 29 2 3 2" xfId="21767"/>
    <cellStyle name="Normal 29 2 4" xfId="8485"/>
    <cellStyle name="Normal 29 2 4 2" xfId="19773"/>
    <cellStyle name="Normal 29 2 5" xfId="6491"/>
    <cellStyle name="Normal 29 2 5 2" xfId="17779"/>
    <cellStyle name="Normal 29 2 6" xfId="15785"/>
    <cellStyle name="Normal 29 3" xfId="11476"/>
    <cellStyle name="Normal 29 3 2" xfId="22764"/>
    <cellStyle name="Normal 29 4" xfId="9482"/>
    <cellStyle name="Normal 29 4 2" xfId="20770"/>
    <cellStyle name="Normal 29 5" xfId="7488"/>
    <cellStyle name="Normal 29 5 2" xfId="18776"/>
    <cellStyle name="Normal 29 6" xfId="5494"/>
    <cellStyle name="Normal 29 6 2" xfId="16782"/>
    <cellStyle name="Normal 29 7" xfId="3259"/>
    <cellStyle name="Normal 29 7 2" xfId="14788"/>
    <cellStyle name="Normal 29 8" xfId="13828"/>
    <cellStyle name="Normal 29 9" xfId="13473"/>
    <cellStyle name="Normal 3" xfId="53"/>
    <cellStyle name="Normal 3 10" xfId="24143"/>
    <cellStyle name="Normal 3 11" xfId="25773"/>
    <cellStyle name="Normal 3 2" xfId="54"/>
    <cellStyle name="Normal 3 2 2" xfId="11477"/>
    <cellStyle name="Normal 3 2 2 2" xfId="22765"/>
    <cellStyle name="Normal 3 2 3" xfId="9483"/>
    <cellStyle name="Normal 3 2 3 2" xfId="20771"/>
    <cellStyle name="Normal 3 2 4" xfId="7489"/>
    <cellStyle name="Normal 3 2 4 2" xfId="18777"/>
    <cellStyle name="Normal 3 2 5" xfId="5495"/>
    <cellStyle name="Normal 3 2 5 2" xfId="16783"/>
    <cellStyle name="Normal 3 2 6" xfId="3260"/>
    <cellStyle name="Normal 3 2 6 2" xfId="14789"/>
    <cellStyle name="Normal 3 2 7" xfId="25787"/>
    <cellStyle name="Normal 3 3" xfId="355"/>
    <cellStyle name="Normal 3 3 2" xfId="438"/>
    <cellStyle name="Normal 3 3 2 2" xfId="524"/>
    <cellStyle name="Normal 3 3 2 2 2" xfId="13887"/>
    <cellStyle name="Normal 3 3 2 3" xfId="12474"/>
    <cellStyle name="Normal 3 3 2 3 2" xfId="23762"/>
    <cellStyle name="Normal 3 3 2 4" xfId="13810"/>
    <cellStyle name="Normal 3 3 3" xfId="487"/>
    <cellStyle name="Normal 3 3 3 2" xfId="10480"/>
    <cellStyle name="Normal 3 3 3 2 2" xfId="21768"/>
    <cellStyle name="Normal 3 3 3 3" xfId="13850"/>
    <cellStyle name="Normal 3 3 4" xfId="8486"/>
    <cellStyle name="Normal 3 3 4 2" xfId="19774"/>
    <cellStyle name="Normal 3 3 5" xfId="6492"/>
    <cellStyle name="Normal 3 3 5 2" xfId="17780"/>
    <cellStyle name="Normal 3 3 6" xfId="4495"/>
    <cellStyle name="Normal 3 3 6 2" xfId="15786"/>
    <cellStyle name="Normal 3 3 7" xfId="13765"/>
    <cellStyle name="Normal 3 3 8" xfId="24144"/>
    <cellStyle name="Normal 3 4" xfId="407"/>
    <cellStyle name="Normal 3 4 2" xfId="507"/>
    <cellStyle name="Normal 3 4 2 2" xfId="13870"/>
    <cellStyle name="Normal 3 4 2 3" xfId="24419"/>
    <cellStyle name="Normal 3 4 2 4" xfId="24863"/>
    <cellStyle name="Normal 3 4 2 5" xfId="25226"/>
    <cellStyle name="Normal 3 4 3" xfId="13789"/>
    <cellStyle name="Normal 3 4 4" xfId="24145"/>
    <cellStyle name="Normal 3 4 5" xfId="24716"/>
    <cellStyle name="Normal 3 4 6" xfId="25032"/>
    <cellStyle name="Normal 3 5" xfId="386"/>
    <cellStyle name="Normal 3 6" xfId="472"/>
    <cellStyle name="Normal 3 6 2" xfId="13835"/>
    <cellStyle name="Normal 3 7" xfId="658"/>
    <cellStyle name="Normal 3 7 2" xfId="13911"/>
    <cellStyle name="Normal 3 8" xfId="13612"/>
    <cellStyle name="Normal 3 9" xfId="12599"/>
    <cellStyle name="Normal 30" xfId="470"/>
    <cellStyle name="Normal 30 2" xfId="4496"/>
    <cellStyle name="Normal 30 2 2" xfId="12475"/>
    <cellStyle name="Normal 30 2 2 2" xfId="23763"/>
    <cellStyle name="Normal 30 2 3" xfId="10481"/>
    <cellStyle name="Normal 30 2 3 2" xfId="21769"/>
    <cellStyle name="Normal 30 2 4" xfId="8487"/>
    <cellStyle name="Normal 30 2 4 2" xfId="19775"/>
    <cellStyle name="Normal 30 2 5" xfId="6493"/>
    <cellStyle name="Normal 30 2 5 2" xfId="17781"/>
    <cellStyle name="Normal 30 2 6" xfId="15787"/>
    <cellStyle name="Normal 30 3" xfId="11478"/>
    <cellStyle name="Normal 30 3 2" xfId="22766"/>
    <cellStyle name="Normal 30 4" xfId="9484"/>
    <cellStyle name="Normal 30 4 2" xfId="20772"/>
    <cellStyle name="Normal 30 5" xfId="7490"/>
    <cellStyle name="Normal 30 5 2" xfId="18778"/>
    <cellStyle name="Normal 30 6" xfId="5496"/>
    <cellStyle name="Normal 30 6 2" xfId="16784"/>
    <cellStyle name="Normal 30 7" xfId="3261"/>
    <cellStyle name="Normal 30 7 2" xfId="14790"/>
    <cellStyle name="Normal 30 8" xfId="13833"/>
    <cellStyle name="Normal 30 9" xfId="13474"/>
    <cellStyle name="Normal 31" xfId="3262"/>
    <cellStyle name="Normal 31 2" xfId="4497"/>
    <cellStyle name="Normal 31 2 2" xfId="12476"/>
    <cellStyle name="Normal 31 2 2 2" xfId="23764"/>
    <cellStyle name="Normal 31 2 3" xfId="10482"/>
    <cellStyle name="Normal 31 2 3 2" xfId="21770"/>
    <cellStyle name="Normal 31 2 4" xfId="8488"/>
    <cellStyle name="Normal 31 2 4 2" xfId="19776"/>
    <cellStyle name="Normal 31 2 5" xfId="6494"/>
    <cellStyle name="Normal 31 2 5 2" xfId="17782"/>
    <cellStyle name="Normal 31 2 6" xfId="15788"/>
    <cellStyle name="Normal 31 3" xfId="11479"/>
    <cellStyle name="Normal 31 3 2" xfId="22767"/>
    <cellStyle name="Normal 31 4" xfId="9485"/>
    <cellStyle name="Normal 31 4 2" xfId="20773"/>
    <cellStyle name="Normal 31 5" xfId="7491"/>
    <cellStyle name="Normal 31 5 2" xfId="18779"/>
    <cellStyle name="Normal 31 6" xfId="5497"/>
    <cellStyle name="Normal 31 6 2" xfId="16785"/>
    <cellStyle name="Normal 31 7" xfId="14791"/>
    <cellStyle name="Normal 31 8" xfId="13475"/>
    <cellStyle name="Normal 31 9" xfId="24471"/>
    <cellStyle name="Normal 32" xfId="3263"/>
    <cellStyle name="Normal 32 2" xfId="4498"/>
    <cellStyle name="Normal 32 2 2" xfId="12477"/>
    <cellStyle name="Normal 32 2 2 2" xfId="23765"/>
    <cellStyle name="Normal 32 2 3" xfId="10483"/>
    <cellStyle name="Normal 32 2 3 2" xfId="21771"/>
    <cellStyle name="Normal 32 2 4" xfId="8489"/>
    <cellStyle name="Normal 32 2 4 2" xfId="19777"/>
    <cellStyle name="Normal 32 2 5" xfId="6495"/>
    <cellStyle name="Normal 32 2 5 2" xfId="17783"/>
    <cellStyle name="Normal 32 2 6" xfId="15789"/>
    <cellStyle name="Normal 32 3" xfId="11480"/>
    <cellStyle name="Normal 32 3 2" xfId="22768"/>
    <cellStyle name="Normal 32 4" xfId="9486"/>
    <cellStyle name="Normal 32 4 2" xfId="20774"/>
    <cellStyle name="Normal 32 5" xfId="7492"/>
    <cellStyle name="Normal 32 5 2" xfId="18780"/>
    <cellStyle name="Normal 32 6" xfId="5498"/>
    <cellStyle name="Normal 32 6 2" xfId="16786"/>
    <cellStyle name="Normal 32 7" xfId="14792"/>
    <cellStyle name="Normal 32 8" xfId="13476"/>
    <cellStyle name="Normal 32 9" xfId="24392"/>
    <cellStyle name="Normal 33" xfId="3264"/>
    <cellStyle name="Normal 33 2" xfId="4499"/>
    <cellStyle name="Normal 33 2 2" xfId="12478"/>
    <cellStyle name="Normal 33 2 2 2" xfId="23766"/>
    <cellStyle name="Normal 33 2 3" xfId="10484"/>
    <cellStyle name="Normal 33 2 3 2" xfId="21772"/>
    <cellStyle name="Normal 33 2 4" xfId="8490"/>
    <cellStyle name="Normal 33 2 4 2" xfId="19778"/>
    <cellStyle name="Normal 33 2 5" xfId="6496"/>
    <cellStyle name="Normal 33 2 5 2" xfId="17784"/>
    <cellStyle name="Normal 33 2 6" xfId="15790"/>
    <cellStyle name="Normal 33 3" xfId="11481"/>
    <cellStyle name="Normal 33 3 2" xfId="22769"/>
    <cellStyle name="Normal 33 4" xfId="9487"/>
    <cellStyle name="Normal 33 4 2" xfId="20775"/>
    <cellStyle name="Normal 33 5" xfId="7493"/>
    <cellStyle name="Normal 33 5 2" xfId="18781"/>
    <cellStyle name="Normal 33 6" xfId="5499"/>
    <cellStyle name="Normal 33 6 2" xfId="16787"/>
    <cellStyle name="Normal 33 7" xfId="14793"/>
    <cellStyle name="Normal 33 8" xfId="13477"/>
    <cellStyle name="Normal 33 9" xfId="24487"/>
    <cellStyle name="Normal 34" xfId="3265"/>
    <cellStyle name="Normal 34 2" xfId="4500"/>
    <cellStyle name="Normal 34 2 2" xfId="12479"/>
    <cellStyle name="Normal 34 2 2 2" xfId="23767"/>
    <cellStyle name="Normal 34 2 3" xfId="10485"/>
    <cellStyle name="Normal 34 2 3 2" xfId="21773"/>
    <cellStyle name="Normal 34 2 4" xfId="8491"/>
    <cellStyle name="Normal 34 2 4 2" xfId="19779"/>
    <cellStyle name="Normal 34 2 5" xfId="6497"/>
    <cellStyle name="Normal 34 2 5 2" xfId="17785"/>
    <cellStyle name="Normal 34 2 6" xfId="15791"/>
    <cellStyle name="Normal 34 3" xfId="11482"/>
    <cellStyle name="Normal 34 3 2" xfId="22770"/>
    <cellStyle name="Normal 34 4" xfId="9488"/>
    <cellStyle name="Normal 34 4 2" xfId="20776"/>
    <cellStyle name="Normal 34 5" xfId="7494"/>
    <cellStyle name="Normal 34 5 2" xfId="18782"/>
    <cellStyle name="Normal 34 6" xfId="5500"/>
    <cellStyle name="Normal 34 6 2" xfId="16788"/>
    <cellStyle name="Normal 34 7" xfId="14794"/>
    <cellStyle name="Normal 34 8" xfId="13478"/>
    <cellStyle name="Normal 34 9" xfId="24470"/>
    <cellStyle name="Normal 35" xfId="3266"/>
    <cellStyle name="Normal 35 2" xfId="4501"/>
    <cellStyle name="Normal 35 2 2" xfId="12480"/>
    <cellStyle name="Normal 35 2 2 2" xfId="23768"/>
    <cellStyle name="Normal 35 2 3" xfId="10486"/>
    <cellStyle name="Normal 35 2 3 2" xfId="21774"/>
    <cellStyle name="Normal 35 2 4" xfId="8492"/>
    <cellStyle name="Normal 35 2 4 2" xfId="19780"/>
    <cellStyle name="Normal 35 2 5" xfId="6498"/>
    <cellStyle name="Normal 35 2 5 2" xfId="17786"/>
    <cellStyle name="Normal 35 2 6" xfId="15792"/>
    <cellStyle name="Normal 35 3" xfId="11483"/>
    <cellStyle name="Normal 35 3 2" xfId="22771"/>
    <cellStyle name="Normal 35 4" xfId="9489"/>
    <cellStyle name="Normal 35 4 2" xfId="20777"/>
    <cellStyle name="Normal 35 5" xfId="7495"/>
    <cellStyle name="Normal 35 5 2" xfId="18783"/>
    <cellStyle name="Normal 35 6" xfId="5501"/>
    <cellStyle name="Normal 35 6 2" xfId="16789"/>
    <cellStyle name="Normal 35 7" xfId="14795"/>
    <cellStyle name="Normal 35 8" xfId="13479"/>
    <cellStyle name="Normal 35 9" xfId="24501"/>
    <cellStyle name="Normal 36" xfId="3267"/>
    <cellStyle name="Normal 36 2" xfId="4502"/>
    <cellStyle name="Normal 36 2 2" xfId="12481"/>
    <cellStyle name="Normal 36 2 2 2" xfId="23769"/>
    <cellStyle name="Normal 36 2 3" xfId="10487"/>
    <cellStyle name="Normal 36 2 3 2" xfId="21775"/>
    <cellStyle name="Normal 36 2 4" xfId="8493"/>
    <cellStyle name="Normal 36 2 4 2" xfId="19781"/>
    <cellStyle name="Normal 36 2 5" xfId="6499"/>
    <cellStyle name="Normal 36 2 5 2" xfId="17787"/>
    <cellStyle name="Normal 36 2 6" xfId="15793"/>
    <cellStyle name="Normal 36 3" xfId="11484"/>
    <cellStyle name="Normal 36 3 2" xfId="22772"/>
    <cellStyle name="Normal 36 4" xfId="9490"/>
    <cellStyle name="Normal 36 4 2" xfId="20778"/>
    <cellStyle name="Normal 36 5" xfId="7496"/>
    <cellStyle name="Normal 36 5 2" xfId="18784"/>
    <cellStyle name="Normal 36 6" xfId="5502"/>
    <cellStyle name="Normal 36 6 2" xfId="16790"/>
    <cellStyle name="Normal 36 7" xfId="14796"/>
    <cellStyle name="Normal 36 8" xfId="13480"/>
    <cellStyle name="Normal 36 9" xfId="24485"/>
    <cellStyle name="Normal 37" xfId="3268"/>
    <cellStyle name="Normal 37 2" xfId="4503"/>
    <cellStyle name="Normal 37 2 2" xfId="12482"/>
    <cellStyle name="Normal 37 2 2 2" xfId="23770"/>
    <cellStyle name="Normal 37 2 3" xfId="10488"/>
    <cellStyle name="Normal 37 2 3 2" xfId="21776"/>
    <cellStyle name="Normal 37 2 4" xfId="8494"/>
    <cellStyle name="Normal 37 2 4 2" xfId="19782"/>
    <cellStyle name="Normal 37 2 5" xfId="6500"/>
    <cellStyle name="Normal 37 2 5 2" xfId="17788"/>
    <cellStyle name="Normal 37 2 6" xfId="15794"/>
    <cellStyle name="Normal 37 3" xfId="11485"/>
    <cellStyle name="Normal 37 3 2" xfId="22773"/>
    <cellStyle name="Normal 37 4" xfId="9491"/>
    <cellStyle name="Normal 37 4 2" xfId="20779"/>
    <cellStyle name="Normal 37 5" xfId="7497"/>
    <cellStyle name="Normal 37 5 2" xfId="18785"/>
    <cellStyle name="Normal 37 6" xfId="5503"/>
    <cellStyle name="Normal 37 6 2" xfId="16791"/>
    <cellStyle name="Normal 37 7" xfId="14797"/>
    <cellStyle name="Normal 37 8" xfId="13481"/>
    <cellStyle name="Normal 37 9" xfId="24498"/>
    <cellStyle name="Normal 38" xfId="3269"/>
    <cellStyle name="Normal 38 2" xfId="4504"/>
    <cellStyle name="Normal 38 2 2" xfId="12483"/>
    <cellStyle name="Normal 38 2 2 2" xfId="23771"/>
    <cellStyle name="Normal 38 2 3" xfId="10489"/>
    <cellStyle name="Normal 38 2 3 2" xfId="21777"/>
    <cellStyle name="Normal 38 2 4" xfId="8495"/>
    <cellStyle name="Normal 38 2 4 2" xfId="19783"/>
    <cellStyle name="Normal 38 2 5" xfId="6501"/>
    <cellStyle name="Normal 38 2 5 2" xfId="17789"/>
    <cellStyle name="Normal 38 2 6" xfId="15795"/>
    <cellStyle name="Normal 38 3" xfId="11486"/>
    <cellStyle name="Normal 38 3 2" xfId="22774"/>
    <cellStyle name="Normal 38 4" xfId="9492"/>
    <cellStyle name="Normal 38 4 2" xfId="20780"/>
    <cellStyle name="Normal 38 5" xfId="7498"/>
    <cellStyle name="Normal 38 5 2" xfId="18786"/>
    <cellStyle name="Normal 38 6" xfId="5504"/>
    <cellStyle name="Normal 38 6 2" xfId="16792"/>
    <cellStyle name="Normal 38 7" xfId="14798"/>
    <cellStyle name="Normal 38 8" xfId="13482"/>
    <cellStyle name="Normal 38 9" xfId="24459"/>
    <cellStyle name="Normal 39" xfId="3270"/>
    <cellStyle name="Normal 39 2" xfId="4505"/>
    <cellStyle name="Normal 39 2 2" xfId="12484"/>
    <cellStyle name="Normal 39 2 2 2" xfId="23772"/>
    <cellStyle name="Normal 39 2 3" xfId="10490"/>
    <cellStyle name="Normal 39 2 3 2" xfId="21778"/>
    <cellStyle name="Normal 39 2 4" xfId="8496"/>
    <cellStyle name="Normal 39 2 4 2" xfId="19784"/>
    <cellStyle name="Normal 39 2 5" xfId="6502"/>
    <cellStyle name="Normal 39 2 5 2" xfId="17790"/>
    <cellStyle name="Normal 39 2 6" xfId="15796"/>
    <cellStyle name="Normal 39 3" xfId="11487"/>
    <cellStyle name="Normal 39 3 2" xfId="22775"/>
    <cellStyle name="Normal 39 4" xfId="9493"/>
    <cellStyle name="Normal 39 4 2" xfId="20781"/>
    <cellStyle name="Normal 39 5" xfId="7499"/>
    <cellStyle name="Normal 39 5 2" xfId="18787"/>
    <cellStyle name="Normal 39 6" xfId="5505"/>
    <cellStyle name="Normal 39 6 2" xfId="16793"/>
    <cellStyle name="Normal 39 7" xfId="14799"/>
    <cellStyle name="Normal 39 8" xfId="13483"/>
    <cellStyle name="Normal 39 9" xfId="24494"/>
    <cellStyle name="Normal 4" xfId="55"/>
    <cellStyle name="Normal 4 10" xfId="24146"/>
    <cellStyle name="Normal 4 11" xfId="24717"/>
    <cellStyle name="Normal 4 12" xfId="25033"/>
    <cellStyle name="Normal 4 13" xfId="25774"/>
    <cellStyle name="Normal 4 2" xfId="164"/>
    <cellStyle name="Normal 4 2 10" xfId="25788"/>
    <cellStyle name="Normal 4 2 2" xfId="420"/>
    <cellStyle name="Normal 4 2 2 2" xfId="12485"/>
    <cellStyle name="Normal 4 2 2 2 2" xfId="23773"/>
    <cellStyle name="Normal 4 2 2 2 3" xfId="24422"/>
    <cellStyle name="Normal 4 2 2 2 4" xfId="24866"/>
    <cellStyle name="Normal 4 2 2 2 5" xfId="25229"/>
    <cellStyle name="Normal 4 2 2 3" xfId="24148"/>
    <cellStyle name="Normal 4 2 2 4" xfId="24719"/>
    <cellStyle name="Normal 4 2 2 5" xfId="25035"/>
    <cellStyle name="Normal 4 2 3" xfId="387"/>
    <cellStyle name="Normal 4 2 3 2" xfId="503"/>
    <cellStyle name="Normal 4 2 3 2 2" xfId="13866"/>
    <cellStyle name="Normal 4 2 3 3" xfId="10491"/>
    <cellStyle name="Normal 4 2 3 3 2" xfId="21779"/>
    <cellStyle name="Normal 4 2 3 4" xfId="13783"/>
    <cellStyle name="Normal 4 2 3 5" xfId="24421"/>
    <cellStyle name="Normal 4 2 3 6" xfId="24865"/>
    <cellStyle name="Normal 4 2 3 7" xfId="25228"/>
    <cellStyle name="Normal 4 2 4" xfId="8497"/>
    <cellStyle name="Normal 4 2 4 2" xfId="19785"/>
    <cellStyle name="Normal 4 2 5" xfId="6503"/>
    <cellStyle name="Normal 4 2 5 2" xfId="17791"/>
    <cellStyle name="Normal 4 2 6" xfId="4506"/>
    <cellStyle name="Normal 4 2 6 2" xfId="15797"/>
    <cellStyle name="Normal 4 2 7" xfId="24147"/>
    <cellStyle name="Normal 4 2 8" xfId="24718"/>
    <cellStyle name="Normal 4 2 9" xfId="25034"/>
    <cellStyle name="Normal 4 3" xfId="170"/>
    <cellStyle name="Normal 4 3 2" xfId="361"/>
    <cellStyle name="Normal 4 3 2 2" xfId="443"/>
    <cellStyle name="Normal 4 3 2 2 2" xfId="529"/>
    <cellStyle name="Normal 4 3 2 2 2 2" xfId="13892"/>
    <cellStyle name="Normal 4 3 2 2 3" xfId="13815"/>
    <cellStyle name="Normal 4 3 2 2 4" xfId="24424"/>
    <cellStyle name="Normal 4 3 2 2 5" xfId="24868"/>
    <cellStyle name="Normal 4 3 2 2 6" xfId="25231"/>
    <cellStyle name="Normal 4 3 2 3" xfId="492"/>
    <cellStyle name="Normal 4 3 2 3 2" xfId="13855"/>
    <cellStyle name="Normal 4 3 2 4" xfId="13771"/>
    <cellStyle name="Normal 4 3 2 5" xfId="24150"/>
    <cellStyle name="Normal 4 3 2 6" xfId="24721"/>
    <cellStyle name="Normal 4 3 2 7" xfId="25037"/>
    <cellStyle name="Normal 4 3 3" xfId="423"/>
    <cellStyle name="Normal 4 3 3 2" xfId="514"/>
    <cellStyle name="Normal 4 3 3 2 2" xfId="13877"/>
    <cellStyle name="Normal 4 3 3 3" xfId="13800"/>
    <cellStyle name="Normal 4 3 3 4" xfId="24423"/>
    <cellStyle name="Normal 4 3 3 5" xfId="24867"/>
    <cellStyle name="Normal 4 3 3 6" xfId="25230"/>
    <cellStyle name="Normal 4 3 4" xfId="477"/>
    <cellStyle name="Normal 4 3 4 2" xfId="13840"/>
    <cellStyle name="Normal 4 3 5" xfId="11488"/>
    <cellStyle name="Normal 4 3 5 2" xfId="22776"/>
    <cellStyle name="Normal 4 3 6" xfId="13685"/>
    <cellStyle name="Normal 4 3 7" xfId="24149"/>
    <cellStyle name="Normal 4 3 8" xfId="24720"/>
    <cellStyle name="Normal 4 3 9" xfId="25036"/>
    <cellStyle name="Normal 4 4" xfId="356"/>
    <cellStyle name="Normal 4 4 2" xfId="439"/>
    <cellStyle name="Normal 4 4 2 2" xfId="525"/>
    <cellStyle name="Normal 4 4 2 2 2" xfId="13888"/>
    <cellStyle name="Normal 4 4 2 3" xfId="13811"/>
    <cellStyle name="Normal 4 4 3" xfId="488"/>
    <cellStyle name="Normal 4 4 3 2" xfId="13851"/>
    <cellStyle name="Normal 4 4 4" xfId="9494"/>
    <cellStyle name="Normal 4 4 4 2" xfId="20782"/>
    <cellStyle name="Normal 4 4 5" xfId="13766"/>
    <cellStyle name="Normal 4 4 6" xfId="24151"/>
    <cellStyle name="Normal 4 5" xfId="473"/>
    <cellStyle name="Normal 4 5 2" xfId="7500"/>
    <cellStyle name="Normal 4 5 2 2" xfId="18788"/>
    <cellStyle name="Normal 4 5 3" xfId="13836"/>
    <cellStyle name="Normal 4 5 4" xfId="24152"/>
    <cellStyle name="Normal 4 6" xfId="659"/>
    <cellStyle name="Normal 4 6 2" xfId="5506"/>
    <cellStyle name="Normal 4 6 2 2" xfId="16794"/>
    <cellStyle name="Normal 4 6 2 3" xfId="24425"/>
    <cellStyle name="Normal 4 6 2 4" xfId="24869"/>
    <cellStyle name="Normal 4 6 2 5" xfId="25232"/>
    <cellStyle name="Normal 4 6 3" xfId="13912"/>
    <cellStyle name="Normal 4 6 4" xfId="24153"/>
    <cellStyle name="Normal 4 6 5" xfId="24722"/>
    <cellStyle name="Normal 4 6 6" xfId="25038"/>
    <cellStyle name="Normal 4 7" xfId="3271"/>
    <cellStyle name="Normal 4 7 2" xfId="14800"/>
    <cellStyle name="Normal 4 7 3" xfId="24420"/>
    <cellStyle name="Normal 4 7 4" xfId="24864"/>
    <cellStyle name="Normal 4 7 5" xfId="25227"/>
    <cellStyle name="Normal 4 8" xfId="13613"/>
    <cellStyle name="Normal 4 9" xfId="13484"/>
    <cellStyle name="Normal 40" xfId="3272"/>
    <cellStyle name="Normal 40 10" xfId="24479"/>
    <cellStyle name="Normal 40 2" xfId="3273"/>
    <cellStyle name="Normal 40 2 2" xfId="4508"/>
    <cellStyle name="Normal 40 2 2 2" xfId="12487"/>
    <cellStyle name="Normal 40 2 2 2 2" xfId="23775"/>
    <cellStyle name="Normal 40 2 2 3" xfId="10493"/>
    <cellStyle name="Normal 40 2 2 3 2" xfId="21781"/>
    <cellStyle name="Normal 40 2 2 4" xfId="8499"/>
    <cellStyle name="Normal 40 2 2 4 2" xfId="19787"/>
    <cellStyle name="Normal 40 2 2 5" xfId="6505"/>
    <cellStyle name="Normal 40 2 2 5 2" xfId="17793"/>
    <cellStyle name="Normal 40 2 2 6" xfId="15799"/>
    <cellStyle name="Normal 40 2 3" xfId="11490"/>
    <cellStyle name="Normal 40 2 3 2" xfId="22778"/>
    <cellStyle name="Normal 40 2 4" xfId="9496"/>
    <cellStyle name="Normal 40 2 4 2" xfId="20784"/>
    <cellStyle name="Normal 40 2 5" xfId="7502"/>
    <cellStyle name="Normal 40 2 5 2" xfId="18790"/>
    <cellStyle name="Normal 40 2 6" xfId="5508"/>
    <cellStyle name="Normal 40 2 6 2" xfId="16796"/>
    <cellStyle name="Normal 40 2 7" xfId="14802"/>
    <cellStyle name="Normal 40 2 8" xfId="13486"/>
    <cellStyle name="Normal 40 3" xfId="4507"/>
    <cellStyle name="Normal 40 3 2" xfId="12486"/>
    <cellStyle name="Normal 40 3 2 2" xfId="23774"/>
    <cellStyle name="Normal 40 3 3" xfId="10492"/>
    <cellStyle name="Normal 40 3 3 2" xfId="21780"/>
    <cellStyle name="Normal 40 3 4" xfId="8498"/>
    <cellStyle name="Normal 40 3 4 2" xfId="19786"/>
    <cellStyle name="Normal 40 3 5" xfId="6504"/>
    <cellStyle name="Normal 40 3 5 2" xfId="17792"/>
    <cellStyle name="Normal 40 3 6" xfId="15798"/>
    <cellStyle name="Normal 40 4" xfId="11489"/>
    <cellStyle name="Normal 40 4 2" xfId="22777"/>
    <cellStyle name="Normal 40 5" xfId="9495"/>
    <cellStyle name="Normal 40 5 2" xfId="20783"/>
    <cellStyle name="Normal 40 6" xfId="7501"/>
    <cellStyle name="Normal 40 6 2" xfId="18789"/>
    <cellStyle name="Normal 40 7" xfId="5507"/>
    <cellStyle name="Normal 40 7 2" xfId="16795"/>
    <cellStyle name="Normal 40 8" xfId="14801"/>
    <cellStyle name="Normal 40 9" xfId="13485"/>
    <cellStyle name="Normal 41" xfId="3274"/>
    <cellStyle name="Normal 41 2" xfId="4509"/>
    <cellStyle name="Normal 41 2 2" xfId="12488"/>
    <cellStyle name="Normal 41 2 2 2" xfId="23776"/>
    <cellStyle name="Normal 41 2 3" xfId="10494"/>
    <cellStyle name="Normal 41 2 3 2" xfId="21782"/>
    <cellStyle name="Normal 41 2 4" xfId="8500"/>
    <cellStyle name="Normal 41 2 4 2" xfId="19788"/>
    <cellStyle name="Normal 41 2 5" xfId="6506"/>
    <cellStyle name="Normal 41 2 5 2" xfId="17794"/>
    <cellStyle name="Normal 41 2 6" xfId="15800"/>
    <cellStyle name="Normal 41 3" xfId="11491"/>
    <cellStyle name="Normal 41 3 2" xfId="22779"/>
    <cellStyle name="Normal 41 4" xfId="9497"/>
    <cellStyle name="Normal 41 4 2" xfId="20785"/>
    <cellStyle name="Normal 41 5" xfId="7503"/>
    <cellStyle name="Normal 41 5 2" xfId="18791"/>
    <cellStyle name="Normal 41 6" xfId="5509"/>
    <cellStyle name="Normal 41 6 2" xfId="16797"/>
    <cellStyle name="Normal 41 7" xfId="14803"/>
    <cellStyle name="Normal 41 8" xfId="13487"/>
    <cellStyle name="Normal 41 9" xfId="24490"/>
    <cellStyle name="Normal 42" xfId="3275"/>
    <cellStyle name="Normal 42 2" xfId="4510"/>
    <cellStyle name="Normal 42 2 2" xfId="12489"/>
    <cellStyle name="Normal 42 2 2 2" xfId="23777"/>
    <cellStyle name="Normal 42 2 3" xfId="10495"/>
    <cellStyle name="Normal 42 2 3 2" xfId="21783"/>
    <cellStyle name="Normal 42 2 4" xfId="8501"/>
    <cellStyle name="Normal 42 2 4 2" xfId="19789"/>
    <cellStyle name="Normal 42 2 5" xfId="6507"/>
    <cellStyle name="Normal 42 2 5 2" xfId="17795"/>
    <cellStyle name="Normal 42 2 6" xfId="15801"/>
    <cellStyle name="Normal 42 3" xfId="11492"/>
    <cellStyle name="Normal 42 3 2" xfId="22780"/>
    <cellStyle name="Normal 42 4" xfId="9498"/>
    <cellStyle name="Normal 42 4 2" xfId="20786"/>
    <cellStyle name="Normal 42 5" xfId="7504"/>
    <cellStyle name="Normal 42 5 2" xfId="18792"/>
    <cellStyle name="Normal 42 6" xfId="5510"/>
    <cellStyle name="Normal 42 6 2" xfId="16798"/>
    <cellStyle name="Normal 42 7" xfId="14804"/>
    <cellStyle name="Normal 42 8" xfId="13488"/>
    <cellStyle name="Normal 42 9" xfId="24506"/>
    <cellStyle name="Normal 43" xfId="3276"/>
    <cellStyle name="Normal 43 2" xfId="4511"/>
    <cellStyle name="Normal 43 2 2" xfId="12490"/>
    <cellStyle name="Normal 43 2 2 2" xfId="23778"/>
    <cellStyle name="Normal 43 2 3" xfId="10496"/>
    <cellStyle name="Normal 43 2 3 2" xfId="21784"/>
    <cellStyle name="Normal 43 2 4" xfId="8502"/>
    <cellStyle name="Normal 43 2 4 2" xfId="19790"/>
    <cellStyle name="Normal 43 2 5" xfId="6508"/>
    <cellStyle name="Normal 43 2 5 2" xfId="17796"/>
    <cellStyle name="Normal 43 2 6" xfId="15802"/>
    <cellStyle name="Normal 43 3" xfId="11493"/>
    <cellStyle name="Normal 43 3 2" xfId="22781"/>
    <cellStyle name="Normal 43 4" xfId="9499"/>
    <cellStyle name="Normal 43 4 2" xfId="20787"/>
    <cellStyle name="Normal 43 5" xfId="7505"/>
    <cellStyle name="Normal 43 5 2" xfId="18793"/>
    <cellStyle name="Normal 43 6" xfId="5511"/>
    <cellStyle name="Normal 43 6 2" xfId="16799"/>
    <cellStyle name="Normal 43 7" xfId="14805"/>
    <cellStyle name="Normal 43 8" xfId="13489"/>
    <cellStyle name="Normal 43 9" xfId="24511"/>
    <cellStyle name="Normal 44" xfId="3277"/>
    <cellStyle name="Normal 44 2" xfId="4512"/>
    <cellStyle name="Normal 44 2 2" xfId="12491"/>
    <cellStyle name="Normal 44 2 2 2" xfId="23779"/>
    <cellStyle name="Normal 44 2 3" xfId="10497"/>
    <cellStyle name="Normal 44 2 3 2" xfId="21785"/>
    <cellStyle name="Normal 44 2 4" xfId="8503"/>
    <cellStyle name="Normal 44 2 4 2" xfId="19791"/>
    <cellStyle name="Normal 44 2 5" xfId="6509"/>
    <cellStyle name="Normal 44 2 5 2" xfId="17797"/>
    <cellStyle name="Normal 44 2 6" xfId="15803"/>
    <cellStyle name="Normal 44 3" xfId="11494"/>
    <cellStyle name="Normal 44 3 2" xfId="22782"/>
    <cellStyle name="Normal 44 4" xfId="9500"/>
    <cellStyle name="Normal 44 4 2" xfId="20788"/>
    <cellStyle name="Normal 44 5" xfId="7506"/>
    <cellStyle name="Normal 44 5 2" xfId="18794"/>
    <cellStyle name="Normal 44 6" xfId="5512"/>
    <cellStyle name="Normal 44 6 2" xfId="16800"/>
    <cellStyle name="Normal 44 7" xfId="14806"/>
    <cellStyle name="Normal 44 8" xfId="13490"/>
    <cellStyle name="Normal 45" xfId="3278"/>
    <cellStyle name="Normal 45 2" xfId="4513"/>
    <cellStyle name="Normal 45 2 2" xfId="12492"/>
    <cellStyle name="Normal 45 2 2 2" xfId="23780"/>
    <cellStyle name="Normal 45 2 3" xfId="10498"/>
    <cellStyle name="Normal 45 2 3 2" xfId="21786"/>
    <cellStyle name="Normal 45 2 4" xfId="8504"/>
    <cellStyle name="Normal 45 2 4 2" xfId="19792"/>
    <cellStyle name="Normal 45 2 5" xfId="6510"/>
    <cellStyle name="Normal 45 2 5 2" xfId="17798"/>
    <cellStyle name="Normal 45 2 6" xfId="15804"/>
    <cellStyle name="Normal 45 3" xfId="11495"/>
    <cellStyle name="Normal 45 3 2" xfId="22783"/>
    <cellStyle name="Normal 45 4" xfId="9501"/>
    <cellStyle name="Normal 45 4 2" xfId="20789"/>
    <cellStyle name="Normal 45 5" xfId="7507"/>
    <cellStyle name="Normal 45 5 2" xfId="18795"/>
    <cellStyle name="Normal 45 6" xfId="5513"/>
    <cellStyle name="Normal 45 6 2" xfId="16801"/>
    <cellStyle name="Normal 45 7" xfId="14807"/>
    <cellStyle name="Normal 45 8" xfId="13491"/>
    <cellStyle name="Normal 46" xfId="3279"/>
    <cellStyle name="Normal 46 2" xfId="4514"/>
    <cellStyle name="Normal 46 2 2" xfId="12493"/>
    <cellStyle name="Normal 46 2 2 2" xfId="23781"/>
    <cellStyle name="Normal 46 2 3" xfId="10499"/>
    <cellStyle name="Normal 46 2 3 2" xfId="21787"/>
    <cellStyle name="Normal 46 2 4" xfId="8505"/>
    <cellStyle name="Normal 46 2 4 2" xfId="19793"/>
    <cellStyle name="Normal 46 2 5" xfId="6511"/>
    <cellStyle name="Normal 46 2 5 2" xfId="17799"/>
    <cellStyle name="Normal 46 2 6" xfId="15805"/>
    <cellStyle name="Normal 46 3" xfId="11496"/>
    <cellStyle name="Normal 46 3 2" xfId="22784"/>
    <cellStyle name="Normal 46 4" xfId="9502"/>
    <cellStyle name="Normal 46 4 2" xfId="20790"/>
    <cellStyle name="Normal 46 5" xfId="7508"/>
    <cellStyle name="Normal 46 5 2" xfId="18796"/>
    <cellStyle name="Normal 46 6" xfId="5514"/>
    <cellStyle name="Normal 46 6 2" xfId="16802"/>
    <cellStyle name="Normal 46 7" xfId="14808"/>
    <cellStyle name="Normal 46 8" xfId="13492"/>
    <cellStyle name="Normal 47" xfId="3280"/>
    <cellStyle name="Normal 47 2" xfId="4515"/>
    <cellStyle name="Normal 47 2 2" xfId="12494"/>
    <cellStyle name="Normal 47 2 2 2" xfId="23782"/>
    <cellStyle name="Normal 47 2 3" xfId="10500"/>
    <cellStyle name="Normal 47 2 3 2" xfId="21788"/>
    <cellStyle name="Normal 47 2 4" xfId="8506"/>
    <cellStyle name="Normal 47 2 4 2" xfId="19794"/>
    <cellStyle name="Normal 47 2 5" xfId="6512"/>
    <cellStyle name="Normal 47 2 5 2" xfId="17800"/>
    <cellStyle name="Normal 47 2 6" xfId="15806"/>
    <cellStyle name="Normal 47 3" xfId="11497"/>
    <cellStyle name="Normal 47 3 2" xfId="22785"/>
    <cellStyle name="Normal 47 4" xfId="9503"/>
    <cellStyle name="Normal 47 4 2" xfId="20791"/>
    <cellStyle name="Normal 47 5" xfId="7509"/>
    <cellStyle name="Normal 47 5 2" xfId="18797"/>
    <cellStyle name="Normal 47 6" xfId="5515"/>
    <cellStyle name="Normal 47 6 2" xfId="16803"/>
    <cellStyle name="Normal 47 7" xfId="14809"/>
    <cellStyle name="Normal 47 8" xfId="13493"/>
    <cellStyle name="Normal 48" xfId="3281"/>
    <cellStyle name="Normal 48 2" xfId="4516"/>
    <cellStyle name="Normal 48 2 2" xfId="12495"/>
    <cellStyle name="Normal 48 2 2 2" xfId="23783"/>
    <cellStyle name="Normal 48 2 3" xfId="10501"/>
    <cellStyle name="Normal 48 2 3 2" xfId="21789"/>
    <cellStyle name="Normal 48 2 4" xfId="8507"/>
    <cellStyle name="Normal 48 2 4 2" xfId="19795"/>
    <cellStyle name="Normal 48 2 5" xfId="6513"/>
    <cellStyle name="Normal 48 2 5 2" xfId="17801"/>
    <cellStyle name="Normal 48 2 6" xfId="15807"/>
    <cellStyle name="Normal 48 3" xfId="11498"/>
    <cellStyle name="Normal 48 3 2" xfId="22786"/>
    <cellStyle name="Normal 48 4" xfId="9504"/>
    <cellStyle name="Normal 48 4 2" xfId="20792"/>
    <cellStyle name="Normal 48 5" xfId="7510"/>
    <cellStyle name="Normal 48 5 2" xfId="18798"/>
    <cellStyle name="Normal 48 6" xfId="5516"/>
    <cellStyle name="Normal 48 6 2" xfId="16804"/>
    <cellStyle name="Normal 48 7" xfId="14810"/>
    <cellStyle name="Normal 48 8" xfId="13494"/>
    <cellStyle name="Normal 49" xfId="3282"/>
    <cellStyle name="Normal 49 2" xfId="4517"/>
    <cellStyle name="Normal 49 2 2" xfId="12496"/>
    <cellStyle name="Normal 49 2 2 2" xfId="23784"/>
    <cellStyle name="Normal 49 2 3" xfId="10502"/>
    <cellStyle name="Normal 49 2 3 2" xfId="21790"/>
    <cellStyle name="Normal 49 2 4" xfId="8508"/>
    <cellStyle name="Normal 49 2 4 2" xfId="19796"/>
    <cellStyle name="Normal 49 2 5" xfId="6514"/>
    <cellStyle name="Normal 49 2 5 2" xfId="17802"/>
    <cellStyle name="Normal 49 2 6" xfId="15808"/>
    <cellStyle name="Normal 49 3" xfId="11499"/>
    <cellStyle name="Normal 49 3 2" xfId="22787"/>
    <cellStyle name="Normal 49 4" xfId="9505"/>
    <cellStyle name="Normal 49 4 2" xfId="20793"/>
    <cellStyle name="Normal 49 5" xfId="7511"/>
    <cellStyle name="Normal 49 5 2" xfId="18799"/>
    <cellStyle name="Normal 49 6" xfId="5517"/>
    <cellStyle name="Normal 49 6 2" xfId="16805"/>
    <cellStyle name="Normal 49 7" xfId="14811"/>
    <cellStyle name="Normal 49 8" xfId="13495"/>
    <cellStyle name="Normal 5" xfId="56"/>
    <cellStyle name="Normal 5 10" xfId="13496"/>
    <cellStyle name="Normal 5 11" xfId="24154"/>
    <cellStyle name="Normal 5 12" xfId="24723"/>
    <cellStyle name="Normal 5 13" xfId="25039"/>
    <cellStyle name="Normal 5 14" xfId="25775"/>
    <cellStyle name="Normal 5 2" xfId="203"/>
    <cellStyle name="Normal 5 2 10" xfId="25789"/>
    <cellStyle name="Normal 5 2 2" xfId="661"/>
    <cellStyle name="Normal 5 2 2 2" xfId="12497"/>
    <cellStyle name="Normal 5 2 2 2 2" xfId="23785"/>
    <cellStyle name="Normal 5 2 2 2 3" xfId="24428"/>
    <cellStyle name="Normal 5 2 2 2 4" xfId="24872"/>
    <cellStyle name="Normal 5 2 2 2 5" xfId="25235"/>
    <cellStyle name="Normal 5 2 2 3" xfId="24156"/>
    <cellStyle name="Normal 5 2 2 4" xfId="24725"/>
    <cellStyle name="Normal 5 2 2 5" xfId="25041"/>
    <cellStyle name="Normal 5 2 3" xfId="10503"/>
    <cellStyle name="Normal 5 2 3 2" xfId="21791"/>
    <cellStyle name="Normal 5 2 3 3" xfId="24427"/>
    <cellStyle name="Normal 5 2 3 4" xfId="24871"/>
    <cellStyle name="Normal 5 2 3 5" xfId="25234"/>
    <cellStyle name="Normal 5 2 4" xfId="8509"/>
    <cellStyle name="Normal 5 2 4 2" xfId="19797"/>
    <cellStyle name="Normal 5 2 5" xfId="6515"/>
    <cellStyle name="Normal 5 2 5 2" xfId="17803"/>
    <cellStyle name="Normal 5 2 6" xfId="4518"/>
    <cellStyle name="Normal 5 2 6 2" xfId="15809"/>
    <cellStyle name="Normal 5 2 7" xfId="24155"/>
    <cellStyle name="Normal 5 2 8" xfId="24724"/>
    <cellStyle name="Normal 5 2 9" xfId="25040"/>
    <cellStyle name="Normal 5 3" xfId="357"/>
    <cellStyle name="Normal 5 3 2" xfId="440"/>
    <cellStyle name="Normal 5 3 2 2" xfId="526"/>
    <cellStyle name="Normal 5 3 2 2 2" xfId="13889"/>
    <cellStyle name="Normal 5 3 2 2 3" xfId="24430"/>
    <cellStyle name="Normal 5 3 2 2 4" xfId="24874"/>
    <cellStyle name="Normal 5 3 2 2 5" xfId="25237"/>
    <cellStyle name="Normal 5 3 2 3" xfId="13812"/>
    <cellStyle name="Normal 5 3 2 4" xfId="24158"/>
    <cellStyle name="Normal 5 3 2 5" xfId="24727"/>
    <cellStyle name="Normal 5 3 2 6" xfId="25043"/>
    <cellStyle name="Normal 5 3 3" xfId="489"/>
    <cellStyle name="Normal 5 3 3 2" xfId="13852"/>
    <cellStyle name="Normal 5 3 3 3" xfId="24429"/>
    <cellStyle name="Normal 5 3 3 4" xfId="24873"/>
    <cellStyle name="Normal 5 3 3 5" xfId="25236"/>
    <cellStyle name="Normal 5 3 4" xfId="11500"/>
    <cellStyle name="Normal 5 3 4 2" xfId="22788"/>
    <cellStyle name="Normal 5 3 5" xfId="13767"/>
    <cellStyle name="Normal 5 3 6" xfId="24157"/>
    <cellStyle name="Normal 5 3 7" xfId="24726"/>
    <cellStyle name="Normal 5 3 8" xfId="25042"/>
    <cellStyle name="Normal 5 4" xfId="408"/>
    <cellStyle name="Normal 5 4 2" xfId="508"/>
    <cellStyle name="Normal 5 4 2 2" xfId="13871"/>
    <cellStyle name="Normal 5 4 2 3" xfId="24431"/>
    <cellStyle name="Normal 5 4 2 4" xfId="24875"/>
    <cellStyle name="Normal 5 4 2 5" xfId="25238"/>
    <cellStyle name="Normal 5 4 3" xfId="9506"/>
    <cellStyle name="Normal 5 4 3 2" xfId="20794"/>
    <cellStyle name="Normal 5 4 4" xfId="13790"/>
    <cellStyle name="Normal 5 4 5" xfId="24159"/>
    <cellStyle name="Normal 5 4 6" xfId="24728"/>
    <cellStyle name="Normal 5 4 7" xfId="25044"/>
    <cellStyle name="Normal 5 5" xfId="392"/>
    <cellStyle name="Normal 5 5 2" xfId="7512"/>
    <cellStyle name="Normal 5 5 2 2" xfId="18800"/>
    <cellStyle name="Normal 5 5 3" xfId="24426"/>
    <cellStyle name="Normal 5 5 4" xfId="24870"/>
    <cellStyle name="Normal 5 5 5" xfId="25233"/>
    <cellStyle name="Normal 5 6" xfId="474"/>
    <cellStyle name="Normal 5 6 2" xfId="5518"/>
    <cellStyle name="Normal 5 6 2 2" xfId="16806"/>
    <cellStyle name="Normal 5 6 3" xfId="13837"/>
    <cellStyle name="Normal 5 7" xfId="660"/>
    <cellStyle name="Normal 5 7 2" xfId="13913"/>
    <cellStyle name="Normal 5 8" xfId="3283"/>
    <cellStyle name="Normal 5 8 2" xfId="14812"/>
    <cellStyle name="Normal 5 9" xfId="13614"/>
    <cellStyle name="Normal 50" xfId="3284"/>
    <cellStyle name="Normal 50 2" xfId="3285"/>
    <cellStyle name="Normal 50 2 2" xfId="4520"/>
    <cellStyle name="Normal 50 2 2 2" xfId="12499"/>
    <cellStyle name="Normal 50 2 2 2 2" xfId="23787"/>
    <cellStyle name="Normal 50 2 2 3" xfId="10505"/>
    <cellStyle name="Normal 50 2 2 3 2" xfId="21793"/>
    <cellStyle name="Normal 50 2 2 4" xfId="8511"/>
    <cellStyle name="Normal 50 2 2 4 2" xfId="19799"/>
    <cellStyle name="Normal 50 2 2 5" xfId="6517"/>
    <cellStyle name="Normal 50 2 2 5 2" xfId="17805"/>
    <cellStyle name="Normal 50 2 2 6" xfId="15811"/>
    <cellStyle name="Normal 50 2 3" xfId="11502"/>
    <cellStyle name="Normal 50 2 3 2" xfId="22790"/>
    <cellStyle name="Normal 50 2 4" xfId="9508"/>
    <cellStyle name="Normal 50 2 4 2" xfId="20796"/>
    <cellStyle name="Normal 50 2 5" xfId="7514"/>
    <cellStyle name="Normal 50 2 5 2" xfId="18802"/>
    <cellStyle name="Normal 50 2 6" xfId="5520"/>
    <cellStyle name="Normal 50 2 6 2" xfId="16808"/>
    <cellStyle name="Normal 50 2 7" xfId="14814"/>
    <cellStyle name="Normal 50 2 8" xfId="13498"/>
    <cellStyle name="Normal 50 3" xfId="4519"/>
    <cellStyle name="Normal 50 3 2" xfId="12498"/>
    <cellStyle name="Normal 50 3 2 2" xfId="23786"/>
    <cellStyle name="Normal 50 3 3" xfId="10504"/>
    <cellStyle name="Normal 50 3 3 2" xfId="21792"/>
    <cellStyle name="Normal 50 3 4" xfId="8510"/>
    <cellStyle name="Normal 50 3 4 2" xfId="19798"/>
    <cellStyle name="Normal 50 3 5" xfId="6516"/>
    <cellStyle name="Normal 50 3 5 2" xfId="17804"/>
    <cellStyle name="Normal 50 3 6" xfId="15810"/>
    <cellStyle name="Normal 50 4" xfId="11501"/>
    <cellStyle name="Normal 50 4 2" xfId="22789"/>
    <cellStyle name="Normal 50 5" xfId="9507"/>
    <cellStyle name="Normal 50 5 2" xfId="20795"/>
    <cellStyle name="Normal 50 6" xfId="7513"/>
    <cellStyle name="Normal 50 6 2" xfId="18801"/>
    <cellStyle name="Normal 50 7" xfId="5519"/>
    <cellStyle name="Normal 50 7 2" xfId="16807"/>
    <cellStyle name="Normal 50 8" xfId="14813"/>
    <cellStyle name="Normal 50 9" xfId="13497"/>
    <cellStyle name="Normal 51" xfId="3286"/>
    <cellStyle name="Normal 51 2" xfId="4521"/>
    <cellStyle name="Normal 51 2 2" xfId="12500"/>
    <cellStyle name="Normal 51 2 2 2" xfId="23788"/>
    <cellStyle name="Normal 51 2 3" xfId="10506"/>
    <cellStyle name="Normal 51 2 3 2" xfId="21794"/>
    <cellStyle name="Normal 51 2 4" xfId="8512"/>
    <cellStyle name="Normal 51 2 4 2" xfId="19800"/>
    <cellStyle name="Normal 51 2 5" xfId="6518"/>
    <cellStyle name="Normal 51 2 5 2" xfId="17806"/>
    <cellStyle name="Normal 51 2 6" xfId="15812"/>
    <cellStyle name="Normal 51 3" xfId="11503"/>
    <cellStyle name="Normal 51 3 2" xfId="22791"/>
    <cellStyle name="Normal 51 4" xfId="9509"/>
    <cellStyle name="Normal 51 4 2" xfId="20797"/>
    <cellStyle name="Normal 51 5" xfId="7515"/>
    <cellStyle name="Normal 51 5 2" xfId="18803"/>
    <cellStyle name="Normal 51 6" xfId="5521"/>
    <cellStyle name="Normal 51 6 2" xfId="16809"/>
    <cellStyle name="Normal 51 7" xfId="14815"/>
    <cellStyle name="Normal 51 8" xfId="13499"/>
    <cellStyle name="Normal 52" xfId="3287"/>
    <cellStyle name="Normal 52 2" xfId="4522"/>
    <cellStyle name="Normal 52 2 2" xfId="12501"/>
    <cellStyle name="Normal 52 2 2 2" xfId="23789"/>
    <cellStyle name="Normal 52 2 3" xfId="10507"/>
    <cellStyle name="Normal 52 2 3 2" xfId="21795"/>
    <cellStyle name="Normal 52 2 4" xfId="8513"/>
    <cellStyle name="Normal 52 2 4 2" xfId="19801"/>
    <cellStyle name="Normal 52 2 5" xfId="6519"/>
    <cellStyle name="Normal 52 2 5 2" xfId="17807"/>
    <cellStyle name="Normal 52 2 6" xfId="15813"/>
    <cellStyle name="Normal 52 3" xfId="11504"/>
    <cellStyle name="Normal 52 3 2" xfId="22792"/>
    <cellStyle name="Normal 52 4" xfId="9510"/>
    <cellStyle name="Normal 52 4 2" xfId="20798"/>
    <cellStyle name="Normal 52 5" xfId="7516"/>
    <cellStyle name="Normal 52 5 2" xfId="18804"/>
    <cellStyle name="Normal 52 6" xfId="5522"/>
    <cellStyle name="Normal 52 6 2" xfId="16810"/>
    <cellStyle name="Normal 52 7" xfId="14816"/>
    <cellStyle name="Normal 52 8" xfId="13500"/>
    <cellStyle name="Normal 53" xfId="3288"/>
    <cellStyle name="Normal 53 2" xfId="4523"/>
    <cellStyle name="Normal 53 2 2" xfId="12502"/>
    <cellStyle name="Normal 53 2 2 2" xfId="23790"/>
    <cellStyle name="Normal 53 2 3" xfId="10508"/>
    <cellStyle name="Normal 53 2 3 2" xfId="21796"/>
    <cellStyle name="Normal 53 2 4" xfId="8514"/>
    <cellStyle name="Normal 53 2 4 2" xfId="19802"/>
    <cellStyle name="Normal 53 2 5" xfId="6520"/>
    <cellStyle name="Normal 53 2 5 2" xfId="17808"/>
    <cellStyle name="Normal 53 2 6" xfId="15814"/>
    <cellStyle name="Normal 53 3" xfId="11505"/>
    <cellStyle name="Normal 53 3 2" xfId="22793"/>
    <cellStyle name="Normal 53 4" xfId="9511"/>
    <cellStyle name="Normal 53 4 2" xfId="20799"/>
    <cellStyle name="Normal 53 5" xfId="7517"/>
    <cellStyle name="Normal 53 5 2" xfId="18805"/>
    <cellStyle name="Normal 53 6" xfId="5523"/>
    <cellStyle name="Normal 53 6 2" xfId="16811"/>
    <cellStyle name="Normal 53 7" xfId="14817"/>
    <cellStyle name="Normal 53 8" xfId="13501"/>
    <cellStyle name="Normal 54" xfId="3289"/>
    <cellStyle name="Normal 54 2" xfId="4524"/>
    <cellStyle name="Normal 54 2 2" xfId="12503"/>
    <cellStyle name="Normal 54 2 2 2" xfId="23791"/>
    <cellStyle name="Normal 54 2 3" xfId="10509"/>
    <cellStyle name="Normal 54 2 3 2" xfId="21797"/>
    <cellStyle name="Normal 54 2 4" xfId="8515"/>
    <cellStyle name="Normal 54 2 4 2" xfId="19803"/>
    <cellStyle name="Normal 54 2 5" xfId="6521"/>
    <cellStyle name="Normal 54 2 5 2" xfId="17809"/>
    <cellStyle name="Normal 54 2 6" xfId="15815"/>
    <cellStyle name="Normal 54 3" xfId="11506"/>
    <cellStyle name="Normal 54 3 2" xfId="22794"/>
    <cellStyle name="Normal 54 4" xfId="9512"/>
    <cellStyle name="Normal 54 4 2" xfId="20800"/>
    <cellStyle name="Normal 54 5" xfId="7518"/>
    <cellStyle name="Normal 54 5 2" xfId="18806"/>
    <cellStyle name="Normal 54 6" xfId="5524"/>
    <cellStyle name="Normal 54 6 2" xfId="16812"/>
    <cellStyle name="Normal 54 7" xfId="14818"/>
    <cellStyle name="Normal 54 8" xfId="13502"/>
    <cellStyle name="Normal 55" xfId="3290"/>
    <cellStyle name="Normal 55 2" xfId="4525"/>
    <cellStyle name="Normal 55 2 2" xfId="12504"/>
    <cellStyle name="Normal 55 2 2 2" xfId="23792"/>
    <cellStyle name="Normal 55 2 3" xfId="10510"/>
    <cellStyle name="Normal 55 2 3 2" xfId="21798"/>
    <cellStyle name="Normal 55 2 4" xfId="8516"/>
    <cellStyle name="Normal 55 2 4 2" xfId="19804"/>
    <cellStyle name="Normal 55 2 5" xfId="6522"/>
    <cellStyle name="Normal 55 2 5 2" xfId="17810"/>
    <cellStyle name="Normal 55 2 6" xfId="15816"/>
    <cellStyle name="Normal 55 3" xfId="11507"/>
    <cellStyle name="Normal 55 3 2" xfId="22795"/>
    <cellStyle name="Normal 55 4" xfId="9513"/>
    <cellStyle name="Normal 55 4 2" xfId="20801"/>
    <cellStyle name="Normal 55 5" xfId="7519"/>
    <cellStyle name="Normal 55 5 2" xfId="18807"/>
    <cellStyle name="Normal 55 6" xfId="5525"/>
    <cellStyle name="Normal 55 6 2" xfId="16813"/>
    <cellStyle name="Normal 55 7" xfId="14819"/>
    <cellStyle name="Normal 55 8" xfId="13503"/>
    <cellStyle name="Normal 56" xfId="3291"/>
    <cellStyle name="Normal 56 2" xfId="4526"/>
    <cellStyle name="Normal 56 2 2" xfId="12505"/>
    <cellStyle name="Normal 56 2 2 2" xfId="23793"/>
    <cellStyle name="Normal 56 2 3" xfId="10511"/>
    <cellStyle name="Normal 56 2 3 2" xfId="21799"/>
    <cellStyle name="Normal 56 2 4" xfId="8517"/>
    <cellStyle name="Normal 56 2 4 2" xfId="19805"/>
    <cellStyle name="Normal 56 2 5" xfId="6523"/>
    <cellStyle name="Normal 56 2 5 2" xfId="17811"/>
    <cellStyle name="Normal 56 2 6" xfId="15817"/>
    <cellStyle name="Normal 56 3" xfId="11508"/>
    <cellStyle name="Normal 56 3 2" xfId="22796"/>
    <cellStyle name="Normal 56 4" xfId="9514"/>
    <cellStyle name="Normal 56 4 2" xfId="20802"/>
    <cellStyle name="Normal 56 5" xfId="7520"/>
    <cellStyle name="Normal 56 5 2" xfId="18808"/>
    <cellStyle name="Normal 56 6" xfId="5526"/>
    <cellStyle name="Normal 56 6 2" xfId="16814"/>
    <cellStyle name="Normal 56 7" xfId="14820"/>
    <cellStyle name="Normal 56 8" xfId="13504"/>
    <cellStyle name="Normal 57" xfId="3292"/>
    <cellStyle name="Normal 57 2" xfId="4527"/>
    <cellStyle name="Normal 57 2 2" xfId="12506"/>
    <cellStyle name="Normal 57 2 2 2" xfId="23794"/>
    <cellStyle name="Normal 57 2 3" xfId="10512"/>
    <cellStyle name="Normal 57 2 3 2" xfId="21800"/>
    <cellStyle name="Normal 57 2 4" xfId="8518"/>
    <cellStyle name="Normal 57 2 4 2" xfId="19806"/>
    <cellStyle name="Normal 57 2 5" xfId="6524"/>
    <cellStyle name="Normal 57 2 5 2" xfId="17812"/>
    <cellStyle name="Normal 57 2 6" xfId="15818"/>
    <cellStyle name="Normal 57 3" xfId="11509"/>
    <cellStyle name="Normal 57 3 2" xfId="22797"/>
    <cellStyle name="Normal 57 4" xfId="9515"/>
    <cellStyle name="Normal 57 4 2" xfId="20803"/>
    <cellStyle name="Normal 57 5" xfId="7521"/>
    <cellStyle name="Normal 57 5 2" xfId="18809"/>
    <cellStyle name="Normal 57 6" xfId="5527"/>
    <cellStyle name="Normal 57 6 2" xfId="16815"/>
    <cellStyle name="Normal 57 7" xfId="14821"/>
    <cellStyle name="Normal 57 8" xfId="13505"/>
    <cellStyle name="Normal 58" xfId="3293"/>
    <cellStyle name="Normal 58 2" xfId="4528"/>
    <cellStyle name="Normal 58 2 2" xfId="12507"/>
    <cellStyle name="Normal 58 2 2 2" xfId="23795"/>
    <cellStyle name="Normal 58 2 3" xfId="10513"/>
    <cellStyle name="Normal 58 2 3 2" xfId="21801"/>
    <cellStyle name="Normal 58 2 4" xfId="8519"/>
    <cellStyle name="Normal 58 2 4 2" xfId="19807"/>
    <cellStyle name="Normal 58 2 5" xfId="6525"/>
    <cellStyle name="Normal 58 2 5 2" xfId="17813"/>
    <cellStyle name="Normal 58 2 6" xfId="15819"/>
    <cellStyle name="Normal 58 3" xfId="11510"/>
    <cellStyle name="Normal 58 3 2" xfId="22798"/>
    <cellStyle name="Normal 58 4" xfId="9516"/>
    <cellStyle name="Normal 58 4 2" xfId="20804"/>
    <cellStyle name="Normal 58 5" xfId="7522"/>
    <cellStyle name="Normal 58 5 2" xfId="18810"/>
    <cellStyle name="Normal 58 6" xfId="5528"/>
    <cellStyle name="Normal 58 6 2" xfId="16816"/>
    <cellStyle name="Normal 58 7" xfId="14822"/>
    <cellStyle name="Normal 58 8" xfId="13506"/>
    <cellStyle name="Normal 59" xfId="3294"/>
    <cellStyle name="Normal 59 2" xfId="4529"/>
    <cellStyle name="Normal 59 2 2" xfId="12508"/>
    <cellStyle name="Normal 59 2 2 2" xfId="23796"/>
    <cellStyle name="Normal 59 2 3" xfId="10514"/>
    <cellStyle name="Normal 59 2 3 2" xfId="21802"/>
    <cellStyle name="Normal 59 2 4" xfId="8520"/>
    <cellStyle name="Normal 59 2 4 2" xfId="19808"/>
    <cellStyle name="Normal 59 2 5" xfId="6526"/>
    <cellStyle name="Normal 59 2 5 2" xfId="17814"/>
    <cellStyle name="Normal 59 2 6" xfId="15820"/>
    <cellStyle name="Normal 59 3" xfId="11511"/>
    <cellStyle name="Normal 59 3 2" xfId="22799"/>
    <cellStyle name="Normal 59 4" xfId="9517"/>
    <cellStyle name="Normal 59 4 2" xfId="20805"/>
    <cellStyle name="Normal 59 5" xfId="7523"/>
    <cellStyle name="Normal 59 5 2" xfId="18811"/>
    <cellStyle name="Normal 59 6" xfId="5529"/>
    <cellStyle name="Normal 59 6 2" xfId="16817"/>
    <cellStyle name="Normal 59 7" xfId="14823"/>
    <cellStyle name="Normal 59 8" xfId="13507"/>
    <cellStyle name="Normal 6" xfId="57"/>
    <cellStyle name="Normal 6 10" xfId="25776"/>
    <cellStyle name="Normal 6 2" xfId="204"/>
    <cellStyle name="Normal 6 2 10" xfId="25046"/>
    <cellStyle name="Normal 6 2 11" xfId="25790"/>
    <cellStyle name="Normal 6 2 2" xfId="367"/>
    <cellStyle name="Normal 6 2 2 2" xfId="449"/>
    <cellStyle name="Normal 6 2 2 2 2" xfId="535"/>
    <cellStyle name="Normal 6 2 2 2 2 2" xfId="13898"/>
    <cellStyle name="Normal 6 2 2 2 3" xfId="13821"/>
    <cellStyle name="Normal 6 2 2 2 4" xfId="24434"/>
    <cellStyle name="Normal 6 2 2 2 5" xfId="24878"/>
    <cellStyle name="Normal 6 2 2 2 6" xfId="25241"/>
    <cellStyle name="Normal 6 2 2 3" xfId="498"/>
    <cellStyle name="Normal 6 2 2 3 2" xfId="13861"/>
    <cellStyle name="Normal 6 2 2 4" xfId="11512"/>
    <cellStyle name="Normal 6 2 2 4 2" xfId="22800"/>
    <cellStyle name="Normal 6 2 2 5" xfId="13777"/>
    <cellStyle name="Normal 6 2 2 6" xfId="24162"/>
    <cellStyle name="Normal 6 2 2 7" xfId="24731"/>
    <cellStyle name="Normal 6 2 2 8" xfId="25047"/>
    <cellStyle name="Normal 6 2 3" xfId="429"/>
    <cellStyle name="Normal 6 2 3 2" xfId="520"/>
    <cellStyle name="Normal 6 2 3 2 2" xfId="13883"/>
    <cellStyle name="Normal 6 2 3 3" xfId="9518"/>
    <cellStyle name="Normal 6 2 3 3 2" xfId="20806"/>
    <cellStyle name="Normal 6 2 3 4" xfId="13806"/>
    <cellStyle name="Normal 6 2 3 5" xfId="24433"/>
    <cellStyle name="Normal 6 2 3 6" xfId="24877"/>
    <cellStyle name="Normal 6 2 3 7" xfId="25240"/>
    <cellStyle name="Normal 6 2 4" xfId="483"/>
    <cellStyle name="Normal 6 2 4 2" xfId="7524"/>
    <cellStyle name="Normal 6 2 4 2 2" xfId="18812"/>
    <cellStyle name="Normal 6 2 4 3" xfId="13846"/>
    <cellStyle name="Normal 6 2 5" xfId="5530"/>
    <cellStyle name="Normal 6 2 5 2" xfId="16818"/>
    <cellStyle name="Normal 6 2 6" xfId="3296"/>
    <cellStyle name="Normal 6 2 6 2" xfId="14824"/>
    <cellStyle name="Normal 6 2 7" xfId="13703"/>
    <cellStyle name="Normal 6 2 8" xfId="24161"/>
    <cellStyle name="Normal 6 2 9" xfId="24730"/>
    <cellStyle name="Normal 6 3" xfId="4530"/>
    <cellStyle name="Normal 6 3 2" xfId="12509"/>
    <cellStyle name="Normal 6 3 2 2" xfId="23797"/>
    <cellStyle name="Normal 6 3 2 2 2" xfId="24436"/>
    <cellStyle name="Normal 6 3 2 2 3" xfId="24880"/>
    <cellStyle name="Normal 6 3 2 2 4" xfId="25243"/>
    <cellStyle name="Normal 6 3 2 3" xfId="24164"/>
    <cellStyle name="Normal 6 3 2 4" xfId="24733"/>
    <cellStyle name="Normal 6 3 2 5" xfId="25049"/>
    <cellStyle name="Normal 6 3 3" xfId="10515"/>
    <cellStyle name="Normal 6 3 3 2" xfId="21803"/>
    <cellStyle name="Normal 6 3 3 3" xfId="24435"/>
    <cellStyle name="Normal 6 3 3 4" xfId="24879"/>
    <cellStyle name="Normal 6 3 3 5" xfId="25242"/>
    <cellStyle name="Normal 6 3 4" xfId="8521"/>
    <cellStyle name="Normal 6 3 4 2" xfId="19809"/>
    <cellStyle name="Normal 6 3 5" xfId="6527"/>
    <cellStyle name="Normal 6 3 5 2" xfId="17815"/>
    <cellStyle name="Normal 6 3 6" xfId="15821"/>
    <cellStyle name="Normal 6 3 7" xfId="24163"/>
    <cellStyle name="Normal 6 3 8" xfId="24732"/>
    <cellStyle name="Normal 6 3 9" xfId="25048"/>
    <cellStyle name="Normal 6 4" xfId="3295"/>
    <cellStyle name="Normal 6 4 2" xfId="24437"/>
    <cellStyle name="Normal 6 4 2 2" xfId="24881"/>
    <cellStyle name="Normal 6 4 2 3" xfId="25244"/>
    <cellStyle name="Normal 6 4 3" xfId="24165"/>
    <cellStyle name="Normal 6 4 4" xfId="24734"/>
    <cellStyle name="Normal 6 4 5" xfId="25050"/>
    <cellStyle name="Normal 6 5" xfId="13615"/>
    <cellStyle name="Normal 6 5 2" xfId="24432"/>
    <cellStyle name="Normal 6 5 3" xfId="24876"/>
    <cellStyle name="Normal 6 5 4" xfId="25239"/>
    <cellStyle name="Normal 6 6" xfId="13508"/>
    <cellStyle name="Normal 6 7" xfId="24160"/>
    <cellStyle name="Normal 6 8" xfId="24729"/>
    <cellStyle name="Normal 6 9" xfId="25045"/>
    <cellStyle name="Normal 60" xfId="3297"/>
    <cellStyle name="Normal 60 2" xfId="3298"/>
    <cellStyle name="Normal 60 2 2" xfId="4532"/>
    <cellStyle name="Normal 60 2 2 2" xfId="12511"/>
    <cellStyle name="Normal 60 2 2 2 2" xfId="23799"/>
    <cellStyle name="Normal 60 2 2 3" xfId="10517"/>
    <cellStyle name="Normal 60 2 2 3 2" xfId="21805"/>
    <cellStyle name="Normal 60 2 2 4" xfId="8523"/>
    <cellStyle name="Normal 60 2 2 4 2" xfId="19811"/>
    <cellStyle name="Normal 60 2 2 5" xfId="6529"/>
    <cellStyle name="Normal 60 2 2 5 2" xfId="17817"/>
    <cellStyle name="Normal 60 2 2 6" xfId="15823"/>
    <cellStyle name="Normal 60 2 3" xfId="11514"/>
    <cellStyle name="Normal 60 2 3 2" xfId="22802"/>
    <cellStyle name="Normal 60 2 4" xfId="9520"/>
    <cellStyle name="Normal 60 2 4 2" xfId="20808"/>
    <cellStyle name="Normal 60 2 5" xfId="7526"/>
    <cellStyle name="Normal 60 2 5 2" xfId="18814"/>
    <cellStyle name="Normal 60 2 6" xfId="5532"/>
    <cellStyle name="Normal 60 2 6 2" xfId="16820"/>
    <cellStyle name="Normal 60 2 7" xfId="14826"/>
    <cellStyle name="Normal 60 2 8" xfId="13510"/>
    <cellStyle name="Normal 60 3" xfId="4531"/>
    <cellStyle name="Normal 60 3 2" xfId="12510"/>
    <cellStyle name="Normal 60 3 2 2" xfId="23798"/>
    <cellStyle name="Normal 60 3 3" xfId="10516"/>
    <cellStyle name="Normal 60 3 3 2" xfId="21804"/>
    <cellStyle name="Normal 60 3 4" xfId="8522"/>
    <cellStyle name="Normal 60 3 4 2" xfId="19810"/>
    <cellStyle name="Normal 60 3 5" xfId="6528"/>
    <cellStyle name="Normal 60 3 5 2" xfId="17816"/>
    <cellStyle name="Normal 60 3 6" xfId="15822"/>
    <cellStyle name="Normal 60 4" xfId="11513"/>
    <cellStyle name="Normal 60 4 2" xfId="22801"/>
    <cellStyle name="Normal 60 5" xfId="9519"/>
    <cellStyle name="Normal 60 5 2" xfId="20807"/>
    <cellStyle name="Normal 60 6" xfId="7525"/>
    <cellStyle name="Normal 60 6 2" xfId="18813"/>
    <cellStyle name="Normal 60 7" xfId="5531"/>
    <cellStyle name="Normal 60 7 2" xfId="16819"/>
    <cellStyle name="Normal 60 8" xfId="14825"/>
    <cellStyle name="Normal 60 9" xfId="13509"/>
    <cellStyle name="Normal 604" xfId="25796"/>
    <cellStyle name="Normal 61" xfId="3299"/>
    <cellStyle name="Normal 61 2" xfId="4533"/>
    <cellStyle name="Normal 61 2 2" xfId="12512"/>
    <cellStyle name="Normal 61 2 2 2" xfId="23800"/>
    <cellStyle name="Normal 61 2 3" xfId="10518"/>
    <cellStyle name="Normal 61 2 3 2" xfId="21806"/>
    <cellStyle name="Normal 61 2 4" xfId="8524"/>
    <cellStyle name="Normal 61 2 4 2" xfId="19812"/>
    <cellStyle name="Normal 61 2 5" xfId="6530"/>
    <cellStyle name="Normal 61 2 5 2" xfId="17818"/>
    <cellStyle name="Normal 61 2 6" xfId="15824"/>
    <cellStyle name="Normal 61 3" xfId="11515"/>
    <cellStyle name="Normal 61 3 2" xfId="22803"/>
    <cellStyle name="Normal 61 4" xfId="9521"/>
    <cellStyle name="Normal 61 4 2" xfId="20809"/>
    <cellStyle name="Normal 61 5" xfId="7527"/>
    <cellStyle name="Normal 61 5 2" xfId="18815"/>
    <cellStyle name="Normal 61 6" xfId="5533"/>
    <cellStyle name="Normal 61 6 2" xfId="16821"/>
    <cellStyle name="Normal 61 7" xfId="14827"/>
    <cellStyle name="Normal 61 8" xfId="13511"/>
    <cellStyle name="Normal 62" xfId="3300"/>
    <cellStyle name="Normal 62 2" xfId="4534"/>
    <cellStyle name="Normal 62 2 2" xfId="12513"/>
    <cellStyle name="Normal 62 2 2 2" xfId="23801"/>
    <cellStyle name="Normal 62 2 3" xfId="10519"/>
    <cellStyle name="Normal 62 2 3 2" xfId="21807"/>
    <cellStyle name="Normal 62 2 4" xfId="8525"/>
    <cellStyle name="Normal 62 2 4 2" xfId="19813"/>
    <cellStyle name="Normal 62 2 5" xfId="6531"/>
    <cellStyle name="Normal 62 2 5 2" xfId="17819"/>
    <cellStyle name="Normal 62 2 6" xfId="15825"/>
    <cellStyle name="Normal 62 3" xfId="11516"/>
    <cellStyle name="Normal 62 3 2" xfId="22804"/>
    <cellStyle name="Normal 62 4" xfId="9522"/>
    <cellStyle name="Normal 62 4 2" xfId="20810"/>
    <cellStyle name="Normal 62 5" xfId="7528"/>
    <cellStyle name="Normal 62 5 2" xfId="18816"/>
    <cellStyle name="Normal 62 6" xfId="5534"/>
    <cellStyle name="Normal 62 6 2" xfId="16822"/>
    <cellStyle name="Normal 62 7" xfId="14828"/>
    <cellStyle name="Normal 62 8" xfId="13512"/>
    <cellStyle name="Normal 63" xfId="3301"/>
    <cellStyle name="Normal 63 2" xfId="4535"/>
    <cellStyle name="Normal 63 2 2" xfId="12514"/>
    <cellStyle name="Normal 63 2 2 2" xfId="23802"/>
    <cellStyle name="Normal 63 2 3" xfId="10520"/>
    <cellStyle name="Normal 63 2 3 2" xfId="21808"/>
    <cellStyle name="Normal 63 2 4" xfId="8526"/>
    <cellStyle name="Normal 63 2 4 2" xfId="19814"/>
    <cellStyle name="Normal 63 2 5" xfId="6532"/>
    <cellStyle name="Normal 63 2 5 2" xfId="17820"/>
    <cellStyle name="Normal 63 2 6" xfId="15826"/>
    <cellStyle name="Normal 63 3" xfId="11517"/>
    <cellStyle name="Normal 63 3 2" xfId="22805"/>
    <cellStyle name="Normal 63 4" xfId="9523"/>
    <cellStyle name="Normal 63 4 2" xfId="20811"/>
    <cellStyle name="Normal 63 5" xfId="7529"/>
    <cellStyle name="Normal 63 5 2" xfId="18817"/>
    <cellStyle name="Normal 63 6" xfId="5535"/>
    <cellStyle name="Normal 63 6 2" xfId="16823"/>
    <cellStyle name="Normal 63 7" xfId="14829"/>
    <cellStyle name="Normal 63 8" xfId="13513"/>
    <cellStyle name="Normal 64" xfId="3302"/>
    <cellStyle name="Normal 64 2" xfId="4536"/>
    <cellStyle name="Normal 64 2 2" xfId="12515"/>
    <cellStyle name="Normal 64 2 2 2" xfId="23803"/>
    <cellStyle name="Normal 64 2 3" xfId="10521"/>
    <cellStyle name="Normal 64 2 3 2" xfId="21809"/>
    <cellStyle name="Normal 64 2 4" xfId="8527"/>
    <cellStyle name="Normal 64 2 4 2" xfId="19815"/>
    <cellStyle name="Normal 64 2 5" xfId="6533"/>
    <cellStyle name="Normal 64 2 5 2" xfId="17821"/>
    <cellStyle name="Normal 64 2 6" xfId="15827"/>
    <cellStyle name="Normal 64 3" xfId="11518"/>
    <cellStyle name="Normal 64 3 2" xfId="22806"/>
    <cellStyle name="Normal 64 4" xfId="9524"/>
    <cellStyle name="Normal 64 4 2" xfId="20812"/>
    <cellStyle name="Normal 64 5" xfId="7530"/>
    <cellStyle name="Normal 64 5 2" xfId="18818"/>
    <cellStyle name="Normal 64 6" xfId="5536"/>
    <cellStyle name="Normal 64 6 2" xfId="16824"/>
    <cellStyle name="Normal 64 7" xfId="14830"/>
    <cellStyle name="Normal 64 8" xfId="13514"/>
    <cellStyle name="Normal 65" xfId="3303"/>
    <cellStyle name="Normal 65 2" xfId="4537"/>
    <cellStyle name="Normal 65 2 2" xfId="12516"/>
    <cellStyle name="Normal 65 2 2 2" xfId="23804"/>
    <cellStyle name="Normal 65 2 3" xfId="10522"/>
    <cellStyle name="Normal 65 2 3 2" xfId="21810"/>
    <cellStyle name="Normal 65 2 4" xfId="8528"/>
    <cellStyle name="Normal 65 2 4 2" xfId="19816"/>
    <cellStyle name="Normal 65 2 5" xfId="6534"/>
    <cellStyle name="Normal 65 2 5 2" xfId="17822"/>
    <cellStyle name="Normal 65 2 6" xfId="15828"/>
    <cellStyle name="Normal 65 3" xfId="11519"/>
    <cellStyle name="Normal 65 3 2" xfId="22807"/>
    <cellStyle name="Normal 65 4" xfId="9525"/>
    <cellStyle name="Normal 65 4 2" xfId="20813"/>
    <cellStyle name="Normal 65 5" xfId="7531"/>
    <cellStyle name="Normal 65 5 2" xfId="18819"/>
    <cellStyle name="Normal 65 6" xfId="5537"/>
    <cellStyle name="Normal 65 6 2" xfId="16825"/>
    <cellStyle name="Normal 65 7" xfId="14831"/>
    <cellStyle name="Normal 65 8" xfId="13515"/>
    <cellStyle name="Normal 66" xfId="3304"/>
    <cellStyle name="Normal 66 2" xfId="3305"/>
    <cellStyle name="Normal 66 2 2" xfId="4539"/>
    <cellStyle name="Normal 66 2 2 2" xfId="12518"/>
    <cellStyle name="Normal 66 2 2 2 2" xfId="23806"/>
    <cellStyle name="Normal 66 2 2 3" xfId="10524"/>
    <cellStyle name="Normal 66 2 2 3 2" xfId="21812"/>
    <cellStyle name="Normal 66 2 2 4" xfId="8530"/>
    <cellStyle name="Normal 66 2 2 4 2" xfId="19818"/>
    <cellStyle name="Normal 66 2 2 5" xfId="6536"/>
    <cellStyle name="Normal 66 2 2 5 2" xfId="17824"/>
    <cellStyle name="Normal 66 2 2 6" xfId="15830"/>
    <cellStyle name="Normal 66 2 3" xfId="11521"/>
    <cellStyle name="Normal 66 2 3 2" xfId="22809"/>
    <cellStyle name="Normal 66 2 4" xfId="9527"/>
    <cellStyle name="Normal 66 2 4 2" xfId="20815"/>
    <cellStyle name="Normal 66 2 5" xfId="7533"/>
    <cellStyle name="Normal 66 2 5 2" xfId="18821"/>
    <cellStyle name="Normal 66 2 6" xfId="5539"/>
    <cellStyle name="Normal 66 2 6 2" xfId="16827"/>
    <cellStyle name="Normal 66 2 7" xfId="14833"/>
    <cellStyle name="Normal 66 2 8" xfId="13517"/>
    <cellStyle name="Normal 66 3" xfId="4538"/>
    <cellStyle name="Normal 66 3 2" xfId="12517"/>
    <cellStyle name="Normal 66 3 2 2" xfId="23805"/>
    <cellStyle name="Normal 66 3 3" xfId="10523"/>
    <cellStyle name="Normal 66 3 3 2" xfId="21811"/>
    <cellStyle name="Normal 66 3 4" xfId="8529"/>
    <cellStyle name="Normal 66 3 4 2" xfId="19817"/>
    <cellStyle name="Normal 66 3 5" xfId="6535"/>
    <cellStyle name="Normal 66 3 5 2" xfId="17823"/>
    <cellStyle name="Normal 66 3 6" xfId="15829"/>
    <cellStyle name="Normal 66 4" xfId="11520"/>
    <cellStyle name="Normal 66 4 2" xfId="22808"/>
    <cellStyle name="Normal 66 5" xfId="9526"/>
    <cellStyle name="Normal 66 5 2" xfId="20814"/>
    <cellStyle name="Normal 66 6" xfId="7532"/>
    <cellStyle name="Normal 66 6 2" xfId="18820"/>
    <cellStyle name="Normal 66 7" xfId="5538"/>
    <cellStyle name="Normal 66 7 2" xfId="16826"/>
    <cellStyle name="Normal 66 8" xfId="14832"/>
    <cellStyle name="Normal 66 9" xfId="13516"/>
    <cellStyle name="Normal 67" xfId="3306"/>
    <cellStyle name="Normal 67 2" xfId="4540"/>
    <cellStyle name="Normal 67 2 2" xfId="12519"/>
    <cellStyle name="Normal 67 2 2 2" xfId="23807"/>
    <cellStyle name="Normal 67 2 3" xfId="10525"/>
    <cellStyle name="Normal 67 2 3 2" xfId="21813"/>
    <cellStyle name="Normal 67 2 4" xfId="8531"/>
    <cellStyle name="Normal 67 2 4 2" xfId="19819"/>
    <cellStyle name="Normal 67 2 5" xfId="6537"/>
    <cellStyle name="Normal 67 2 5 2" xfId="17825"/>
    <cellStyle name="Normal 67 2 6" xfId="15831"/>
    <cellStyle name="Normal 67 3" xfId="11522"/>
    <cellStyle name="Normal 67 3 2" xfId="22810"/>
    <cellStyle name="Normal 67 4" xfId="9528"/>
    <cellStyle name="Normal 67 4 2" xfId="20816"/>
    <cellStyle name="Normal 67 5" xfId="7534"/>
    <cellStyle name="Normal 67 5 2" xfId="18822"/>
    <cellStyle name="Normal 67 6" xfId="5540"/>
    <cellStyle name="Normal 67 6 2" xfId="16828"/>
    <cellStyle name="Normal 67 7" xfId="14834"/>
    <cellStyle name="Normal 67 8" xfId="13518"/>
    <cellStyle name="Normal 68" xfId="3307"/>
    <cellStyle name="Normal 68 2" xfId="4541"/>
    <cellStyle name="Normal 68 2 2" xfId="12520"/>
    <cellStyle name="Normal 68 2 2 2" xfId="23808"/>
    <cellStyle name="Normal 68 2 3" xfId="10526"/>
    <cellStyle name="Normal 68 2 3 2" xfId="21814"/>
    <cellStyle name="Normal 68 2 4" xfId="8532"/>
    <cellStyle name="Normal 68 2 4 2" xfId="19820"/>
    <cellStyle name="Normal 68 2 5" xfId="6538"/>
    <cellStyle name="Normal 68 2 5 2" xfId="17826"/>
    <cellStyle name="Normal 68 2 6" xfId="15832"/>
    <cellStyle name="Normal 68 3" xfId="11523"/>
    <cellStyle name="Normal 68 3 2" xfId="22811"/>
    <cellStyle name="Normal 68 4" xfId="9529"/>
    <cellStyle name="Normal 68 4 2" xfId="20817"/>
    <cellStyle name="Normal 68 5" xfId="7535"/>
    <cellStyle name="Normal 68 5 2" xfId="18823"/>
    <cellStyle name="Normal 68 6" xfId="5541"/>
    <cellStyle name="Normal 68 6 2" xfId="16829"/>
    <cellStyle name="Normal 68 7" xfId="14835"/>
    <cellStyle name="Normal 68 8" xfId="13519"/>
    <cellStyle name="Normal 69" xfId="3308"/>
    <cellStyle name="Normal 69 2" xfId="4542"/>
    <cellStyle name="Normal 69 2 2" xfId="12521"/>
    <cellStyle name="Normal 69 2 2 2" xfId="23809"/>
    <cellStyle name="Normal 69 2 3" xfId="10527"/>
    <cellStyle name="Normal 69 2 3 2" xfId="21815"/>
    <cellStyle name="Normal 69 2 4" xfId="8533"/>
    <cellStyle name="Normal 69 2 4 2" xfId="19821"/>
    <cellStyle name="Normal 69 2 5" xfId="6539"/>
    <cellStyle name="Normal 69 2 5 2" xfId="17827"/>
    <cellStyle name="Normal 69 2 6" xfId="15833"/>
    <cellStyle name="Normal 69 3" xfId="11524"/>
    <cellStyle name="Normal 69 3 2" xfId="22812"/>
    <cellStyle name="Normal 69 4" xfId="9530"/>
    <cellStyle name="Normal 69 4 2" xfId="20818"/>
    <cellStyle name="Normal 69 5" xfId="7536"/>
    <cellStyle name="Normal 69 5 2" xfId="18824"/>
    <cellStyle name="Normal 69 6" xfId="5542"/>
    <cellStyle name="Normal 69 6 2" xfId="16830"/>
    <cellStyle name="Normal 69 7" xfId="14836"/>
    <cellStyle name="Normal 69 8" xfId="13520"/>
    <cellStyle name="Normal 7" xfId="58"/>
    <cellStyle name="Normal 7 10" xfId="24166"/>
    <cellStyle name="Normal 7 11" xfId="24735"/>
    <cellStyle name="Normal 7 12" xfId="25051"/>
    <cellStyle name="Normal 7 13" xfId="25777"/>
    <cellStyle name="Normal 7 2" xfId="4543"/>
    <cellStyle name="Normal 7 2 2" xfId="12522"/>
    <cellStyle name="Normal 7 2 2 2" xfId="23810"/>
    <cellStyle name="Normal 7 2 2 2 2" xfId="24440"/>
    <cellStyle name="Normal 7 2 2 2 3" xfId="24884"/>
    <cellStyle name="Normal 7 2 2 2 4" xfId="25247"/>
    <cellStyle name="Normal 7 2 2 3" xfId="24168"/>
    <cellStyle name="Normal 7 2 2 4" xfId="24737"/>
    <cellStyle name="Normal 7 2 2 5" xfId="25053"/>
    <cellStyle name="Normal 7 2 3" xfId="10528"/>
    <cellStyle name="Normal 7 2 3 2" xfId="21816"/>
    <cellStyle name="Normal 7 2 3 3" xfId="24439"/>
    <cellStyle name="Normal 7 2 3 4" xfId="24883"/>
    <cellStyle name="Normal 7 2 3 5" xfId="25246"/>
    <cellStyle name="Normal 7 2 4" xfId="8534"/>
    <cellStyle name="Normal 7 2 4 2" xfId="19822"/>
    <cellStyle name="Normal 7 2 5" xfId="6540"/>
    <cellStyle name="Normal 7 2 5 2" xfId="17828"/>
    <cellStyle name="Normal 7 2 6" xfId="15834"/>
    <cellStyle name="Normal 7 2 7" xfId="24167"/>
    <cellStyle name="Normal 7 2 8" xfId="24736"/>
    <cellStyle name="Normal 7 2 9" xfId="25052"/>
    <cellStyle name="Normal 7 3" xfId="11525"/>
    <cellStyle name="Normal 7 3 2" xfId="22813"/>
    <cellStyle name="Normal 7 3 2 2" xfId="24442"/>
    <cellStyle name="Normal 7 3 2 2 2" xfId="24886"/>
    <cellStyle name="Normal 7 3 2 2 3" xfId="25249"/>
    <cellStyle name="Normal 7 3 2 3" xfId="24170"/>
    <cellStyle name="Normal 7 3 2 4" xfId="24739"/>
    <cellStyle name="Normal 7 3 2 5" xfId="25055"/>
    <cellStyle name="Normal 7 3 3" xfId="24441"/>
    <cellStyle name="Normal 7 3 3 2" xfId="24885"/>
    <cellStyle name="Normal 7 3 3 3" xfId="25248"/>
    <cellStyle name="Normal 7 3 4" xfId="24169"/>
    <cellStyle name="Normal 7 3 5" xfId="24738"/>
    <cellStyle name="Normal 7 3 6" xfId="25054"/>
    <cellStyle name="Normal 7 4" xfId="9531"/>
    <cellStyle name="Normal 7 4 2" xfId="20819"/>
    <cellStyle name="Normal 7 4 2 2" xfId="24443"/>
    <cellStyle name="Normal 7 4 2 3" xfId="24887"/>
    <cellStyle name="Normal 7 4 2 4" xfId="25250"/>
    <cellStyle name="Normal 7 4 3" xfId="24171"/>
    <cellStyle name="Normal 7 4 4" xfId="24740"/>
    <cellStyle name="Normal 7 4 5" xfId="25056"/>
    <cellStyle name="Normal 7 5" xfId="7537"/>
    <cellStyle name="Normal 7 5 2" xfId="18825"/>
    <cellStyle name="Normal 7 5 3" xfId="24438"/>
    <cellStyle name="Normal 7 5 4" xfId="24882"/>
    <cellStyle name="Normal 7 5 5" xfId="25245"/>
    <cellStyle name="Normal 7 6" xfId="5543"/>
    <cellStyle name="Normal 7 6 2" xfId="16831"/>
    <cellStyle name="Normal 7 7" xfId="3309"/>
    <cellStyle name="Normal 7 7 2" xfId="14837"/>
    <cellStyle name="Normal 7 8" xfId="13616"/>
    <cellStyle name="Normal 7 9" xfId="13521"/>
    <cellStyle name="Normal 70" xfId="3310"/>
    <cellStyle name="Normal 70 2" xfId="4544"/>
    <cellStyle name="Normal 70 2 2" xfId="12523"/>
    <cellStyle name="Normal 70 2 2 2" xfId="23811"/>
    <cellStyle name="Normal 70 2 3" xfId="10529"/>
    <cellStyle name="Normal 70 2 3 2" xfId="21817"/>
    <cellStyle name="Normal 70 2 4" xfId="8535"/>
    <cellStyle name="Normal 70 2 4 2" xfId="19823"/>
    <cellStyle name="Normal 70 2 5" xfId="6541"/>
    <cellStyle name="Normal 70 2 5 2" xfId="17829"/>
    <cellStyle name="Normal 70 2 6" xfId="15835"/>
    <cellStyle name="Normal 70 3" xfId="11526"/>
    <cellStyle name="Normal 70 3 2" xfId="22814"/>
    <cellStyle name="Normal 70 4" xfId="9532"/>
    <cellStyle name="Normal 70 4 2" xfId="20820"/>
    <cellStyle name="Normal 70 5" xfId="7538"/>
    <cellStyle name="Normal 70 5 2" xfId="18826"/>
    <cellStyle name="Normal 70 6" xfId="5544"/>
    <cellStyle name="Normal 70 6 2" xfId="16832"/>
    <cellStyle name="Normal 70 7" xfId="14838"/>
    <cellStyle name="Normal 70 8" xfId="13522"/>
    <cellStyle name="Normal 71" xfId="3311"/>
    <cellStyle name="Normal 71 2" xfId="4545"/>
    <cellStyle name="Normal 71 2 2" xfId="12524"/>
    <cellStyle name="Normal 71 2 2 2" xfId="23812"/>
    <cellStyle name="Normal 71 2 3" xfId="10530"/>
    <cellStyle name="Normal 71 2 3 2" xfId="21818"/>
    <cellStyle name="Normal 71 2 4" xfId="8536"/>
    <cellStyle name="Normal 71 2 4 2" xfId="19824"/>
    <cellStyle name="Normal 71 2 5" xfId="6542"/>
    <cellStyle name="Normal 71 2 5 2" xfId="17830"/>
    <cellStyle name="Normal 71 2 6" xfId="15836"/>
    <cellStyle name="Normal 71 3" xfId="11527"/>
    <cellStyle name="Normal 71 3 2" xfId="22815"/>
    <cellStyle name="Normal 71 4" xfId="9533"/>
    <cellStyle name="Normal 71 4 2" xfId="20821"/>
    <cellStyle name="Normal 71 5" xfId="7539"/>
    <cellStyle name="Normal 71 5 2" xfId="18827"/>
    <cellStyle name="Normal 71 6" xfId="5545"/>
    <cellStyle name="Normal 71 6 2" xfId="16833"/>
    <cellStyle name="Normal 71 7" xfId="14839"/>
    <cellStyle name="Normal 71 8" xfId="13523"/>
    <cellStyle name="Normal 72" xfId="665"/>
    <cellStyle name="Normal 72 2" xfId="13915"/>
    <cellStyle name="Normal 72 3" xfId="13597"/>
    <cellStyle name="Normal 73" xfId="23888"/>
    <cellStyle name="Normal 74" xfId="23893"/>
    <cellStyle name="Normal 75" xfId="12598"/>
    <cellStyle name="Normal 76" xfId="23900"/>
    <cellStyle name="Normal 77" xfId="23901"/>
    <cellStyle name="Normal 78" xfId="23902"/>
    <cellStyle name="Normal 79" xfId="24543"/>
    <cellStyle name="Normal 8" xfId="59"/>
    <cellStyle name="Normal 8 10" xfId="24172"/>
    <cellStyle name="Normal 8 11" xfId="24741"/>
    <cellStyle name="Normal 8 12" xfId="25057"/>
    <cellStyle name="Normal 8 13" xfId="25778"/>
    <cellStyle name="Normal 8 2" xfId="4546"/>
    <cellStyle name="Normal 8 2 2" xfId="12525"/>
    <cellStyle name="Normal 8 2 2 2" xfId="23813"/>
    <cellStyle name="Normal 8 2 2 2 2" xfId="24446"/>
    <cellStyle name="Normal 8 2 2 2 3" xfId="24890"/>
    <cellStyle name="Normal 8 2 2 2 4" xfId="25253"/>
    <cellStyle name="Normal 8 2 2 3" xfId="24174"/>
    <cellStyle name="Normal 8 2 2 4" xfId="24743"/>
    <cellStyle name="Normal 8 2 2 5" xfId="25059"/>
    <cellStyle name="Normal 8 2 3" xfId="10531"/>
    <cellStyle name="Normal 8 2 3 2" xfId="21819"/>
    <cellStyle name="Normal 8 2 3 3" xfId="24445"/>
    <cellStyle name="Normal 8 2 3 4" xfId="24889"/>
    <cellStyle name="Normal 8 2 3 5" xfId="25252"/>
    <cellStyle name="Normal 8 2 4" xfId="8537"/>
    <cellStyle name="Normal 8 2 4 2" xfId="19825"/>
    <cellStyle name="Normal 8 2 5" xfId="6543"/>
    <cellStyle name="Normal 8 2 5 2" xfId="17831"/>
    <cellStyle name="Normal 8 2 6" xfId="15837"/>
    <cellStyle name="Normal 8 2 7" xfId="24173"/>
    <cellStyle name="Normal 8 2 8" xfId="24742"/>
    <cellStyle name="Normal 8 2 9" xfId="25058"/>
    <cellStyle name="Normal 8 3" xfId="11528"/>
    <cellStyle name="Normal 8 3 2" xfId="22816"/>
    <cellStyle name="Normal 8 3 2 2" xfId="24448"/>
    <cellStyle name="Normal 8 3 2 2 2" xfId="24892"/>
    <cellStyle name="Normal 8 3 2 2 3" xfId="25255"/>
    <cellStyle name="Normal 8 3 2 3" xfId="24176"/>
    <cellStyle name="Normal 8 3 2 4" xfId="24745"/>
    <cellStyle name="Normal 8 3 2 5" xfId="25061"/>
    <cellStyle name="Normal 8 3 3" xfId="24447"/>
    <cellStyle name="Normal 8 3 3 2" xfId="24891"/>
    <cellStyle name="Normal 8 3 3 3" xfId="25254"/>
    <cellStyle name="Normal 8 3 4" xfId="24175"/>
    <cellStyle name="Normal 8 3 5" xfId="24744"/>
    <cellStyle name="Normal 8 3 6" xfId="25060"/>
    <cellStyle name="Normal 8 4" xfId="9534"/>
    <cellStyle name="Normal 8 4 2" xfId="20822"/>
    <cellStyle name="Normal 8 4 2 2" xfId="24449"/>
    <cellStyle name="Normal 8 4 2 3" xfId="24893"/>
    <cellStyle name="Normal 8 4 2 4" xfId="25256"/>
    <cellStyle name="Normal 8 4 3" xfId="24177"/>
    <cellStyle name="Normal 8 4 4" xfId="24746"/>
    <cellStyle name="Normal 8 4 5" xfId="25062"/>
    <cellStyle name="Normal 8 5" xfId="7540"/>
    <cellStyle name="Normal 8 5 2" xfId="18828"/>
    <cellStyle name="Normal 8 5 3" xfId="24444"/>
    <cellStyle name="Normal 8 5 4" xfId="24888"/>
    <cellStyle name="Normal 8 5 5" xfId="25251"/>
    <cellStyle name="Normal 8 6" xfId="5546"/>
    <cellStyle name="Normal 8 6 2" xfId="16834"/>
    <cellStyle name="Normal 8 7" xfId="3312"/>
    <cellStyle name="Normal 8 7 2" xfId="14840"/>
    <cellStyle name="Normal 8 8" xfId="13617"/>
    <cellStyle name="Normal 8 9" xfId="13524"/>
    <cellStyle name="Normal 80" xfId="24554"/>
    <cellStyle name="Normal 81" xfId="24767"/>
    <cellStyle name="Normal 82" xfId="24903"/>
    <cellStyle name="Normal 83" xfId="24935"/>
    <cellStyle name="Normal 84" xfId="24705"/>
    <cellStyle name="Normal 85" xfId="24926"/>
    <cellStyle name="Normal 86" xfId="24768"/>
    <cellStyle name="Normal 87" xfId="24933"/>
    <cellStyle name="Normal 88" xfId="24689"/>
    <cellStyle name="Normal 89" xfId="24690"/>
    <cellStyle name="Normal 89 2" xfId="25798"/>
    <cellStyle name="Normal 9" xfId="60"/>
    <cellStyle name="Normal 9 10" xfId="24178"/>
    <cellStyle name="Normal 9 11" xfId="24747"/>
    <cellStyle name="Normal 9 12" xfId="25063"/>
    <cellStyle name="Normal 9 14" xfId="25767"/>
    <cellStyle name="Normal 9 2" xfId="4547"/>
    <cellStyle name="Normal 9 2 2" xfId="12526"/>
    <cellStyle name="Normal 9 2 2 2" xfId="23814"/>
    <cellStyle name="Normal 9 2 2 2 2" xfId="24452"/>
    <cellStyle name="Normal 9 2 2 2 3" xfId="24896"/>
    <cellStyle name="Normal 9 2 2 2 4" xfId="25259"/>
    <cellStyle name="Normal 9 2 2 3" xfId="24180"/>
    <cellStyle name="Normal 9 2 2 4" xfId="24749"/>
    <cellStyle name="Normal 9 2 2 5" xfId="25065"/>
    <cellStyle name="Normal 9 2 3" xfId="10532"/>
    <cellStyle name="Normal 9 2 3 2" xfId="21820"/>
    <cellStyle name="Normal 9 2 3 3" xfId="24451"/>
    <cellStyle name="Normal 9 2 3 4" xfId="24895"/>
    <cellStyle name="Normal 9 2 3 5" xfId="25258"/>
    <cellStyle name="Normal 9 2 4" xfId="8538"/>
    <cellStyle name="Normal 9 2 4 2" xfId="19826"/>
    <cellStyle name="Normal 9 2 5" xfId="6544"/>
    <cellStyle name="Normal 9 2 5 2" xfId="17832"/>
    <cellStyle name="Normal 9 2 6" xfId="15838"/>
    <cellStyle name="Normal 9 2 7" xfId="24179"/>
    <cellStyle name="Normal 9 2 8" xfId="24748"/>
    <cellStyle name="Normal 9 2 9" xfId="25064"/>
    <cellStyle name="Normal 9 3" xfId="11529"/>
    <cellStyle name="Normal 9 3 2" xfId="22817"/>
    <cellStyle name="Normal 9 3 2 2" xfId="24454"/>
    <cellStyle name="Normal 9 3 2 2 2" xfId="24898"/>
    <cellStyle name="Normal 9 3 2 2 3" xfId="25261"/>
    <cellStyle name="Normal 9 3 2 3" xfId="24182"/>
    <cellStyle name="Normal 9 3 2 4" xfId="24751"/>
    <cellStyle name="Normal 9 3 2 5" xfId="25067"/>
    <cellStyle name="Normal 9 3 3" xfId="24453"/>
    <cellStyle name="Normal 9 3 3 2" xfId="24897"/>
    <cellStyle name="Normal 9 3 3 3" xfId="25260"/>
    <cellStyle name="Normal 9 3 4" xfId="24181"/>
    <cellStyle name="Normal 9 3 5" xfId="24750"/>
    <cellStyle name="Normal 9 3 6" xfId="25066"/>
    <cellStyle name="Normal 9 4" xfId="9535"/>
    <cellStyle name="Normal 9 4 2" xfId="20823"/>
    <cellStyle name="Normal 9 4 2 2" xfId="24455"/>
    <cellStyle name="Normal 9 4 2 3" xfId="24899"/>
    <cellStyle name="Normal 9 4 2 4" xfId="25262"/>
    <cellStyle name="Normal 9 4 3" xfId="24183"/>
    <cellStyle name="Normal 9 4 4" xfId="24752"/>
    <cellStyle name="Normal 9 4 5" xfId="25068"/>
    <cellStyle name="Normal 9 5" xfId="7541"/>
    <cellStyle name="Normal 9 5 2" xfId="18829"/>
    <cellStyle name="Normal 9 5 3" xfId="24450"/>
    <cellStyle name="Normal 9 5 4" xfId="24894"/>
    <cellStyle name="Normal 9 5 5" xfId="25257"/>
    <cellStyle name="Normal 9 6" xfId="5547"/>
    <cellStyle name="Normal 9 6 2" xfId="16835"/>
    <cellStyle name="Normal 9 7" xfId="3313"/>
    <cellStyle name="Normal 9 7 2" xfId="14841"/>
    <cellStyle name="Normal 9 8" xfId="13618"/>
    <cellStyle name="Normal 9 9" xfId="13525"/>
    <cellStyle name="Normal 90" xfId="24941"/>
    <cellStyle name="Normal 91" xfId="24545"/>
    <cellStyle name="Normal 92" xfId="1"/>
    <cellStyle name="Normal 93" xfId="25276"/>
    <cellStyle name="Normal 94" xfId="25295"/>
    <cellStyle name="Normal 95" xfId="25455"/>
    <cellStyle name="Normal 96" xfId="25748"/>
    <cellStyle name="Normal 97" xfId="25754"/>
    <cellStyle name="Normal 98" xfId="25757"/>
    <cellStyle name="Normal 99" xfId="25759"/>
    <cellStyle name="Normal(0)" xfId="61"/>
    <cellStyle name="Normal_Advtise Exp" xfId="25742"/>
    <cellStyle name="Normal_Jan 08" xfId="25745"/>
    <cellStyle name="Normal_Page 10 - Type I-4 Normalize Uncollectible Exp" xfId="25741"/>
    <cellStyle name="Normal_vcap1299" xfId="25743"/>
    <cellStyle name="NormalHelv" xfId="577"/>
    <cellStyle name="Note 10" xfId="3314"/>
    <cellStyle name="Note 10 10" xfId="24753"/>
    <cellStyle name="Note 10 11" xfId="25069"/>
    <cellStyle name="Note 10 2" xfId="4548"/>
    <cellStyle name="Note 10 2 2" xfId="12527"/>
    <cellStyle name="Note 10 2 2 2" xfId="23815"/>
    <cellStyle name="Note 10 2 3" xfId="10533"/>
    <cellStyle name="Note 10 2 3 2" xfId="21821"/>
    <cellStyle name="Note 10 2 4" xfId="8539"/>
    <cellStyle name="Note 10 2 4 2" xfId="19827"/>
    <cellStyle name="Note 10 2 5" xfId="6545"/>
    <cellStyle name="Note 10 2 5 2" xfId="17833"/>
    <cellStyle name="Note 10 2 6" xfId="15839"/>
    <cellStyle name="Note 10 2 7" xfId="24456"/>
    <cellStyle name="Note 10 2 8" xfId="24900"/>
    <cellStyle name="Note 10 2 9" xfId="25263"/>
    <cellStyle name="Note 10 3" xfId="11530"/>
    <cellStyle name="Note 10 3 2" xfId="22818"/>
    <cellStyle name="Note 10 4" xfId="9536"/>
    <cellStyle name="Note 10 4 2" xfId="20824"/>
    <cellStyle name="Note 10 5" xfId="7542"/>
    <cellStyle name="Note 10 5 2" xfId="18830"/>
    <cellStyle name="Note 10 6" xfId="5548"/>
    <cellStyle name="Note 10 6 2" xfId="16836"/>
    <cellStyle name="Note 10 7" xfId="14842"/>
    <cellStyle name="Note 10 8" xfId="13526"/>
    <cellStyle name="Note 10 9" xfId="24185"/>
    <cellStyle name="Note 11" xfId="3315"/>
    <cellStyle name="Note 11 10" xfId="24754"/>
    <cellStyle name="Note 11 11" xfId="25070"/>
    <cellStyle name="Note 11 2" xfId="4549"/>
    <cellStyle name="Note 11 2 2" xfId="12528"/>
    <cellStyle name="Note 11 2 2 2" xfId="23816"/>
    <cellStyle name="Note 11 2 3" xfId="10534"/>
    <cellStyle name="Note 11 2 3 2" xfId="21822"/>
    <cellStyle name="Note 11 2 4" xfId="8540"/>
    <cellStyle name="Note 11 2 4 2" xfId="19828"/>
    <cellStyle name="Note 11 2 5" xfId="6546"/>
    <cellStyle name="Note 11 2 5 2" xfId="17834"/>
    <cellStyle name="Note 11 2 6" xfId="15840"/>
    <cellStyle name="Note 11 2 7" xfId="24457"/>
    <cellStyle name="Note 11 2 8" xfId="24901"/>
    <cellStyle name="Note 11 2 9" xfId="25264"/>
    <cellStyle name="Note 11 3" xfId="11531"/>
    <cellStyle name="Note 11 3 2" xfId="22819"/>
    <cellStyle name="Note 11 4" xfId="9537"/>
    <cellStyle name="Note 11 4 2" xfId="20825"/>
    <cellStyle name="Note 11 5" xfId="7543"/>
    <cellStyle name="Note 11 5 2" xfId="18831"/>
    <cellStyle name="Note 11 6" xfId="5549"/>
    <cellStyle name="Note 11 6 2" xfId="16837"/>
    <cellStyle name="Note 11 7" xfId="14843"/>
    <cellStyle name="Note 11 8" xfId="13527"/>
    <cellStyle name="Note 11 9" xfId="24186"/>
    <cellStyle name="Note 12" xfId="3316"/>
    <cellStyle name="Note 12 10" xfId="24755"/>
    <cellStyle name="Note 12 11" xfId="25071"/>
    <cellStyle name="Note 12 2" xfId="4550"/>
    <cellStyle name="Note 12 2 2" xfId="12529"/>
    <cellStyle name="Note 12 2 2 2" xfId="23817"/>
    <cellStyle name="Note 12 2 3" xfId="10535"/>
    <cellStyle name="Note 12 2 3 2" xfId="21823"/>
    <cellStyle name="Note 12 2 4" xfId="8541"/>
    <cellStyle name="Note 12 2 4 2" xfId="19829"/>
    <cellStyle name="Note 12 2 5" xfId="6547"/>
    <cellStyle name="Note 12 2 5 2" xfId="17835"/>
    <cellStyle name="Note 12 2 6" xfId="15841"/>
    <cellStyle name="Note 12 2 7" xfId="24458"/>
    <cellStyle name="Note 12 2 8" xfId="24902"/>
    <cellStyle name="Note 12 2 9" xfId="25265"/>
    <cellStyle name="Note 12 3" xfId="11532"/>
    <cellStyle name="Note 12 3 2" xfId="22820"/>
    <cellStyle name="Note 12 4" xfId="9538"/>
    <cellStyle name="Note 12 4 2" xfId="20826"/>
    <cellStyle name="Note 12 5" xfId="7544"/>
    <cellStyle name="Note 12 5 2" xfId="18832"/>
    <cellStyle name="Note 12 6" xfId="5550"/>
    <cellStyle name="Note 12 6 2" xfId="16838"/>
    <cellStyle name="Note 12 7" xfId="14844"/>
    <cellStyle name="Note 12 8" xfId="13528"/>
    <cellStyle name="Note 12 9" xfId="24187"/>
    <cellStyle name="Note 13" xfId="3317"/>
    <cellStyle name="Note 13 2" xfId="4551"/>
    <cellStyle name="Note 13 2 2" xfId="12530"/>
    <cellStyle name="Note 13 2 2 2" xfId="23818"/>
    <cellStyle name="Note 13 2 3" xfId="10536"/>
    <cellStyle name="Note 13 2 3 2" xfId="21824"/>
    <cellStyle name="Note 13 2 4" xfId="8542"/>
    <cellStyle name="Note 13 2 4 2" xfId="19830"/>
    <cellStyle name="Note 13 2 5" xfId="6548"/>
    <cellStyle name="Note 13 2 5 2" xfId="17836"/>
    <cellStyle name="Note 13 2 6" xfId="15842"/>
    <cellStyle name="Note 13 3" xfId="11533"/>
    <cellStyle name="Note 13 3 2" xfId="22821"/>
    <cellStyle name="Note 13 4" xfId="9539"/>
    <cellStyle name="Note 13 4 2" xfId="20827"/>
    <cellStyle name="Note 13 5" xfId="7545"/>
    <cellStyle name="Note 13 5 2" xfId="18833"/>
    <cellStyle name="Note 13 6" xfId="5551"/>
    <cellStyle name="Note 13 6 2" xfId="16839"/>
    <cellStyle name="Note 13 7" xfId="14845"/>
    <cellStyle name="Note 13 8" xfId="13529"/>
    <cellStyle name="Note 14" xfId="3318"/>
    <cellStyle name="Note 14 2" xfId="4552"/>
    <cellStyle name="Note 14 2 2" xfId="12531"/>
    <cellStyle name="Note 14 2 2 2" xfId="23819"/>
    <cellStyle name="Note 14 2 3" xfId="10537"/>
    <cellStyle name="Note 14 2 3 2" xfId="21825"/>
    <cellStyle name="Note 14 2 4" xfId="8543"/>
    <cellStyle name="Note 14 2 4 2" xfId="19831"/>
    <cellStyle name="Note 14 2 5" xfId="6549"/>
    <cellStyle name="Note 14 2 5 2" xfId="17837"/>
    <cellStyle name="Note 14 2 6" xfId="15843"/>
    <cellStyle name="Note 14 3" xfId="11534"/>
    <cellStyle name="Note 14 3 2" xfId="22822"/>
    <cellStyle name="Note 14 4" xfId="9540"/>
    <cellStyle name="Note 14 4 2" xfId="20828"/>
    <cellStyle name="Note 14 5" xfId="7546"/>
    <cellStyle name="Note 14 5 2" xfId="18834"/>
    <cellStyle name="Note 14 6" xfId="5552"/>
    <cellStyle name="Note 14 6 2" xfId="16840"/>
    <cellStyle name="Note 14 7" xfId="14846"/>
    <cellStyle name="Note 14 8" xfId="13530"/>
    <cellStyle name="Note 15" xfId="3319"/>
    <cellStyle name="Note 15 2" xfId="4553"/>
    <cellStyle name="Note 15 2 2" xfId="12532"/>
    <cellStyle name="Note 15 2 2 2" xfId="23820"/>
    <cellStyle name="Note 15 2 3" xfId="10538"/>
    <cellStyle name="Note 15 2 3 2" xfId="21826"/>
    <cellStyle name="Note 15 2 4" xfId="8544"/>
    <cellStyle name="Note 15 2 4 2" xfId="19832"/>
    <cellStyle name="Note 15 2 5" xfId="6550"/>
    <cellStyle name="Note 15 2 5 2" xfId="17838"/>
    <cellStyle name="Note 15 2 6" xfId="15844"/>
    <cellStyle name="Note 15 3" xfId="11535"/>
    <cellStyle name="Note 15 3 2" xfId="22823"/>
    <cellStyle name="Note 15 4" xfId="9541"/>
    <cellStyle name="Note 15 4 2" xfId="20829"/>
    <cellStyle name="Note 15 5" xfId="7547"/>
    <cellStyle name="Note 15 5 2" xfId="18835"/>
    <cellStyle name="Note 15 6" xfId="5553"/>
    <cellStyle name="Note 15 6 2" xfId="16841"/>
    <cellStyle name="Note 15 7" xfId="14847"/>
    <cellStyle name="Note 15 8" xfId="13531"/>
    <cellStyle name="Note 16" xfId="3320"/>
    <cellStyle name="Note 16 2" xfId="4554"/>
    <cellStyle name="Note 16 2 2" xfId="12533"/>
    <cellStyle name="Note 16 2 2 2" xfId="23821"/>
    <cellStyle name="Note 16 2 3" xfId="10539"/>
    <cellStyle name="Note 16 2 3 2" xfId="21827"/>
    <cellStyle name="Note 16 2 4" xfId="8545"/>
    <cellStyle name="Note 16 2 4 2" xfId="19833"/>
    <cellStyle name="Note 16 2 5" xfId="6551"/>
    <cellStyle name="Note 16 2 5 2" xfId="17839"/>
    <cellStyle name="Note 16 2 6" xfId="15845"/>
    <cellStyle name="Note 16 3" xfId="11536"/>
    <cellStyle name="Note 16 3 2" xfId="22824"/>
    <cellStyle name="Note 16 4" xfId="9542"/>
    <cellStyle name="Note 16 4 2" xfId="20830"/>
    <cellStyle name="Note 16 5" xfId="7548"/>
    <cellStyle name="Note 16 5 2" xfId="18836"/>
    <cellStyle name="Note 16 6" xfId="5554"/>
    <cellStyle name="Note 16 6 2" xfId="16842"/>
    <cellStyle name="Note 16 7" xfId="14848"/>
    <cellStyle name="Note 16 8" xfId="13532"/>
    <cellStyle name="Note 17" xfId="3321"/>
    <cellStyle name="Note 17 2" xfId="4555"/>
    <cellStyle name="Note 17 2 2" xfId="12534"/>
    <cellStyle name="Note 17 2 2 2" xfId="23822"/>
    <cellStyle name="Note 17 2 3" xfId="10540"/>
    <cellStyle name="Note 17 2 3 2" xfId="21828"/>
    <cellStyle name="Note 17 2 4" xfId="8546"/>
    <cellStyle name="Note 17 2 4 2" xfId="19834"/>
    <cellStyle name="Note 17 2 5" xfId="6552"/>
    <cellStyle name="Note 17 2 5 2" xfId="17840"/>
    <cellStyle name="Note 17 2 6" xfId="15846"/>
    <cellStyle name="Note 17 3" xfId="11537"/>
    <cellStyle name="Note 17 3 2" xfId="22825"/>
    <cellStyle name="Note 17 4" xfId="9543"/>
    <cellStyle name="Note 17 4 2" xfId="20831"/>
    <cellStyle name="Note 17 5" xfId="7549"/>
    <cellStyle name="Note 17 5 2" xfId="18837"/>
    <cellStyle name="Note 17 6" xfId="5555"/>
    <cellStyle name="Note 17 6 2" xfId="16843"/>
    <cellStyle name="Note 17 7" xfId="14849"/>
    <cellStyle name="Note 17 8" xfId="13533"/>
    <cellStyle name="Note 18" xfId="3322"/>
    <cellStyle name="Note 18 2" xfId="4556"/>
    <cellStyle name="Note 18 2 2" xfId="12535"/>
    <cellStyle name="Note 18 2 2 2" xfId="23823"/>
    <cellStyle name="Note 18 2 3" xfId="10541"/>
    <cellStyle name="Note 18 2 3 2" xfId="21829"/>
    <cellStyle name="Note 18 2 4" xfId="8547"/>
    <cellStyle name="Note 18 2 4 2" xfId="19835"/>
    <cellStyle name="Note 18 2 5" xfId="6553"/>
    <cellStyle name="Note 18 2 5 2" xfId="17841"/>
    <cellStyle name="Note 18 2 6" xfId="15847"/>
    <cellStyle name="Note 18 3" xfId="11538"/>
    <cellStyle name="Note 18 3 2" xfId="22826"/>
    <cellStyle name="Note 18 4" xfId="9544"/>
    <cellStyle name="Note 18 4 2" xfId="20832"/>
    <cellStyle name="Note 18 5" xfId="7550"/>
    <cellStyle name="Note 18 5 2" xfId="18838"/>
    <cellStyle name="Note 18 6" xfId="5556"/>
    <cellStyle name="Note 18 6 2" xfId="16844"/>
    <cellStyle name="Note 18 7" xfId="14850"/>
    <cellStyle name="Note 18 8" xfId="13534"/>
    <cellStyle name="Note 19" xfId="3323"/>
    <cellStyle name="Note 19 2" xfId="4557"/>
    <cellStyle name="Note 19 2 2" xfId="12536"/>
    <cellStyle name="Note 19 2 2 2" xfId="23824"/>
    <cellStyle name="Note 19 2 3" xfId="10542"/>
    <cellStyle name="Note 19 2 3 2" xfId="21830"/>
    <cellStyle name="Note 19 2 4" xfId="8548"/>
    <cellStyle name="Note 19 2 4 2" xfId="19836"/>
    <cellStyle name="Note 19 2 5" xfId="6554"/>
    <cellStyle name="Note 19 2 5 2" xfId="17842"/>
    <cellStyle name="Note 19 2 6" xfId="15848"/>
    <cellStyle name="Note 19 3" xfId="11539"/>
    <cellStyle name="Note 19 3 2" xfId="22827"/>
    <cellStyle name="Note 19 4" xfId="9545"/>
    <cellStyle name="Note 19 4 2" xfId="20833"/>
    <cellStyle name="Note 19 5" xfId="7551"/>
    <cellStyle name="Note 19 5 2" xfId="18839"/>
    <cellStyle name="Note 19 6" xfId="5557"/>
    <cellStyle name="Note 19 6 2" xfId="16845"/>
    <cellStyle name="Note 19 7" xfId="14851"/>
    <cellStyle name="Note 19 8" xfId="13535"/>
    <cellStyle name="Note 2" xfId="3324"/>
    <cellStyle name="Note 2 10" xfId="25072"/>
    <cellStyle name="Note 2 10 2" xfId="25396"/>
    <cellStyle name="Note 2 10 3" xfId="25676"/>
    <cellStyle name="Note 2 2" xfId="4558"/>
    <cellStyle name="Note 2 2 2" xfId="12537"/>
    <cellStyle name="Note 2 2 2 2" xfId="23825"/>
    <cellStyle name="Note 2 2 3" xfId="10543"/>
    <cellStyle name="Note 2 2 3 2" xfId="21831"/>
    <cellStyle name="Note 2 2 4" xfId="8549"/>
    <cellStyle name="Note 2 2 4 2" xfId="19837"/>
    <cellStyle name="Note 2 2 5" xfId="6555"/>
    <cellStyle name="Note 2 2 5 2" xfId="17843"/>
    <cellStyle name="Note 2 2 6" xfId="15849"/>
    <cellStyle name="Note 2 2 7" xfId="24189"/>
    <cellStyle name="Note 2 2 7 2" xfId="25413"/>
    <cellStyle name="Note 2 2 7 3" xfId="25564"/>
    <cellStyle name="Note 2 2 8" xfId="25073"/>
    <cellStyle name="Note 2 2 8 2" xfId="25305"/>
    <cellStyle name="Note 2 2 8 3" xfId="25677"/>
    <cellStyle name="Note 2 3" xfId="11540"/>
    <cellStyle name="Note 2 3 2" xfId="22828"/>
    <cellStyle name="Note 2 4" xfId="9546"/>
    <cellStyle name="Note 2 4 2" xfId="20834"/>
    <cellStyle name="Note 2 5" xfId="7552"/>
    <cellStyle name="Note 2 5 2" xfId="18840"/>
    <cellStyle name="Note 2 6" xfId="5558"/>
    <cellStyle name="Note 2 6 2" xfId="16846"/>
    <cellStyle name="Note 2 7" xfId="14852"/>
    <cellStyle name="Note 2 8" xfId="13536"/>
    <cellStyle name="Note 2 9" xfId="24188"/>
    <cellStyle name="Note 2 9 2" xfId="25311"/>
    <cellStyle name="Note 2 9 3" xfId="25563"/>
    <cellStyle name="Note 20" xfId="3325"/>
    <cellStyle name="Note 20 2" xfId="4559"/>
    <cellStyle name="Note 20 2 2" xfId="12538"/>
    <cellStyle name="Note 20 2 2 2" xfId="23826"/>
    <cellStyle name="Note 20 2 3" xfId="10544"/>
    <cellStyle name="Note 20 2 3 2" xfId="21832"/>
    <cellStyle name="Note 20 2 4" xfId="8550"/>
    <cellStyle name="Note 20 2 4 2" xfId="19838"/>
    <cellStyle name="Note 20 2 5" xfId="6556"/>
    <cellStyle name="Note 20 2 5 2" xfId="17844"/>
    <cellStyle name="Note 20 2 6" xfId="15850"/>
    <cellStyle name="Note 20 3" xfId="11541"/>
    <cellStyle name="Note 20 3 2" xfId="22829"/>
    <cellStyle name="Note 20 4" xfId="9547"/>
    <cellStyle name="Note 20 4 2" xfId="20835"/>
    <cellStyle name="Note 20 5" xfId="7553"/>
    <cellStyle name="Note 20 5 2" xfId="18841"/>
    <cellStyle name="Note 20 6" xfId="5559"/>
    <cellStyle name="Note 20 6 2" xfId="16847"/>
    <cellStyle name="Note 20 7" xfId="14853"/>
    <cellStyle name="Note 20 8" xfId="13537"/>
    <cellStyle name="Note 21" xfId="3326"/>
    <cellStyle name="Note 21 2" xfId="4560"/>
    <cellStyle name="Note 21 2 2" xfId="12539"/>
    <cellStyle name="Note 21 2 2 2" xfId="23827"/>
    <cellStyle name="Note 21 2 3" xfId="10545"/>
    <cellStyle name="Note 21 2 3 2" xfId="21833"/>
    <cellStyle name="Note 21 2 4" xfId="8551"/>
    <cellStyle name="Note 21 2 4 2" xfId="19839"/>
    <cellStyle name="Note 21 2 5" xfId="6557"/>
    <cellStyle name="Note 21 2 5 2" xfId="17845"/>
    <cellStyle name="Note 21 2 6" xfId="15851"/>
    <cellStyle name="Note 21 3" xfId="11542"/>
    <cellStyle name="Note 21 3 2" xfId="22830"/>
    <cellStyle name="Note 21 4" xfId="9548"/>
    <cellStyle name="Note 21 4 2" xfId="20836"/>
    <cellStyle name="Note 21 5" xfId="7554"/>
    <cellStyle name="Note 21 5 2" xfId="18842"/>
    <cellStyle name="Note 21 6" xfId="5560"/>
    <cellStyle name="Note 21 6 2" xfId="16848"/>
    <cellStyle name="Note 21 7" xfId="14854"/>
    <cellStyle name="Note 21 8" xfId="13538"/>
    <cellStyle name="Note 22" xfId="3327"/>
    <cellStyle name="Note 22 2" xfId="4561"/>
    <cellStyle name="Note 22 2 2" xfId="12540"/>
    <cellStyle name="Note 22 2 2 2" xfId="23828"/>
    <cellStyle name="Note 22 2 3" xfId="10546"/>
    <cellStyle name="Note 22 2 3 2" xfId="21834"/>
    <cellStyle name="Note 22 2 4" xfId="8552"/>
    <cellStyle name="Note 22 2 4 2" xfId="19840"/>
    <cellStyle name="Note 22 2 5" xfId="6558"/>
    <cellStyle name="Note 22 2 5 2" xfId="17846"/>
    <cellStyle name="Note 22 2 6" xfId="15852"/>
    <cellStyle name="Note 22 3" xfId="11543"/>
    <cellStyle name="Note 22 3 2" xfId="22831"/>
    <cellStyle name="Note 22 4" xfId="9549"/>
    <cellStyle name="Note 22 4 2" xfId="20837"/>
    <cellStyle name="Note 22 5" xfId="7555"/>
    <cellStyle name="Note 22 5 2" xfId="18843"/>
    <cellStyle name="Note 22 6" xfId="5561"/>
    <cellStyle name="Note 22 6 2" xfId="16849"/>
    <cellStyle name="Note 22 7" xfId="14855"/>
    <cellStyle name="Note 22 8" xfId="13539"/>
    <cellStyle name="Note 23" xfId="3328"/>
    <cellStyle name="Note 23 2" xfId="4562"/>
    <cellStyle name="Note 23 2 2" xfId="12541"/>
    <cellStyle name="Note 23 2 2 2" xfId="23829"/>
    <cellStyle name="Note 23 2 3" xfId="10547"/>
    <cellStyle name="Note 23 2 3 2" xfId="21835"/>
    <cellStyle name="Note 23 2 4" xfId="8553"/>
    <cellStyle name="Note 23 2 4 2" xfId="19841"/>
    <cellStyle name="Note 23 2 5" xfId="6559"/>
    <cellStyle name="Note 23 2 5 2" xfId="17847"/>
    <cellStyle name="Note 23 2 6" xfId="15853"/>
    <cellStyle name="Note 23 3" xfId="11544"/>
    <cellStyle name="Note 23 3 2" xfId="22832"/>
    <cellStyle name="Note 23 4" xfId="9550"/>
    <cellStyle name="Note 23 4 2" xfId="20838"/>
    <cellStyle name="Note 23 5" xfId="7556"/>
    <cellStyle name="Note 23 5 2" xfId="18844"/>
    <cellStyle name="Note 23 6" xfId="5562"/>
    <cellStyle name="Note 23 6 2" xfId="16850"/>
    <cellStyle name="Note 23 7" xfId="14856"/>
    <cellStyle name="Note 23 8" xfId="13540"/>
    <cellStyle name="Note 24" xfId="3329"/>
    <cellStyle name="Note 24 2" xfId="4563"/>
    <cellStyle name="Note 24 2 2" xfId="12542"/>
    <cellStyle name="Note 24 2 2 2" xfId="23830"/>
    <cellStyle name="Note 24 2 3" xfId="10548"/>
    <cellStyle name="Note 24 2 3 2" xfId="21836"/>
    <cellStyle name="Note 24 2 4" xfId="8554"/>
    <cellStyle name="Note 24 2 4 2" xfId="19842"/>
    <cellStyle name="Note 24 2 5" xfId="6560"/>
    <cellStyle name="Note 24 2 5 2" xfId="17848"/>
    <cellStyle name="Note 24 2 6" xfId="15854"/>
    <cellStyle name="Note 24 3" xfId="11545"/>
    <cellStyle name="Note 24 3 2" xfId="22833"/>
    <cellStyle name="Note 24 4" xfId="9551"/>
    <cellStyle name="Note 24 4 2" xfId="20839"/>
    <cellStyle name="Note 24 5" xfId="7557"/>
    <cellStyle name="Note 24 5 2" xfId="18845"/>
    <cellStyle name="Note 24 6" xfId="5563"/>
    <cellStyle name="Note 24 6 2" xfId="16851"/>
    <cellStyle name="Note 24 7" xfId="14857"/>
    <cellStyle name="Note 24 8" xfId="13541"/>
    <cellStyle name="Note 25" xfId="3330"/>
    <cellStyle name="Note 25 2" xfId="4564"/>
    <cellStyle name="Note 25 2 2" xfId="12543"/>
    <cellStyle name="Note 25 2 2 2" xfId="23831"/>
    <cellStyle name="Note 25 2 3" xfId="10549"/>
    <cellStyle name="Note 25 2 3 2" xfId="21837"/>
    <cellStyle name="Note 25 2 4" xfId="8555"/>
    <cellStyle name="Note 25 2 4 2" xfId="19843"/>
    <cellStyle name="Note 25 2 5" xfId="6561"/>
    <cellStyle name="Note 25 2 5 2" xfId="17849"/>
    <cellStyle name="Note 25 2 6" xfId="15855"/>
    <cellStyle name="Note 25 3" xfId="11546"/>
    <cellStyle name="Note 25 3 2" xfId="22834"/>
    <cellStyle name="Note 25 4" xfId="9552"/>
    <cellStyle name="Note 25 4 2" xfId="20840"/>
    <cellStyle name="Note 25 5" xfId="7558"/>
    <cellStyle name="Note 25 5 2" xfId="18846"/>
    <cellStyle name="Note 25 6" xfId="5564"/>
    <cellStyle name="Note 25 6 2" xfId="16852"/>
    <cellStyle name="Note 25 7" xfId="14858"/>
    <cellStyle name="Note 25 8" xfId="13542"/>
    <cellStyle name="Note 26" xfId="3331"/>
    <cellStyle name="Note 26 2" xfId="4565"/>
    <cellStyle name="Note 26 2 2" xfId="12544"/>
    <cellStyle name="Note 26 2 2 2" xfId="23832"/>
    <cellStyle name="Note 26 2 3" xfId="10550"/>
    <cellStyle name="Note 26 2 3 2" xfId="21838"/>
    <cellStyle name="Note 26 2 4" xfId="8556"/>
    <cellStyle name="Note 26 2 4 2" xfId="19844"/>
    <cellStyle name="Note 26 2 5" xfId="6562"/>
    <cellStyle name="Note 26 2 5 2" xfId="17850"/>
    <cellStyle name="Note 26 2 6" xfId="15856"/>
    <cellStyle name="Note 26 3" xfId="11547"/>
    <cellStyle name="Note 26 3 2" xfId="22835"/>
    <cellStyle name="Note 26 4" xfId="9553"/>
    <cellStyle name="Note 26 4 2" xfId="20841"/>
    <cellStyle name="Note 26 5" xfId="7559"/>
    <cellStyle name="Note 26 5 2" xfId="18847"/>
    <cellStyle name="Note 26 6" xfId="5565"/>
    <cellStyle name="Note 26 6 2" xfId="16853"/>
    <cellStyle name="Note 26 7" xfId="14859"/>
    <cellStyle name="Note 26 8" xfId="13543"/>
    <cellStyle name="Note 27" xfId="3332"/>
    <cellStyle name="Note 27 2" xfId="4566"/>
    <cellStyle name="Note 27 2 2" xfId="12545"/>
    <cellStyle name="Note 27 2 2 2" xfId="23833"/>
    <cellStyle name="Note 27 2 3" xfId="10551"/>
    <cellStyle name="Note 27 2 3 2" xfId="21839"/>
    <cellStyle name="Note 27 2 4" xfId="8557"/>
    <cellStyle name="Note 27 2 4 2" xfId="19845"/>
    <cellStyle name="Note 27 2 5" xfId="6563"/>
    <cellStyle name="Note 27 2 5 2" xfId="17851"/>
    <cellStyle name="Note 27 2 6" xfId="15857"/>
    <cellStyle name="Note 27 3" xfId="11548"/>
    <cellStyle name="Note 27 3 2" xfId="22836"/>
    <cellStyle name="Note 27 4" xfId="9554"/>
    <cellStyle name="Note 27 4 2" xfId="20842"/>
    <cellStyle name="Note 27 5" xfId="7560"/>
    <cellStyle name="Note 27 5 2" xfId="18848"/>
    <cellStyle name="Note 27 6" xfId="5566"/>
    <cellStyle name="Note 27 6 2" xfId="16854"/>
    <cellStyle name="Note 27 7" xfId="14860"/>
    <cellStyle name="Note 27 8" xfId="13544"/>
    <cellStyle name="Note 28" xfId="3333"/>
    <cellStyle name="Note 28 2" xfId="4567"/>
    <cellStyle name="Note 28 2 2" xfId="12546"/>
    <cellStyle name="Note 28 2 2 2" xfId="23834"/>
    <cellStyle name="Note 28 2 3" xfId="10552"/>
    <cellStyle name="Note 28 2 3 2" xfId="21840"/>
    <cellStyle name="Note 28 2 4" xfId="8558"/>
    <cellStyle name="Note 28 2 4 2" xfId="19846"/>
    <cellStyle name="Note 28 2 5" xfId="6564"/>
    <cellStyle name="Note 28 2 5 2" xfId="17852"/>
    <cellStyle name="Note 28 2 6" xfId="15858"/>
    <cellStyle name="Note 28 3" xfId="11549"/>
    <cellStyle name="Note 28 3 2" xfId="22837"/>
    <cellStyle name="Note 28 4" xfId="9555"/>
    <cellStyle name="Note 28 4 2" xfId="20843"/>
    <cellStyle name="Note 28 5" xfId="7561"/>
    <cellStyle name="Note 28 5 2" xfId="18849"/>
    <cellStyle name="Note 28 6" xfId="5567"/>
    <cellStyle name="Note 28 6 2" xfId="16855"/>
    <cellStyle name="Note 28 7" xfId="14861"/>
    <cellStyle name="Note 28 8" xfId="13545"/>
    <cellStyle name="Note 29" xfId="3334"/>
    <cellStyle name="Note 29 2" xfId="4568"/>
    <cellStyle name="Note 29 2 2" xfId="12547"/>
    <cellStyle name="Note 29 2 2 2" xfId="23835"/>
    <cellStyle name="Note 29 2 3" xfId="10553"/>
    <cellStyle name="Note 29 2 3 2" xfId="21841"/>
    <cellStyle name="Note 29 2 4" xfId="8559"/>
    <cellStyle name="Note 29 2 4 2" xfId="19847"/>
    <cellStyle name="Note 29 2 5" xfId="6565"/>
    <cellStyle name="Note 29 2 5 2" xfId="17853"/>
    <cellStyle name="Note 29 2 6" xfId="15859"/>
    <cellStyle name="Note 29 3" xfId="11550"/>
    <cellStyle name="Note 29 3 2" xfId="22838"/>
    <cellStyle name="Note 29 4" xfId="9556"/>
    <cellStyle name="Note 29 4 2" xfId="20844"/>
    <cellStyle name="Note 29 5" xfId="7562"/>
    <cellStyle name="Note 29 5 2" xfId="18850"/>
    <cellStyle name="Note 29 6" xfId="5568"/>
    <cellStyle name="Note 29 6 2" xfId="16856"/>
    <cellStyle name="Note 29 7" xfId="14862"/>
    <cellStyle name="Note 29 8" xfId="13546"/>
    <cellStyle name="Note 3" xfId="3335"/>
    <cellStyle name="Note 3 10" xfId="25074"/>
    <cellStyle name="Note 3 10 2" xfId="25408"/>
    <cellStyle name="Note 3 10 3" xfId="25678"/>
    <cellStyle name="Note 3 2" xfId="4569"/>
    <cellStyle name="Note 3 2 2" xfId="12548"/>
    <cellStyle name="Note 3 2 2 2" xfId="23836"/>
    <cellStyle name="Note 3 2 3" xfId="10554"/>
    <cellStyle name="Note 3 2 3 2" xfId="21842"/>
    <cellStyle name="Note 3 2 4" xfId="8560"/>
    <cellStyle name="Note 3 2 4 2" xfId="19848"/>
    <cellStyle name="Note 3 2 5" xfId="6566"/>
    <cellStyle name="Note 3 2 5 2" xfId="17854"/>
    <cellStyle name="Note 3 2 6" xfId="15860"/>
    <cellStyle name="Note 3 2 7" xfId="24191"/>
    <cellStyle name="Note 3 2 7 2" xfId="25427"/>
    <cellStyle name="Note 3 2 7 3" xfId="25566"/>
    <cellStyle name="Note 3 2 8" xfId="25075"/>
    <cellStyle name="Note 3 2 8 2" xfId="25321"/>
    <cellStyle name="Note 3 2 8 3" xfId="25679"/>
    <cellStyle name="Note 3 3" xfId="11551"/>
    <cellStyle name="Note 3 3 2" xfId="22839"/>
    <cellStyle name="Note 3 4" xfId="9557"/>
    <cellStyle name="Note 3 4 2" xfId="20845"/>
    <cellStyle name="Note 3 5" xfId="7563"/>
    <cellStyle name="Note 3 5 2" xfId="18851"/>
    <cellStyle name="Note 3 6" xfId="5569"/>
    <cellStyle name="Note 3 6 2" xfId="16857"/>
    <cellStyle name="Note 3 7" xfId="14863"/>
    <cellStyle name="Note 3 8" xfId="13547"/>
    <cellStyle name="Note 3 9" xfId="24190"/>
    <cellStyle name="Note 3 9 2" xfId="25326"/>
    <cellStyle name="Note 3 9 3" xfId="25565"/>
    <cellStyle name="Note 30" xfId="3336"/>
    <cellStyle name="Note 30 2" xfId="4570"/>
    <cellStyle name="Note 30 2 2" xfId="12549"/>
    <cellStyle name="Note 30 2 2 2" xfId="23837"/>
    <cellStyle name="Note 30 2 3" xfId="10555"/>
    <cellStyle name="Note 30 2 3 2" xfId="21843"/>
    <cellStyle name="Note 30 2 4" xfId="8561"/>
    <cellStyle name="Note 30 2 4 2" xfId="19849"/>
    <cellStyle name="Note 30 2 5" xfId="6567"/>
    <cellStyle name="Note 30 2 5 2" xfId="17855"/>
    <cellStyle name="Note 30 2 6" xfId="15861"/>
    <cellStyle name="Note 30 3" xfId="11552"/>
    <cellStyle name="Note 30 3 2" xfId="22840"/>
    <cellStyle name="Note 30 4" xfId="9558"/>
    <cellStyle name="Note 30 4 2" xfId="20846"/>
    <cellStyle name="Note 30 5" xfId="7564"/>
    <cellStyle name="Note 30 5 2" xfId="18852"/>
    <cellStyle name="Note 30 6" xfId="5570"/>
    <cellStyle name="Note 30 6 2" xfId="16858"/>
    <cellStyle name="Note 30 7" xfId="14864"/>
    <cellStyle name="Note 30 8" xfId="13548"/>
    <cellStyle name="Note 31" xfId="3337"/>
    <cellStyle name="Note 31 2" xfId="4571"/>
    <cellStyle name="Note 31 2 2" xfId="12550"/>
    <cellStyle name="Note 31 2 2 2" xfId="23838"/>
    <cellStyle name="Note 31 2 3" xfId="10556"/>
    <cellStyle name="Note 31 2 3 2" xfId="21844"/>
    <cellStyle name="Note 31 2 4" xfId="8562"/>
    <cellStyle name="Note 31 2 4 2" xfId="19850"/>
    <cellStyle name="Note 31 2 5" xfId="6568"/>
    <cellStyle name="Note 31 2 5 2" xfId="17856"/>
    <cellStyle name="Note 31 2 6" xfId="15862"/>
    <cellStyle name="Note 31 3" xfId="11553"/>
    <cellStyle name="Note 31 3 2" xfId="22841"/>
    <cellStyle name="Note 31 4" xfId="9559"/>
    <cellStyle name="Note 31 4 2" xfId="20847"/>
    <cellStyle name="Note 31 5" xfId="7565"/>
    <cellStyle name="Note 31 5 2" xfId="18853"/>
    <cellStyle name="Note 31 6" xfId="5571"/>
    <cellStyle name="Note 31 6 2" xfId="16859"/>
    <cellStyle name="Note 31 7" xfId="14865"/>
    <cellStyle name="Note 31 8" xfId="13549"/>
    <cellStyle name="Note 32" xfId="3338"/>
    <cellStyle name="Note 32 2" xfId="4572"/>
    <cellStyle name="Note 32 2 2" xfId="12551"/>
    <cellStyle name="Note 32 2 2 2" xfId="23839"/>
    <cellStyle name="Note 32 2 3" xfId="10557"/>
    <cellStyle name="Note 32 2 3 2" xfId="21845"/>
    <cellStyle name="Note 32 2 4" xfId="8563"/>
    <cellStyle name="Note 32 2 4 2" xfId="19851"/>
    <cellStyle name="Note 32 2 5" xfId="6569"/>
    <cellStyle name="Note 32 2 5 2" xfId="17857"/>
    <cellStyle name="Note 32 2 6" xfId="15863"/>
    <cellStyle name="Note 32 3" xfId="11554"/>
    <cellStyle name="Note 32 3 2" xfId="22842"/>
    <cellStyle name="Note 32 4" xfId="9560"/>
    <cellStyle name="Note 32 4 2" xfId="20848"/>
    <cellStyle name="Note 32 5" xfId="7566"/>
    <cellStyle name="Note 32 5 2" xfId="18854"/>
    <cellStyle name="Note 32 6" xfId="5572"/>
    <cellStyle name="Note 32 6 2" xfId="16860"/>
    <cellStyle name="Note 32 7" xfId="14866"/>
    <cellStyle name="Note 32 8" xfId="13550"/>
    <cellStyle name="Note 33" xfId="3339"/>
    <cellStyle name="Note 33 2" xfId="4573"/>
    <cellStyle name="Note 33 2 2" xfId="12552"/>
    <cellStyle name="Note 33 2 2 2" xfId="23840"/>
    <cellStyle name="Note 33 2 3" xfId="10558"/>
    <cellStyle name="Note 33 2 3 2" xfId="21846"/>
    <cellStyle name="Note 33 2 4" xfId="8564"/>
    <cellStyle name="Note 33 2 4 2" xfId="19852"/>
    <cellStyle name="Note 33 2 5" xfId="6570"/>
    <cellStyle name="Note 33 2 5 2" xfId="17858"/>
    <cellStyle name="Note 33 2 6" xfId="15864"/>
    <cellStyle name="Note 33 3" xfId="11555"/>
    <cellStyle name="Note 33 3 2" xfId="22843"/>
    <cellStyle name="Note 33 4" xfId="9561"/>
    <cellStyle name="Note 33 4 2" xfId="20849"/>
    <cellStyle name="Note 33 5" xfId="7567"/>
    <cellStyle name="Note 33 5 2" xfId="18855"/>
    <cellStyle name="Note 33 6" xfId="5573"/>
    <cellStyle name="Note 33 6 2" xfId="16861"/>
    <cellStyle name="Note 33 7" xfId="14867"/>
    <cellStyle name="Note 33 8" xfId="13551"/>
    <cellStyle name="Note 34" xfId="3340"/>
    <cellStyle name="Note 34 2" xfId="4574"/>
    <cellStyle name="Note 34 2 2" xfId="12553"/>
    <cellStyle name="Note 34 2 2 2" xfId="23841"/>
    <cellStyle name="Note 34 2 3" xfId="10559"/>
    <cellStyle name="Note 34 2 3 2" xfId="21847"/>
    <cellStyle name="Note 34 2 4" xfId="8565"/>
    <cellStyle name="Note 34 2 4 2" xfId="19853"/>
    <cellStyle name="Note 34 2 5" xfId="6571"/>
    <cellStyle name="Note 34 2 5 2" xfId="17859"/>
    <cellStyle name="Note 34 2 6" xfId="15865"/>
    <cellStyle name="Note 34 3" xfId="11556"/>
    <cellStyle name="Note 34 3 2" xfId="22844"/>
    <cellStyle name="Note 34 4" xfId="9562"/>
    <cellStyle name="Note 34 4 2" xfId="20850"/>
    <cellStyle name="Note 34 5" xfId="7568"/>
    <cellStyle name="Note 34 5 2" xfId="18856"/>
    <cellStyle name="Note 34 6" xfId="5574"/>
    <cellStyle name="Note 34 6 2" xfId="16862"/>
    <cellStyle name="Note 34 7" xfId="14868"/>
    <cellStyle name="Note 34 8" xfId="13552"/>
    <cellStyle name="Note 35" xfId="3341"/>
    <cellStyle name="Note 35 2" xfId="4575"/>
    <cellStyle name="Note 35 2 2" xfId="12554"/>
    <cellStyle name="Note 35 2 2 2" xfId="23842"/>
    <cellStyle name="Note 35 2 3" xfId="10560"/>
    <cellStyle name="Note 35 2 3 2" xfId="21848"/>
    <cellStyle name="Note 35 2 4" xfId="8566"/>
    <cellStyle name="Note 35 2 4 2" xfId="19854"/>
    <cellStyle name="Note 35 2 5" xfId="6572"/>
    <cellStyle name="Note 35 2 5 2" xfId="17860"/>
    <cellStyle name="Note 35 2 6" xfId="15866"/>
    <cellStyle name="Note 35 3" xfId="11557"/>
    <cellStyle name="Note 35 3 2" xfId="22845"/>
    <cellStyle name="Note 35 4" xfId="9563"/>
    <cellStyle name="Note 35 4 2" xfId="20851"/>
    <cellStyle name="Note 35 5" xfId="7569"/>
    <cellStyle name="Note 35 5 2" xfId="18857"/>
    <cellStyle name="Note 35 6" xfId="5575"/>
    <cellStyle name="Note 35 6 2" xfId="16863"/>
    <cellStyle name="Note 35 7" xfId="14869"/>
    <cellStyle name="Note 35 8" xfId="13553"/>
    <cellStyle name="Note 36" xfId="3342"/>
    <cellStyle name="Note 36 2" xfId="4576"/>
    <cellStyle name="Note 36 2 2" xfId="12555"/>
    <cellStyle name="Note 36 2 2 2" xfId="23843"/>
    <cellStyle name="Note 36 2 3" xfId="10561"/>
    <cellStyle name="Note 36 2 3 2" xfId="21849"/>
    <cellStyle name="Note 36 2 4" xfId="8567"/>
    <cellStyle name="Note 36 2 4 2" xfId="19855"/>
    <cellStyle name="Note 36 2 5" xfId="6573"/>
    <cellStyle name="Note 36 2 5 2" xfId="17861"/>
    <cellStyle name="Note 36 2 6" xfId="15867"/>
    <cellStyle name="Note 36 3" xfId="11558"/>
    <cellStyle name="Note 36 3 2" xfId="22846"/>
    <cellStyle name="Note 36 4" xfId="9564"/>
    <cellStyle name="Note 36 4 2" xfId="20852"/>
    <cellStyle name="Note 36 5" xfId="7570"/>
    <cellStyle name="Note 36 5 2" xfId="18858"/>
    <cellStyle name="Note 36 6" xfId="5576"/>
    <cellStyle name="Note 36 6 2" xfId="16864"/>
    <cellStyle name="Note 36 7" xfId="14870"/>
    <cellStyle name="Note 36 8" xfId="13554"/>
    <cellStyle name="Note 37" xfId="3343"/>
    <cellStyle name="Note 37 2" xfId="4577"/>
    <cellStyle name="Note 37 2 2" xfId="12556"/>
    <cellStyle name="Note 37 2 2 2" xfId="23844"/>
    <cellStyle name="Note 37 2 3" xfId="10562"/>
    <cellStyle name="Note 37 2 3 2" xfId="21850"/>
    <cellStyle name="Note 37 2 4" xfId="8568"/>
    <cellStyle name="Note 37 2 4 2" xfId="19856"/>
    <cellStyle name="Note 37 2 5" xfId="6574"/>
    <cellStyle name="Note 37 2 5 2" xfId="17862"/>
    <cellStyle name="Note 37 2 6" xfId="15868"/>
    <cellStyle name="Note 37 3" xfId="11559"/>
    <cellStyle name="Note 37 3 2" xfId="22847"/>
    <cellStyle name="Note 37 4" xfId="9565"/>
    <cellStyle name="Note 37 4 2" xfId="20853"/>
    <cellStyle name="Note 37 5" xfId="7571"/>
    <cellStyle name="Note 37 5 2" xfId="18859"/>
    <cellStyle name="Note 37 6" xfId="5577"/>
    <cellStyle name="Note 37 6 2" xfId="16865"/>
    <cellStyle name="Note 37 7" xfId="14871"/>
    <cellStyle name="Note 37 8" xfId="13555"/>
    <cellStyle name="Note 38" xfId="3344"/>
    <cellStyle name="Note 38 2" xfId="4578"/>
    <cellStyle name="Note 38 2 2" xfId="12557"/>
    <cellStyle name="Note 38 2 2 2" xfId="23845"/>
    <cellStyle name="Note 38 2 3" xfId="10563"/>
    <cellStyle name="Note 38 2 3 2" xfId="21851"/>
    <cellStyle name="Note 38 2 4" xfId="8569"/>
    <cellStyle name="Note 38 2 4 2" xfId="19857"/>
    <cellStyle name="Note 38 2 5" xfId="6575"/>
    <cellStyle name="Note 38 2 5 2" xfId="17863"/>
    <cellStyle name="Note 38 2 6" xfId="15869"/>
    <cellStyle name="Note 38 3" xfId="11560"/>
    <cellStyle name="Note 38 3 2" xfId="22848"/>
    <cellStyle name="Note 38 4" xfId="9566"/>
    <cellStyle name="Note 38 4 2" xfId="20854"/>
    <cellStyle name="Note 38 5" xfId="7572"/>
    <cellStyle name="Note 38 5 2" xfId="18860"/>
    <cellStyle name="Note 38 6" xfId="5578"/>
    <cellStyle name="Note 38 6 2" xfId="16866"/>
    <cellStyle name="Note 38 7" xfId="14872"/>
    <cellStyle name="Note 38 8" xfId="13556"/>
    <cellStyle name="Note 39" xfId="3345"/>
    <cellStyle name="Note 39 2" xfId="4579"/>
    <cellStyle name="Note 39 2 2" xfId="12558"/>
    <cellStyle name="Note 39 2 2 2" xfId="23846"/>
    <cellStyle name="Note 39 2 3" xfId="10564"/>
    <cellStyle name="Note 39 2 3 2" xfId="21852"/>
    <cellStyle name="Note 39 2 4" xfId="8570"/>
    <cellStyle name="Note 39 2 4 2" xfId="19858"/>
    <cellStyle name="Note 39 2 5" xfId="6576"/>
    <cellStyle name="Note 39 2 5 2" xfId="17864"/>
    <cellStyle name="Note 39 2 6" xfId="15870"/>
    <cellStyle name="Note 39 3" xfId="11561"/>
    <cellStyle name="Note 39 3 2" xfId="22849"/>
    <cellStyle name="Note 39 4" xfId="9567"/>
    <cellStyle name="Note 39 4 2" xfId="20855"/>
    <cellStyle name="Note 39 5" xfId="7573"/>
    <cellStyle name="Note 39 5 2" xfId="18861"/>
    <cellStyle name="Note 39 6" xfId="5579"/>
    <cellStyle name="Note 39 6 2" xfId="16867"/>
    <cellStyle name="Note 39 7" xfId="14873"/>
    <cellStyle name="Note 39 8" xfId="13557"/>
    <cellStyle name="Note 4" xfId="3346"/>
    <cellStyle name="Note 4 10" xfId="25076"/>
    <cellStyle name="Note 4 10 2" xfId="25421"/>
    <cellStyle name="Note 4 10 3" xfId="25680"/>
    <cellStyle name="Note 4 2" xfId="4580"/>
    <cellStyle name="Note 4 2 2" xfId="12559"/>
    <cellStyle name="Note 4 2 2 2" xfId="23847"/>
    <cellStyle name="Note 4 2 3" xfId="10565"/>
    <cellStyle name="Note 4 2 3 2" xfId="21853"/>
    <cellStyle name="Note 4 2 4" xfId="8571"/>
    <cellStyle name="Note 4 2 4 2" xfId="19859"/>
    <cellStyle name="Note 4 2 5" xfId="6577"/>
    <cellStyle name="Note 4 2 5 2" xfId="17865"/>
    <cellStyle name="Note 4 2 6" xfId="15871"/>
    <cellStyle name="Note 4 3" xfId="11562"/>
    <cellStyle name="Note 4 3 2" xfId="22850"/>
    <cellStyle name="Note 4 4" xfId="9568"/>
    <cellStyle name="Note 4 4 2" xfId="20856"/>
    <cellStyle name="Note 4 5" xfId="7574"/>
    <cellStyle name="Note 4 5 2" xfId="18862"/>
    <cellStyle name="Note 4 6" xfId="5580"/>
    <cellStyle name="Note 4 6 2" xfId="16868"/>
    <cellStyle name="Note 4 7" xfId="14874"/>
    <cellStyle name="Note 4 8" xfId="13558"/>
    <cellStyle name="Note 4 9" xfId="24192"/>
    <cellStyle name="Note 4 9 2" xfId="25343"/>
    <cellStyle name="Note 4 9 3" xfId="25567"/>
    <cellStyle name="Note 40" xfId="3347"/>
    <cellStyle name="Note 40 2" xfId="4581"/>
    <cellStyle name="Note 40 2 2" xfId="12560"/>
    <cellStyle name="Note 40 2 2 2" xfId="23848"/>
    <cellStyle name="Note 40 2 3" xfId="10566"/>
    <cellStyle name="Note 40 2 3 2" xfId="21854"/>
    <cellStyle name="Note 40 2 4" xfId="8572"/>
    <cellStyle name="Note 40 2 4 2" xfId="19860"/>
    <cellStyle name="Note 40 2 5" xfId="6578"/>
    <cellStyle name="Note 40 2 5 2" xfId="17866"/>
    <cellStyle name="Note 40 2 6" xfId="15872"/>
    <cellStyle name="Note 40 3" xfId="11563"/>
    <cellStyle name="Note 40 3 2" xfId="22851"/>
    <cellStyle name="Note 40 4" xfId="9569"/>
    <cellStyle name="Note 40 4 2" xfId="20857"/>
    <cellStyle name="Note 40 5" xfId="7575"/>
    <cellStyle name="Note 40 5 2" xfId="18863"/>
    <cellStyle name="Note 40 6" xfId="5581"/>
    <cellStyle name="Note 40 6 2" xfId="16869"/>
    <cellStyle name="Note 40 7" xfId="14875"/>
    <cellStyle name="Note 40 8" xfId="13559"/>
    <cellStyle name="Note 41" xfId="3348"/>
    <cellStyle name="Note 41 2" xfId="4582"/>
    <cellStyle name="Note 41 2 2" xfId="12561"/>
    <cellStyle name="Note 41 2 2 2" xfId="23849"/>
    <cellStyle name="Note 41 2 3" xfId="10567"/>
    <cellStyle name="Note 41 2 3 2" xfId="21855"/>
    <cellStyle name="Note 41 2 4" xfId="8573"/>
    <cellStyle name="Note 41 2 4 2" xfId="19861"/>
    <cellStyle name="Note 41 2 5" xfId="6579"/>
    <cellStyle name="Note 41 2 5 2" xfId="17867"/>
    <cellStyle name="Note 41 2 6" xfId="15873"/>
    <cellStyle name="Note 41 3" xfId="11564"/>
    <cellStyle name="Note 41 3 2" xfId="22852"/>
    <cellStyle name="Note 41 4" xfId="9570"/>
    <cellStyle name="Note 41 4 2" xfId="20858"/>
    <cellStyle name="Note 41 5" xfId="7576"/>
    <cellStyle name="Note 41 5 2" xfId="18864"/>
    <cellStyle name="Note 41 6" xfId="5582"/>
    <cellStyle name="Note 41 6 2" xfId="16870"/>
    <cellStyle name="Note 41 7" xfId="14876"/>
    <cellStyle name="Note 41 8" xfId="13560"/>
    <cellStyle name="Note 42" xfId="3349"/>
    <cellStyle name="Note 42 2" xfId="4583"/>
    <cellStyle name="Note 42 2 2" xfId="12562"/>
    <cellStyle name="Note 42 2 2 2" xfId="23850"/>
    <cellStyle name="Note 42 2 3" xfId="10568"/>
    <cellStyle name="Note 42 2 3 2" xfId="21856"/>
    <cellStyle name="Note 42 2 4" xfId="8574"/>
    <cellStyle name="Note 42 2 4 2" xfId="19862"/>
    <cellStyle name="Note 42 2 5" xfId="6580"/>
    <cellStyle name="Note 42 2 5 2" xfId="17868"/>
    <cellStyle name="Note 42 2 6" xfId="15874"/>
    <cellStyle name="Note 42 3" xfId="11565"/>
    <cellStyle name="Note 42 3 2" xfId="22853"/>
    <cellStyle name="Note 42 4" xfId="9571"/>
    <cellStyle name="Note 42 4 2" xfId="20859"/>
    <cellStyle name="Note 42 5" xfId="7577"/>
    <cellStyle name="Note 42 5 2" xfId="18865"/>
    <cellStyle name="Note 42 6" xfId="5583"/>
    <cellStyle name="Note 42 6 2" xfId="16871"/>
    <cellStyle name="Note 42 7" xfId="14877"/>
    <cellStyle name="Note 42 8" xfId="13561"/>
    <cellStyle name="Note 43" xfId="3350"/>
    <cellStyle name="Note 43 2" xfId="4584"/>
    <cellStyle name="Note 43 2 2" xfId="12563"/>
    <cellStyle name="Note 43 2 2 2" xfId="23851"/>
    <cellStyle name="Note 43 2 3" xfId="10569"/>
    <cellStyle name="Note 43 2 3 2" xfId="21857"/>
    <cellStyle name="Note 43 2 4" xfId="8575"/>
    <cellStyle name="Note 43 2 4 2" xfId="19863"/>
    <cellStyle name="Note 43 2 5" xfId="6581"/>
    <cellStyle name="Note 43 2 5 2" xfId="17869"/>
    <cellStyle name="Note 43 2 6" xfId="15875"/>
    <cellStyle name="Note 43 3" xfId="11566"/>
    <cellStyle name="Note 43 3 2" xfId="22854"/>
    <cellStyle name="Note 43 4" xfId="9572"/>
    <cellStyle name="Note 43 4 2" xfId="20860"/>
    <cellStyle name="Note 43 5" xfId="7578"/>
    <cellStyle name="Note 43 5 2" xfId="18866"/>
    <cellStyle name="Note 43 6" xfId="5584"/>
    <cellStyle name="Note 43 6 2" xfId="16872"/>
    <cellStyle name="Note 43 7" xfId="14878"/>
    <cellStyle name="Note 43 8" xfId="13562"/>
    <cellStyle name="Note 44" xfId="3351"/>
    <cellStyle name="Note 44 2" xfId="4585"/>
    <cellStyle name="Note 44 2 2" xfId="12564"/>
    <cellStyle name="Note 44 2 2 2" xfId="23852"/>
    <cellStyle name="Note 44 2 3" xfId="10570"/>
    <cellStyle name="Note 44 2 3 2" xfId="21858"/>
    <cellStyle name="Note 44 2 4" xfId="8576"/>
    <cellStyle name="Note 44 2 4 2" xfId="19864"/>
    <cellStyle name="Note 44 2 5" xfId="6582"/>
    <cellStyle name="Note 44 2 5 2" xfId="17870"/>
    <cellStyle name="Note 44 2 6" xfId="15876"/>
    <cellStyle name="Note 44 3" xfId="11567"/>
    <cellStyle name="Note 44 3 2" xfId="22855"/>
    <cellStyle name="Note 44 4" xfId="9573"/>
    <cellStyle name="Note 44 4 2" xfId="20861"/>
    <cellStyle name="Note 44 5" xfId="7579"/>
    <cellStyle name="Note 44 5 2" xfId="18867"/>
    <cellStyle name="Note 44 6" xfId="5585"/>
    <cellStyle name="Note 44 6 2" xfId="16873"/>
    <cellStyle name="Note 44 7" xfId="14879"/>
    <cellStyle name="Note 44 8" xfId="13563"/>
    <cellStyle name="Note 45" xfId="3352"/>
    <cellStyle name="Note 45 2" xfId="4586"/>
    <cellStyle name="Note 45 2 2" xfId="12565"/>
    <cellStyle name="Note 45 2 2 2" xfId="23853"/>
    <cellStyle name="Note 45 2 3" xfId="10571"/>
    <cellStyle name="Note 45 2 3 2" xfId="21859"/>
    <cellStyle name="Note 45 2 4" xfId="8577"/>
    <cellStyle name="Note 45 2 4 2" xfId="19865"/>
    <cellStyle name="Note 45 2 5" xfId="6583"/>
    <cellStyle name="Note 45 2 5 2" xfId="17871"/>
    <cellStyle name="Note 45 2 6" xfId="15877"/>
    <cellStyle name="Note 45 3" xfId="11568"/>
    <cellStyle name="Note 45 3 2" xfId="22856"/>
    <cellStyle name="Note 45 4" xfId="9574"/>
    <cellStyle name="Note 45 4 2" xfId="20862"/>
    <cellStyle name="Note 45 5" xfId="7580"/>
    <cellStyle name="Note 45 5 2" xfId="18868"/>
    <cellStyle name="Note 45 6" xfId="5586"/>
    <cellStyle name="Note 45 6 2" xfId="16874"/>
    <cellStyle name="Note 45 7" xfId="14880"/>
    <cellStyle name="Note 45 8" xfId="13564"/>
    <cellStyle name="Note 46" xfId="3353"/>
    <cellStyle name="Note 46 2" xfId="4587"/>
    <cellStyle name="Note 46 2 2" xfId="12566"/>
    <cellStyle name="Note 46 2 2 2" xfId="23854"/>
    <cellStyle name="Note 46 2 3" xfId="10572"/>
    <cellStyle name="Note 46 2 3 2" xfId="21860"/>
    <cellStyle name="Note 46 2 4" xfId="8578"/>
    <cellStyle name="Note 46 2 4 2" xfId="19866"/>
    <cellStyle name="Note 46 2 5" xfId="6584"/>
    <cellStyle name="Note 46 2 5 2" xfId="17872"/>
    <cellStyle name="Note 46 2 6" xfId="15878"/>
    <cellStyle name="Note 46 3" xfId="11569"/>
    <cellStyle name="Note 46 3 2" xfId="22857"/>
    <cellStyle name="Note 46 4" xfId="9575"/>
    <cellStyle name="Note 46 4 2" xfId="20863"/>
    <cellStyle name="Note 46 5" xfId="7581"/>
    <cellStyle name="Note 46 5 2" xfId="18869"/>
    <cellStyle name="Note 46 6" xfId="5587"/>
    <cellStyle name="Note 46 6 2" xfId="16875"/>
    <cellStyle name="Note 46 7" xfId="14881"/>
    <cellStyle name="Note 46 8" xfId="13565"/>
    <cellStyle name="Note 47" xfId="3354"/>
    <cellStyle name="Note 47 2" xfId="4588"/>
    <cellStyle name="Note 47 2 2" xfId="12567"/>
    <cellStyle name="Note 47 2 2 2" xfId="23855"/>
    <cellStyle name="Note 47 2 3" xfId="10573"/>
    <cellStyle name="Note 47 2 3 2" xfId="21861"/>
    <cellStyle name="Note 47 2 4" xfId="8579"/>
    <cellStyle name="Note 47 2 4 2" xfId="19867"/>
    <cellStyle name="Note 47 2 5" xfId="6585"/>
    <cellStyle name="Note 47 2 5 2" xfId="17873"/>
    <cellStyle name="Note 47 2 6" xfId="15879"/>
    <cellStyle name="Note 47 3" xfId="11570"/>
    <cellStyle name="Note 47 3 2" xfId="22858"/>
    <cellStyle name="Note 47 4" xfId="9576"/>
    <cellStyle name="Note 47 4 2" xfId="20864"/>
    <cellStyle name="Note 47 5" xfId="7582"/>
    <cellStyle name="Note 47 5 2" xfId="18870"/>
    <cellStyle name="Note 47 6" xfId="5588"/>
    <cellStyle name="Note 47 6 2" xfId="16876"/>
    <cellStyle name="Note 47 7" xfId="14882"/>
    <cellStyle name="Note 47 8" xfId="13566"/>
    <cellStyle name="Note 48" xfId="3355"/>
    <cellStyle name="Note 48 2" xfId="4589"/>
    <cellStyle name="Note 48 2 2" xfId="12568"/>
    <cellStyle name="Note 48 2 2 2" xfId="23856"/>
    <cellStyle name="Note 48 2 3" xfId="10574"/>
    <cellStyle name="Note 48 2 3 2" xfId="21862"/>
    <cellStyle name="Note 48 2 4" xfId="8580"/>
    <cellStyle name="Note 48 2 4 2" xfId="19868"/>
    <cellStyle name="Note 48 2 5" xfId="6586"/>
    <cellStyle name="Note 48 2 5 2" xfId="17874"/>
    <cellStyle name="Note 48 2 6" xfId="15880"/>
    <cellStyle name="Note 48 3" xfId="11571"/>
    <cellStyle name="Note 48 3 2" xfId="22859"/>
    <cellStyle name="Note 48 4" xfId="9577"/>
    <cellStyle name="Note 48 4 2" xfId="20865"/>
    <cellStyle name="Note 48 5" xfId="7583"/>
    <cellStyle name="Note 48 5 2" xfId="18871"/>
    <cellStyle name="Note 48 6" xfId="5589"/>
    <cellStyle name="Note 48 6 2" xfId="16877"/>
    <cellStyle name="Note 48 7" xfId="14883"/>
    <cellStyle name="Note 48 8" xfId="13567"/>
    <cellStyle name="Note 49" xfId="3356"/>
    <cellStyle name="Note 49 2" xfId="4590"/>
    <cellStyle name="Note 49 2 2" xfId="12569"/>
    <cellStyle name="Note 49 2 2 2" xfId="23857"/>
    <cellStyle name="Note 49 2 3" xfId="10575"/>
    <cellStyle name="Note 49 2 3 2" xfId="21863"/>
    <cellStyle name="Note 49 2 4" xfId="8581"/>
    <cellStyle name="Note 49 2 4 2" xfId="19869"/>
    <cellStyle name="Note 49 2 5" xfId="6587"/>
    <cellStyle name="Note 49 2 5 2" xfId="17875"/>
    <cellStyle name="Note 49 2 6" xfId="15881"/>
    <cellStyle name="Note 49 3" xfId="11572"/>
    <cellStyle name="Note 49 3 2" xfId="22860"/>
    <cellStyle name="Note 49 4" xfId="9578"/>
    <cellStyle name="Note 49 4 2" xfId="20866"/>
    <cellStyle name="Note 49 5" xfId="7584"/>
    <cellStyle name="Note 49 5 2" xfId="18872"/>
    <cellStyle name="Note 49 6" xfId="5590"/>
    <cellStyle name="Note 49 6 2" xfId="16878"/>
    <cellStyle name="Note 49 7" xfId="14884"/>
    <cellStyle name="Note 49 8" xfId="13568"/>
    <cellStyle name="Note 5" xfId="3357"/>
    <cellStyle name="Note 5 10" xfId="25077"/>
    <cellStyle name="Note 5 10 2" xfId="25338"/>
    <cellStyle name="Note 5 10 3" xfId="25681"/>
    <cellStyle name="Note 5 2" xfId="4591"/>
    <cellStyle name="Note 5 2 2" xfId="12570"/>
    <cellStyle name="Note 5 2 2 2" xfId="23858"/>
    <cellStyle name="Note 5 2 3" xfId="10576"/>
    <cellStyle name="Note 5 2 3 2" xfId="21864"/>
    <cellStyle name="Note 5 2 4" xfId="8582"/>
    <cellStyle name="Note 5 2 4 2" xfId="19870"/>
    <cellStyle name="Note 5 2 5" xfId="6588"/>
    <cellStyle name="Note 5 2 5 2" xfId="17876"/>
    <cellStyle name="Note 5 2 6" xfId="15882"/>
    <cellStyle name="Note 5 3" xfId="11573"/>
    <cellStyle name="Note 5 3 2" xfId="22861"/>
    <cellStyle name="Note 5 4" xfId="9579"/>
    <cellStyle name="Note 5 4 2" xfId="20867"/>
    <cellStyle name="Note 5 5" xfId="7585"/>
    <cellStyle name="Note 5 5 2" xfId="18873"/>
    <cellStyle name="Note 5 6" xfId="5591"/>
    <cellStyle name="Note 5 6 2" xfId="16879"/>
    <cellStyle name="Note 5 7" xfId="14885"/>
    <cellStyle name="Note 5 8" xfId="13569"/>
    <cellStyle name="Note 5 9" xfId="24193"/>
    <cellStyle name="Note 5 9 2" xfId="25444"/>
    <cellStyle name="Note 5 9 3" xfId="25568"/>
    <cellStyle name="Note 50" xfId="3358"/>
    <cellStyle name="Note 50 2" xfId="4592"/>
    <cellStyle name="Note 50 2 2" xfId="12571"/>
    <cellStyle name="Note 50 2 2 2" xfId="23859"/>
    <cellStyle name="Note 50 2 3" xfId="10577"/>
    <cellStyle name="Note 50 2 3 2" xfId="21865"/>
    <cellStyle name="Note 50 2 4" xfId="8583"/>
    <cellStyle name="Note 50 2 4 2" xfId="19871"/>
    <cellStyle name="Note 50 2 5" xfId="6589"/>
    <cellStyle name="Note 50 2 5 2" xfId="17877"/>
    <cellStyle name="Note 50 2 6" xfId="15883"/>
    <cellStyle name="Note 50 3" xfId="11574"/>
    <cellStyle name="Note 50 3 2" xfId="22862"/>
    <cellStyle name="Note 50 4" xfId="9580"/>
    <cellStyle name="Note 50 4 2" xfId="20868"/>
    <cellStyle name="Note 50 5" xfId="7586"/>
    <cellStyle name="Note 50 5 2" xfId="18874"/>
    <cellStyle name="Note 50 6" xfId="5592"/>
    <cellStyle name="Note 50 6 2" xfId="16880"/>
    <cellStyle name="Note 50 7" xfId="14886"/>
    <cellStyle name="Note 50 8" xfId="13570"/>
    <cellStyle name="Note 51" xfId="3359"/>
    <cellStyle name="Note 51 2" xfId="4593"/>
    <cellStyle name="Note 51 2 2" xfId="12572"/>
    <cellStyle name="Note 51 2 2 2" xfId="23860"/>
    <cellStyle name="Note 51 2 3" xfId="10578"/>
    <cellStyle name="Note 51 2 3 2" xfId="21866"/>
    <cellStyle name="Note 51 2 4" xfId="8584"/>
    <cellStyle name="Note 51 2 4 2" xfId="19872"/>
    <cellStyle name="Note 51 2 5" xfId="6590"/>
    <cellStyle name="Note 51 2 5 2" xfId="17878"/>
    <cellStyle name="Note 51 2 6" xfId="15884"/>
    <cellStyle name="Note 51 3" xfId="11575"/>
    <cellStyle name="Note 51 3 2" xfId="22863"/>
    <cellStyle name="Note 51 4" xfId="9581"/>
    <cellStyle name="Note 51 4 2" xfId="20869"/>
    <cellStyle name="Note 51 5" xfId="7587"/>
    <cellStyle name="Note 51 5 2" xfId="18875"/>
    <cellStyle name="Note 51 6" xfId="5593"/>
    <cellStyle name="Note 51 6 2" xfId="16881"/>
    <cellStyle name="Note 51 7" xfId="14887"/>
    <cellStyle name="Note 51 8" xfId="13571"/>
    <cellStyle name="Note 52" xfId="3360"/>
    <cellStyle name="Note 52 2" xfId="4594"/>
    <cellStyle name="Note 52 2 2" xfId="12573"/>
    <cellStyle name="Note 52 2 2 2" xfId="23861"/>
    <cellStyle name="Note 52 2 3" xfId="10579"/>
    <cellStyle name="Note 52 2 3 2" xfId="21867"/>
    <cellStyle name="Note 52 2 4" xfId="8585"/>
    <cellStyle name="Note 52 2 4 2" xfId="19873"/>
    <cellStyle name="Note 52 2 5" xfId="6591"/>
    <cellStyle name="Note 52 2 5 2" xfId="17879"/>
    <cellStyle name="Note 52 2 6" xfId="15885"/>
    <cellStyle name="Note 52 3" xfId="11576"/>
    <cellStyle name="Note 52 3 2" xfId="22864"/>
    <cellStyle name="Note 52 4" xfId="9582"/>
    <cellStyle name="Note 52 4 2" xfId="20870"/>
    <cellStyle name="Note 52 5" xfId="7588"/>
    <cellStyle name="Note 52 5 2" xfId="18876"/>
    <cellStyle name="Note 52 6" xfId="5594"/>
    <cellStyle name="Note 52 6 2" xfId="16882"/>
    <cellStyle name="Note 52 7" xfId="14888"/>
    <cellStyle name="Note 52 8" xfId="13572"/>
    <cellStyle name="Note 53" xfId="3361"/>
    <cellStyle name="Note 53 2" xfId="4595"/>
    <cellStyle name="Note 53 2 2" xfId="12574"/>
    <cellStyle name="Note 53 2 2 2" xfId="23862"/>
    <cellStyle name="Note 53 2 3" xfId="10580"/>
    <cellStyle name="Note 53 2 3 2" xfId="21868"/>
    <cellStyle name="Note 53 2 4" xfId="8586"/>
    <cellStyle name="Note 53 2 4 2" xfId="19874"/>
    <cellStyle name="Note 53 2 5" xfId="6592"/>
    <cellStyle name="Note 53 2 5 2" xfId="17880"/>
    <cellStyle name="Note 53 2 6" xfId="15886"/>
    <cellStyle name="Note 53 3" xfId="11577"/>
    <cellStyle name="Note 53 3 2" xfId="22865"/>
    <cellStyle name="Note 53 4" xfId="9583"/>
    <cellStyle name="Note 53 4 2" xfId="20871"/>
    <cellStyle name="Note 53 5" xfId="7589"/>
    <cellStyle name="Note 53 5 2" xfId="18877"/>
    <cellStyle name="Note 53 6" xfId="5595"/>
    <cellStyle name="Note 53 6 2" xfId="16883"/>
    <cellStyle name="Note 53 7" xfId="14889"/>
    <cellStyle name="Note 53 8" xfId="13573"/>
    <cellStyle name="Note 54" xfId="3362"/>
    <cellStyle name="Note 54 2" xfId="4596"/>
    <cellStyle name="Note 54 2 2" xfId="12575"/>
    <cellStyle name="Note 54 2 2 2" xfId="23863"/>
    <cellStyle name="Note 54 2 3" xfId="10581"/>
    <cellStyle name="Note 54 2 3 2" xfId="21869"/>
    <cellStyle name="Note 54 2 4" xfId="8587"/>
    <cellStyle name="Note 54 2 4 2" xfId="19875"/>
    <cellStyle name="Note 54 2 5" xfId="6593"/>
    <cellStyle name="Note 54 2 5 2" xfId="17881"/>
    <cellStyle name="Note 54 2 6" xfId="15887"/>
    <cellStyle name="Note 54 3" xfId="11578"/>
    <cellStyle name="Note 54 3 2" xfId="22866"/>
    <cellStyle name="Note 54 4" xfId="9584"/>
    <cellStyle name="Note 54 4 2" xfId="20872"/>
    <cellStyle name="Note 54 5" xfId="7590"/>
    <cellStyle name="Note 54 5 2" xfId="18878"/>
    <cellStyle name="Note 54 6" xfId="5596"/>
    <cellStyle name="Note 54 6 2" xfId="16884"/>
    <cellStyle name="Note 54 7" xfId="14890"/>
    <cellStyle name="Note 54 8" xfId="13574"/>
    <cellStyle name="Note 55" xfId="3363"/>
    <cellStyle name="Note 55 2" xfId="4597"/>
    <cellStyle name="Note 55 2 2" xfId="12576"/>
    <cellStyle name="Note 55 2 2 2" xfId="23864"/>
    <cellStyle name="Note 55 2 3" xfId="10582"/>
    <cellStyle name="Note 55 2 3 2" xfId="21870"/>
    <cellStyle name="Note 55 2 4" xfId="8588"/>
    <cellStyle name="Note 55 2 4 2" xfId="19876"/>
    <cellStyle name="Note 55 2 5" xfId="6594"/>
    <cellStyle name="Note 55 2 5 2" xfId="17882"/>
    <cellStyle name="Note 55 2 6" xfId="15888"/>
    <cellStyle name="Note 55 3" xfId="11579"/>
    <cellStyle name="Note 55 3 2" xfId="22867"/>
    <cellStyle name="Note 55 4" xfId="9585"/>
    <cellStyle name="Note 55 4 2" xfId="20873"/>
    <cellStyle name="Note 55 5" xfId="7591"/>
    <cellStyle name="Note 55 5 2" xfId="18879"/>
    <cellStyle name="Note 55 6" xfId="5597"/>
    <cellStyle name="Note 55 6 2" xfId="16885"/>
    <cellStyle name="Note 55 7" xfId="14891"/>
    <cellStyle name="Note 55 8" xfId="13575"/>
    <cellStyle name="Note 56" xfId="3364"/>
    <cellStyle name="Note 56 2" xfId="4598"/>
    <cellStyle name="Note 56 2 2" xfId="12577"/>
    <cellStyle name="Note 56 2 2 2" xfId="23865"/>
    <cellStyle name="Note 56 2 3" xfId="10583"/>
    <cellStyle name="Note 56 2 3 2" xfId="21871"/>
    <cellStyle name="Note 56 2 4" xfId="8589"/>
    <cellStyle name="Note 56 2 4 2" xfId="19877"/>
    <cellStyle name="Note 56 2 5" xfId="6595"/>
    <cellStyle name="Note 56 2 5 2" xfId="17883"/>
    <cellStyle name="Note 56 2 6" xfId="15889"/>
    <cellStyle name="Note 56 3" xfId="11580"/>
    <cellStyle name="Note 56 3 2" xfId="22868"/>
    <cellStyle name="Note 56 4" xfId="9586"/>
    <cellStyle name="Note 56 4 2" xfId="20874"/>
    <cellStyle name="Note 56 5" xfId="7592"/>
    <cellStyle name="Note 56 5 2" xfId="18880"/>
    <cellStyle name="Note 56 6" xfId="5598"/>
    <cellStyle name="Note 56 6 2" xfId="16886"/>
    <cellStyle name="Note 56 7" xfId="14892"/>
    <cellStyle name="Note 56 8" xfId="13576"/>
    <cellStyle name="Note 57" xfId="3365"/>
    <cellStyle name="Note 57 2" xfId="4599"/>
    <cellStyle name="Note 57 2 2" xfId="12578"/>
    <cellStyle name="Note 57 2 2 2" xfId="23866"/>
    <cellStyle name="Note 57 2 3" xfId="10584"/>
    <cellStyle name="Note 57 2 3 2" xfId="21872"/>
    <cellStyle name="Note 57 2 4" xfId="8590"/>
    <cellStyle name="Note 57 2 4 2" xfId="19878"/>
    <cellStyle name="Note 57 2 5" xfId="6596"/>
    <cellStyle name="Note 57 2 5 2" xfId="17884"/>
    <cellStyle name="Note 57 2 6" xfId="15890"/>
    <cellStyle name="Note 57 3" xfId="11581"/>
    <cellStyle name="Note 57 3 2" xfId="22869"/>
    <cellStyle name="Note 57 4" xfId="9587"/>
    <cellStyle name="Note 57 4 2" xfId="20875"/>
    <cellStyle name="Note 57 5" xfId="7593"/>
    <cellStyle name="Note 57 5 2" xfId="18881"/>
    <cellStyle name="Note 57 6" xfId="5599"/>
    <cellStyle name="Note 57 6 2" xfId="16887"/>
    <cellStyle name="Note 57 7" xfId="14893"/>
    <cellStyle name="Note 57 8" xfId="13577"/>
    <cellStyle name="Note 58" xfId="3366"/>
    <cellStyle name="Note 58 2" xfId="4600"/>
    <cellStyle name="Note 58 2 2" xfId="12579"/>
    <cellStyle name="Note 58 2 2 2" xfId="23867"/>
    <cellStyle name="Note 58 2 3" xfId="10585"/>
    <cellStyle name="Note 58 2 3 2" xfId="21873"/>
    <cellStyle name="Note 58 2 4" xfId="8591"/>
    <cellStyle name="Note 58 2 4 2" xfId="19879"/>
    <cellStyle name="Note 58 2 5" xfId="6597"/>
    <cellStyle name="Note 58 2 5 2" xfId="17885"/>
    <cellStyle name="Note 58 2 6" xfId="15891"/>
    <cellStyle name="Note 58 3" xfId="11582"/>
    <cellStyle name="Note 58 3 2" xfId="22870"/>
    <cellStyle name="Note 58 4" xfId="9588"/>
    <cellStyle name="Note 58 4 2" xfId="20876"/>
    <cellStyle name="Note 58 5" xfId="7594"/>
    <cellStyle name="Note 58 5 2" xfId="18882"/>
    <cellStyle name="Note 58 6" xfId="5600"/>
    <cellStyle name="Note 58 6 2" xfId="16888"/>
    <cellStyle name="Note 58 7" xfId="14894"/>
    <cellStyle name="Note 58 8" xfId="13578"/>
    <cellStyle name="Note 59" xfId="3367"/>
    <cellStyle name="Note 59 2" xfId="4601"/>
    <cellStyle name="Note 59 2 2" xfId="12580"/>
    <cellStyle name="Note 59 2 2 2" xfId="23868"/>
    <cellStyle name="Note 59 2 3" xfId="10586"/>
    <cellStyle name="Note 59 2 3 2" xfId="21874"/>
    <cellStyle name="Note 59 2 4" xfId="8592"/>
    <cellStyle name="Note 59 2 4 2" xfId="19880"/>
    <cellStyle name="Note 59 2 5" xfId="6598"/>
    <cellStyle name="Note 59 2 5 2" xfId="17886"/>
    <cellStyle name="Note 59 2 6" xfId="15892"/>
    <cellStyle name="Note 59 3" xfId="11583"/>
    <cellStyle name="Note 59 3 2" xfId="22871"/>
    <cellStyle name="Note 59 4" xfId="9589"/>
    <cellStyle name="Note 59 4 2" xfId="20877"/>
    <cellStyle name="Note 59 5" xfId="7595"/>
    <cellStyle name="Note 59 5 2" xfId="18883"/>
    <cellStyle name="Note 59 6" xfId="5601"/>
    <cellStyle name="Note 59 6 2" xfId="16889"/>
    <cellStyle name="Note 59 7" xfId="14895"/>
    <cellStyle name="Note 59 8" xfId="13579"/>
    <cellStyle name="Note 6" xfId="3368"/>
    <cellStyle name="Note 6 10" xfId="24756"/>
    <cellStyle name="Note 6 11" xfId="25078"/>
    <cellStyle name="Note 6 2" xfId="4602"/>
    <cellStyle name="Note 6 2 2" xfId="12581"/>
    <cellStyle name="Note 6 2 2 2" xfId="23869"/>
    <cellStyle name="Note 6 2 3" xfId="10587"/>
    <cellStyle name="Note 6 2 3 2" xfId="21875"/>
    <cellStyle name="Note 6 2 4" xfId="8593"/>
    <cellStyle name="Note 6 2 4 2" xfId="19881"/>
    <cellStyle name="Note 6 2 5" xfId="6599"/>
    <cellStyle name="Note 6 2 5 2" xfId="17887"/>
    <cellStyle name="Note 6 2 6" xfId="15893"/>
    <cellStyle name="Note 6 2 7" xfId="24460"/>
    <cellStyle name="Note 6 2 8" xfId="24904"/>
    <cellStyle name="Note 6 2 9" xfId="25266"/>
    <cellStyle name="Note 6 3" xfId="11584"/>
    <cellStyle name="Note 6 3 2" xfId="22872"/>
    <cellStyle name="Note 6 4" xfId="9590"/>
    <cellStyle name="Note 6 4 2" xfId="20878"/>
    <cellStyle name="Note 6 5" xfId="7596"/>
    <cellStyle name="Note 6 5 2" xfId="18884"/>
    <cellStyle name="Note 6 6" xfId="5602"/>
    <cellStyle name="Note 6 6 2" xfId="16890"/>
    <cellStyle name="Note 6 7" xfId="14896"/>
    <cellStyle name="Note 6 8" xfId="13580"/>
    <cellStyle name="Note 6 9" xfId="24194"/>
    <cellStyle name="Note 60" xfId="3369"/>
    <cellStyle name="Note 60 2" xfId="4603"/>
    <cellStyle name="Note 60 2 2" xfId="12582"/>
    <cellStyle name="Note 60 2 2 2" xfId="23870"/>
    <cellStyle name="Note 60 2 3" xfId="10588"/>
    <cellStyle name="Note 60 2 3 2" xfId="21876"/>
    <cellStyle name="Note 60 2 4" xfId="8594"/>
    <cellStyle name="Note 60 2 4 2" xfId="19882"/>
    <cellStyle name="Note 60 2 5" xfId="6600"/>
    <cellStyle name="Note 60 2 5 2" xfId="17888"/>
    <cellStyle name="Note 60 2 6" xfId="15894"/>
    <cellStyle name="Note 60 3" xfId="11585"/>
    <cellStyle name="Note 60 3 2" xfId="22873"/>
    <cellStyle name="Note 60 4" xfId="9591"/>
    <cellStyle name="Note 60 4 2" xfId="20879"/>
    <cellStyle name="Note 60 5" xfId="7597"/>
    <cellStyle name="Note 60 5 2" xfId="18885"/>
    <cellStyle name="Note 60 6" xfId="5603"/>
    <cellStyle name="Note 60 6 2" xfId="16891"/>
    <cellStyle name="Note 60 7" xfId="14897"/>
    <cellStyle name="Note 60 8" xfId="13581"/>
    <cellStyle name="Note 61" xfId="3370"/>
    <cellStyle name="Note 61 2" xfId="4604"/>
    <cellStyle name="Note 61 2 2" xfId="12583"/>
    <cellStyle name="Note 61 2 2 2" xfId="23871"/>
    <cellStyle name="Note 61 2 3" xfId="10589"/>
    <cellStyle name="Note 61 2 3 2" xfId="21877"/>
    <cellStyle name="Note 61 2 4" xfId="8595"/>
    <cellStyle name="Note 61 2 4 2" xfId="19883"/>
    <cellStyle name="Note 61 2 5" xfId="6601"/>
    <cellStyle name="Note 61 2 5 2" xfId="17889"/>
    <cellStyle name="Note 61 2 6" xfId="15895"/>
    <cellStyle name="Note 61 3" xfId="11586"/>
    <cellStyle name="Note 61 3 2" xfId="22874"/>
    <cellStyle name="Note 61 4" xfId="9592"/>
    <cellStyle name="Note 61 4 2" xfId="20880"/>
    <cellStyle name="Note 61 5" xfId="7598"/>
    <cellStyle name="Note 61 5 2" xfId="18886"/>
    <cellStyle name="Note 61 6" xfId="5604"/>
    <cellStyle name="Note 61 6 2" xfId="16892"/>
    <cellStyle name="Note 61 7" xfId="14898"/>
    <cellStyle name="Note 61 8" xfId="13582"/>
    <cellStyle name="Note 62" xfId="3371"/>
    <cellStyle name="Note 62 2" xfId="4605"/>
    <cellStyle name="Note 62 2 2" xfId="12584"/>
    <cellStyle name="Note 62 2 2 2" xfId="23872"/>
    <cellStyle name="Note 62 2 3" xfId="10590"/>
    <cellStyle name="Note 62 2 3 2" xfId="21878"/>
    <cellStyle name="Note 62 2 4" xfId="8596"/>
    <cellStyle name="Note 62 2 4 2" xfId="19884"/>
    <cellStyle name="Note 62 2 5" xfId="6602"/>
    <cellStyle name="Note 62 2 5 2" xfId="17890"/>
    <cellStyle name="Note 62 2 6" xfId="15896"/>
    <cellStyle name="Note 62 3" xfId="11587"/>
    <cellStyle name="Note 62 3 2" xfId="22875"/>
    <cellStyle name="Note 62 4" xfId="9593"/>
    <cellStyle name="Note 62 4 2" xfId="20881"/>
    <cellStyle name="Note 62 5" xfId="7599"/>
    <cellStyle name="Note 62 5 2" xfId="18887"/>
    <cellStyle name="Note 62 6" xfId="5605"/>
    <cellStyle name="Note 62 6 2" xfId="16893"/>
    <cellStyle name="Note 62 7" xfId="14899"/>
    <cellStyle name="Note 62 8" xfId="13583"/>
    <cellStyle name="Note 63" xfId="3372"/>
    <cellStyle name="Note 63 2" xfId="4606"/>
    <cellStyle name="Note 63 2 2" xfId="12585"/>
    <cellStyle name="Note 63 2 2 2" xfId="23873"/>
    <cellStyle name="Note 63 2 3" xfId="10591"/>
    <cellStyle name="Note 63 2 3 2" xfId="21879"/>
    <cellStyle name="Note 63 2 4" xfId="8597"/>
    <cellStyle name="Note 63 2 4 2" xfId="19885"/>
    <cellStyle name="Note 63 2 5" xfId="6603"/>
    <cellStyle name="Note 63 2 5 2" xfId="17891"/>
    <cellStyle name="Note 63 2 6" xfId="15897"/>
    <cellStyle name="Note 63 3" xfId="11588"/>
    <cellStyle name="Note 63 3 2" xfId="22876"/>
    <cellStyle name="Note 63 4" xfId="9594"/>
    <cellStyle name="Note 63 4 2" xfId="20882"/>
    <cellStyle name="Note 63 5" xfId="7600"/>
    <cellStyle name="Note 63 5 2" xfId="18888"/>
    <cellStyle name="Note 63 6" xfId="5606"/>
    <cellStyle name="Note 63 6 2" xfId="16894"/>
    <cellStyle name="Note 63 7" xfId="14900"/>
    <cellStyle name="Note 63 8" xfId="13584"/>
    <cellStyle name="Note 64" xfId="3373"/>
    <cellStyle name="Note 64 2" xfId="4607"/>
    <cellStyle name="Note 64 2 2" xfId="12586"/>
    <cellStyle name="Note 64 2 2 2" xfId="23874"/>
    <cellStyle name="Note 64 2 3" xfId="10592"/>
    <cellStyle name="Note 64 2 3 2" xfId="21880"/>
    <cellStyle name="Note 64 2 4" xfId="8598"/>
    <cellStyle name="Note 64 2 4 2" xfId="19886"/>
    <cellStyle name="Note 64 2 5" xfId="6604"/>
    <cellStyle name="Note 64 2 5 2" xfId="17892"/>
    <cellStyle name="Note 64 2 6" xfId="15898"/>
    <cellStyle name="Note 64 3" xfId="11589"/>
    <cellStyle name="Note 64 3 2" xfId="22877"/>
    <cellStyle name="Note 64 4" xfId="9595"/>
    <cellStyle name="Note 64 4 2" xfId="20883"/>
    <cellStyle name="Note 64 5" xfId="7601"/>
    <cellStyle name="Note 64 5 2" xfId="18889"/>
    <cellStyle name="Note 64 6" xfId="5607"/>
    <cellStyle name="Note 64 6 2" xfId="16895"/>
    <cellStyle name="Note 64 7" xfId="14901"/>
    <cellStyle name="Note 64 8" xfId="13585"/>
    <cellStyle name="Note 65" xfId="3374"/>
    <cellStyle name="Note 65 2" xfId="4608"/>
    <cellStyle name="Note 65 2 2" xfId="12587"/>
    <cellStyle name="Note 65 2 2 2" xfId="23875"/>
    <cellStyle name="Note 65 2 3" xfId="10593"/>
    <cellStyle name="Note 65 2 3 2" xfId="21881"/>
    <cellStyle name="Note 65 2 4" xfId="8599"/>
    <cellStyle name="Note 65 2 4 2" xfId="19887"/>
    <cellStyle name="Note 65 2 5" xfId="6605"/>
    <cellStyle name="Note 65 2 5 2" xfId="17893"/>
    <cellStyle name="Note 65 2 6" xfId="15899"/>
    <cellStyle name="Note 65 3" xfId="11590"/>
    <cellStyle name="Note 65 3 2" xfId="22878"/>
    <cellStyle name="Note 65 4" xfId="9596"/>
    <cellStyle name="Note 65 4 2" xfId="20884"/>
    <cellStyle name="Note 65 5" xfId="7602"/>
    <cellStyle name="Note 65 5 2" xfId="18890"/>
    <cellStyle name="Note 65 6" xfId="5608"/>
    <cellStyle name="Note 65 6 2" xfId="16896"/>
    <cellStyle name="Note 65 7" xfId="14902"/>
    <cellStyle name="Note 65 8" xfId="13586"/>
    <cellStyle name="Note 66" xfId="3375"/>
    <cellStyle name="Note 66 2" xfId="4609"/>
    <cellStyle name="Note 66 2 2" xfId="12588"/>
    <cellStyle name="Note 66 2 2 2" xfId="23876"/>
    <cellStyle name="Note 66 2 3" xfId="10594"/>
    <cellStyle name="Note 66 2 3 2" xfId="21882"/>
    <cellStyle name="Note 66 2 4" xfId="8600"/>
    <cellStyle name="Note 66 2 4 2" xfId="19888"/>
    <cellStyle name="Note 66 2 5" xfId="6606"/>
    <cellStyle name="Note 66 2 5 2" xfId="17894"/>
    <cellStyle name="Note 66 2 6" xfId="15900"/>
    <cellStyle name="Note 66 3" xfId="11591"/>
    <cellStyle name="Note 66 3 2" xfId="22879"/>
    <cellStyle name="Note 66 4" xfId="9597"/>
    <cellStyle name="Note 66 4 2" xfId="20885"/>
    <cellStyle name="Note 66 5" xfId="7603"/>
    <cellStyle name="Note 66 5 2" xfId="18891"/>
    <cellStyle name="Note 66 6" xfId="5609"/>
    <cellStyle name="Note 66 6 2" xfId="16897"/>
    <cellStyle name="Note 66 7" xfId="14903"/>
    <cellStyle name="Note 66 8" xfId="13587"/>
    <cellStyle name="Note 67" xfId="3376"/>
    <cellStyle name="Note 67 2" xfId="4610"/>
    <cellStyle name="Note 67 2 2" xfId="12589"/>
    <cellStyle name="Note 67 2 2 2" xfId="23877"/>
    <cellStyle name="Note 67 2 3" xfId="10595"/>
    <cellStyle name="Note 67 2 3 2" xfId="21883"/>
    <cellStyle name="Note 67 2 4" xfId="8601"/>
    <cellStyle name="Note 67 2 4 2" xfId="19889"/>
    <cellStyle name="Note 67 2 5" xfId="6607"/>
    <cellStyle name="Note 67 2 5 2" xfId="17895"/>
    <cellStyle name="Note 67 2 6" xfId="15901"/>
    <cellStyle name="Note 67 3" xfId="11592"/>
    <cellStyle name="Note 67 3 2" xfId="22880"/>
    <cellStyle name="Note 67 4" xfId="9598"/>
    <cellStyle name="Note 67 4 2" xfId="20886"/>
    <cellStyle name="Note 67 5" xfId="7604"/>
    <cellStyle name="Note 67 5 2" xfId="18892"/>
    <cellStyle name="Note 67 6" xfId="5610"/>
    <cellStyle name="Note 67 6 2" xfId="16898"/>
    <cellStyle name="Note 67 7" xfId="14904"/>
    <cellStyle name="Note 67 8" xfId="13588"/>
    <cellStyle name="Note 68" xfId="3377"/>
    <cellStyle name="Note 68 2" xfId="4611"/>
    <cellStyle name="Note 68 2 2" xfId="12590"/>
    <cellStyle name="Note 68 2 2 2" xfId="23878"/>
    <cellStyle name="Note 68 2 3" xfId="10596"/>
    <cellStyle name="Note 68 2 3 2" xfId="21884"/>
    <cellStyle name="Note 68 2 4" xfId="8602"/>
    <cellStyle name="Note 68 2 4 2" xfId="19890"/>
    <cellStyle name="Note 68 2 5" xfId="6608"/>
    <cellStyle name="Note 68 2 5 2" xfId="17896"/>
    <cellStyle name="Note 68 2 6" xfId="15902"/>
    <cellStyle name="Note 68 3" xfId="11593"/>
    <cellStyle name="Note 68 3 2" xfId="22881"/>
    <cellStyle name="Note 68 4" xfId="9599"/>
    <cellStyle name="Note 68 4 2" xfId="20887"/>
    <cellStyle name="Note 68 5" xfId="7605"/>
    <cellStyle name="Note 68 5 2" xfId="18893"/>
    <cellStyle name="Note 68 6" xfId="5611"/>
    <cellStyle name="Note 68 6 2" xfId="16899"/>
    <cellStyle name="Note 68 7" xfId="14905"/>
    <cellStyle name="Note 68 8" xfId="13589"/>
    <cellStyle name="Note 69" xfId="3378"/>
    <cellStyle name="Note 69 2" xfId="4612"/>
    <cellStyle name="Note 69 2 2" xfId="12591"/>
    <cellStyle name="Note 69 2 2 2" xfId="23879"/>
    <cellStyle name="Note 69 2 3" xfId="10597"/>
    <cellStyle name="Note 69 2 3 2" xfId="21885"/>
    <cellStyle name="Note 69 2 4" xfId="8603"/>
    <cellStyle name="Note 69 2 4 2" xfId="19891"/>
    <cellStyle name="Note 69 2 5" xfId="6609"/>
    <cellStyle name="Note 69 2 5 2" xfId="17897"/>
    <cellStyle name="Note 69 2 6" xfId="15903"/>
    <cellStyle name="Note 69 3" xfId="11594"/>
    <cellStyle name="Note 69 3 2" xfId="22882"/>
    <cellStyle name="Note 69 4" xfId="9600"/>
    <cellStyle name="Note 69 4 2" xfId="20888"/>
    <cellStyle name="Note 69 5" xfId="7606"/>
    <cellStyle name="Note 69 5 2" xfId="18894"/>
    <cellStyle name="Note 69 6" xfId="5612"/>
    <cellStyle name="Note 69 6 2" xfId="16900"/>
    <cellStyle name="Note 69 7" xfId="14906"/>
    <cellStyle name="Note 69 8" xfId="13590"/>
    <cellStyle name="Note 7" xfId="3379"/>
    <cellStyle name="Note 7 10" xfId="24757"/>
    <cellStyle name="Note 7 11" xfId="25079"/>
    <cellStyle name="Note 7 2" xfId="4613"/>
    <cellStyle name="Note 7 2 2" xfId="12592"/>
    <cellStyle name="Note 7 2 2 2" xfId="23880"/>
    <cellStyle name="Note 7 2 3" xfId="10598"/>
    <cellStyle name="Note 7 2 3 2" xfId="21886"/>
    <cellStyle name="Note 7 2 4" xfId="8604"/>
    <cellStyle name="Note 7 2 4 2" xfId="19892"/>
    <cellStyle name="Note 7 2 5" xfId="6610"/>
    <cellStyle name="Note 7 2 5 2" xfId="17898"/>
    <cellStyle name="Note 7 2 6" xfId="15904"/>
    <cellStyle name="Note 7 2 7" xfId="24461"/>
    <cellStyle name="Note 7 2 8" xfId="24905"/>
    <cellStyle name="Note 7 2 9" xfId="25267"/>
    <cellStyle name="Note 7 3" xfId="11595"/>
    <cellStyle name="Note 7 3 2" xfId="22883"/>
    <cellStyle name="Note 7 4" xfId="9601"/>
    <cellStyle name="Note 7 4 2" xfId="20889"/>
    <cellStyle name="Note 7 5" xfId="7607"/>
    <cellStyle name="Note 7 5 2" xfId="18895"/>
    <cellStyle name="Note 7 6" xfId="5613"/>
    <cellStyle name="Note 7 6 2" xfId="16901"/>
    <cellStyle name="Note 7 7" xfId="14907"/>
    <cellStyle name="Note 7 8" xfId="13591"/>
    <cellStyle name="Note 7 9" xfId="24195"/>
    <cellStyle name="Note 70" xfId="3380"/>
    <cellStyle name="Note 70 2" xfId="4614"/>
    <cellStyle name="Note 70 2 2" xfId="12593"/>
    <cellStyle name="Note 70 2 2 2" xfId="23881"/>
    <cellStyle name="Note 70 2 3" xfId="10599"/>
    <cellStyle name="Note 70 2 3 2" xfId="21887"/>
    <cellStyle name="Note 70 2 4" xfId="8605"/>
    <cellStyle name="Note 70 2 4 2" xfId="19893"/>
    <cellStyle name="Note 70 2 5" xfId="6611"/>
    <cellStyle name="Note 70 2 5 2" xfId="17899"/>
    <cellStyle name="Note 70 2 6" xfId="15905"/>
    <cellStyle name="Note 70 3" xfId="11596"/>
    <cellStyle name="Note 70 3 2" xfId="22884"/>
    <cellStyle name="Note 70 4" xfId="9602"/>
    <cellStyle name="Note 70 4 2" xfId="20890"/>
    <cellStyle name="Note 70 5" xfId="7608"/>
    <cellStyle name="Note 70 5 2" xfId="18896"/>
    <cellStyle name="Note 70 6" xfId="5614"/>
    <cellStyle name="Note 70 6 2" xfId="16902"/>
    <cellStyle name="Note 70 7" xfId="14908"/>
    <cellStyle name="Note 70 8" xfId="13592"/>
    <cellStyle name="Note 71" xfId="3381"/>
    <cellStyle name="Note 71 2" xfId="4615"/>
    <cellStyle name="Note 71 2 2" xfId="12594"/>
    <cellStyle name="Note 71 2 2 2" xfId="23882"/>
    <cellStyle name="Note 71 2 3" xfId="10600"/>
    <cellStyle name="Note 71 2 3 2" xfId="21888"/>
    <cellStyle name="Note 71 2 4" xfId="8606"/>
    <cellStyle name="Note 71 2 4 2" xfId="19894"/>
    <cellStyle name="Note 71 2 5" xfId="6612"/>
    <cellStyle name="Note 71 2 5 2" xfId="17900"/>
    <cellStyle name="Note 71 2 6" xfId="15906"/>
    <cellStyle name="Note 71 3" xfId="11597"/>
    <cellStyle name="Note 71 3 2" xfId="22885"/>
    <cellStyle name="Note 71 4" xfId="9603"/>
    <cellStyle name="Note 71 4 2" xfId="20891"/>
    <cellStyle name="Note 71 5" xfId="7609"/>
    <cellStyle name="Note 71 5 2" xfId="18897"/>
    <cellStyle name="Note 71 6" xfId="5615"/>
    <cellStyle name="Note 71 6 2" xfId="16903"/>
    <cellStyle name="Note 71 7" xfId="14909"/>
    <cellStyle name="Note 71 8" xfId="13593"/>
    <cellStyle name="Note 72" xfId="3382"/>
    <cellStyle name="Note 72 2" xfId="4616"/>
    <cellStyle name="Note 72 2 2" xfId="12595"/>
    <cellStyle name="Note 72 2 2 2" xfId="23883"/>
    <cellStyle name="Note 72 2 3" xfId="10601"/>
    <cellStyle name="Note 72 2 3 2" xfId="21889"/>
    <cellStyle name="Note 72 2 4" xfId="8607"/>
    <cellStyle name="Note 72 2 4 2" xfId="19895"/>
    <cellStyle name="Note 72 2 5" xfId="6613"/>
    <cellStyle name="Note 72 2 5 2" xfId="17901"/>
    <cellStyle name="Note 72 2 6" xfId="15907"/>
    <cellStyle name="Note 72 3" xfId="11598"/>
    <cellStyle name="Note 72 3 2" xfId="22886"/>
    <cellStyle name="Note 72 4" xfId="9604"/>
    <cellStyle name="Note 72 4 2" xfId="20892"/>
    <cellStyle name="Note 72 5" xfId="7610"/>
    <cellStyle name="Note 72 5 2" xfId="18898"/>
    <cellStyle name="Note 72 6" xfId="5616"/>
    <cellStyle name="Note 72 6 2" xfId="16904"/>
    <cellStyle name="Note 72 7" xfId="14910"/>
    <cellStyle name="Note 72 8" xfId="13594"/>
    <cellStyle name="Note 8" xfId="3383"/>
    <cellStyle name="Note 8 10" xfId="24758"/>
    <cellStyle name="Note 8 11" xfId="25080"/>
    <cellStyle name="Note 8 2" xfId="4617"/>
    <cellStyle name="Note 8 2 2" xfId="12596"/>
    <cellStyle name="Note 8 2 2 2" xfId="23884"/>
    <cellStyle name="Note 8 2 3" xfId="10602"/>
    <cellStyle name="Note 8 2 3 2" xfId="21890"/>
    <cellStyle name="Note 8 2 4" xfId="8608"/>
    <cellStyle name="Note 8 2 4 2" xfId="19896"/>
    <cellStyle name="Note 8 2 5" xfId="6614"/>
    <cellStyle name="Note 8 2 5 2" xfId="17902"/>
    <cellStyle name="Note 8 2 6" xfId="15908"/>
    <cellStyle name="Note 8 2 7" xfId="24462"/>
    <cellStyle name="Note 8 2 8" xfId="24906"/>
    <cellStyle name="Note 8 2 9" xfId="25268"/>
    <cellStyle name="Note 8 3" xfId="11599"/>
    <cellStyle name="Note 8 3 2" xfId="22887"/>
    <cellStyle name="Note 8 4" xfId="9605"/>
    <cellStyle name="Note 8 4 2" xfId="20893"/>
    <cellStyle name="Note 8 5" xfId="7611"/>
    <cellStyle name="Note 8 5 2" xfId="18899"/>
    <cellStyle name="Note 8 6" xfId="5617"/>
    <cellStyle name="Note 8 6 2" xfId="16905"/>
    <cellStyle name="Note 8 7" xfId="14911"/>
    <cellStyle name="Note 8 8" xfId="13595"/>
    <cellStyle name="Note 8 9" xfId="24196"/>
    <cellStyle name="Note 9" xfId="3384"/>
    <cellStyle name="Note 9 10" xfId="24759"/>
    <cellStyle name="Note 9 11" xfId="25081"/>
    <cellStyle name="Note 9 2" xfId="4618"/>
    <cellStyle name="Note 9 2 2" xfId="12597"/>
    <cellStyle name="Note 9 2 2 2" xfId="23885"/>
    <cellStyle name="Note 9 2 3" xfId="10603"/>
    <cellStyle name="Note 9 2 3 2" xfId="21891"/>
    <cellStyle name="Note 9 2 4" xfId="8609"/>
    <cellStyle name="Note 9 2 4 2" xfId="19897"/>
    <cellStyle name="Note 9 2 5" xfId="6615"/>
    <cellStyle name="Note 9 2 5 2" xfId="17903"/>
    <cellStyle name="Note 9 2 6" xfId="15909"/>
    <cellStyle name="Note 9 2 7" xfId="24463"/>
    <cellStyle name="Note 9 2 8" xfId="24907"/>
    <cellStyle name="Note 9 2 9" xfId="25269"/>
    <cellStyle name="Note 9 3" xfId="11600"/>
    <cellStyle name="Note 9 3 2" xfId="22888"/>
    <cellStyle name="Note 9 4" xfId="9606"/>
    <cellStyle name="Note 9 4 2" xfId="20894"/>
    <cellStyle name="Note 9 5" xfId="7612"/>
    <cellStyle name="Note 9 5 2" xfId="18900"/>
    <cellStyle name="Note 9 6" xfId="5618"/>
    <cellStyle name="Note 9 6 2" xfId="16906"/>
    <cellStyle name="Note 9 7" xfId="14912"/>
    <cellStyle name="Note 9 8" xfId="13596"/>
    <cellStyle name="Note 9 9" xfId="24197"/>
    <cellStyle name="Number" xfId="62"/>
    <cellStyle name="Number 10" xfId="24416"/>
    <cellStyle name="number 11" xfId="23923"/>
    <cellStyle name="number 12" xfId="24248"/>
    <cellStyle name="number 13" xfId="24529"/>
    <cellStyle name="number 14" xfId="24518"/>
    <cellStyle name="number 15" xfId="24522"/>
    <cellStyle name="number 16" xfId="24184"/>
    <cellStyle name="number 17" xfId="24532"/>
    <cellStyle name="number 18" xfId="24521"/>
    <cellStyle name="number 19" xfId="24523"/>
    <cellStyle name="number 2" xfId="24199"/>
    <cellStyle name="number 20" xfId="24542"/>
    <cellStyle name="number 21" xfId="24065"/>
    <cellStyle name="number 22" xfId="24551"/>
    <cellStyle name="number 23" xfId="24770"/>
    <cellStyle name="number 24" xfId="24671"/>
    <cellStyle name="number 25" xfId="24779"/>
    <cellStyle name="number 26" xfId="24860"/>
    <cellStyle name="number 27" xfId="24936"/>
    <cellStyle name="number 28" xfId="24931"/>
    <cellStyle name="number 29" xfId="24764"/>
    <cellStyle name="number 3" xfId="24200"/>
    <cellStyle name="number 30" xfId="24917"/>
    <cellStyle name="number 31" xfId="24940"/>
    <cellStyle name="number 32" xfId="24704"/>
    <cellStyle name="number 33" xfId="24670"/>
    <cellStyle name="number 34" xfId="24555"/>
    <cellStyle name="number 35" xfId="24945"/>
    <cellStyle name="Number 4" xfId="24198"/>
    <cellStyle name="Number 5" xfId="24311"/>
    <cellStyle name="Number 6" xfId="24309"/>
    <cellStyle name="Number 7" xfId="24310"/>
    <cellStyle name="Number 8" xfId="24464"/>
    <cellStyle name="Number 9" xfId="24394"/>
    <cellStyle name="Numbers" xfId="578"/>
    <cellStyle name="Numbers - Bold" xfId="579"/>
    <cellStyle name="Numbers - Bold 2" xfId="24201"/>
    <cellStyle name="Output 10" xfId="3385"/>
    <cellStyle name="Output 11" xfId="3386"/>
    <cellStyle name="Output 12" xfId="3387"/>
    <cellStyle name="Output 13" xfId="3388"/>
    <cellStyle name="Output 14" xfId="3389"/>
    <cellStyle name="Output 15" xfId="3390"/>
    <cellStyle name="Output 16" xfId="3391"/>
    <cellStyle name="Output 17" xfId="3392"/>
    <cellStyle name="Output 18" xfId="3393"/>
    <cellStyle name="Output 19" xfId="3394"/>
    <cellStyle name="Output 2" xfId="3395"/>
    <cellStyle name="Output 2 2" xfId="24203"/>
    <cellStyle name="Output 2 2 2" xfId="24696"/>
    <cellStyle name="Output 2 2 2 2" xfId="25348"/>
    <cellStyle name="Output 2 2 2 3" xfId="25655"/>
    <cellStyle name="Output 2 2 3" xfId="25083"/>
    <cellStyle name="Output 2 2 3 2" xfId="25416"/>
    <cellStyle name="Output 2 2 3 3" xfId="25683"/>
    <cellStyle name="Output 2 2 4" xfId="25364"/>
    <cellStyle name="Output 2 2 5" xfId="25570"/>
    <cellStyle name="Output 2 3" xfId="24202"/>
    <cellStyle name="Output 2 3 2" xfId="25453"/>
    <cellStyle name="Output 2 3 3" xfId="25569"/>
    <cellStyle name="Output 2 4" xfId="24697"/>
    <cellStyle name="Output 2 4 2" xfId="25449"/>
    <cellStyle name="Output 2 4 3" xfId="25656"/>
    <cellStyle name="Output 2 5" xfId="25082"/>
    <cellStyle name="Output 2 5 2" xfId="25315"/>
    <cellStyle name="Output 2 5 3" xfId="25682"/>
    <cellStyle name="Output 20" xfId="3396"/>
    <cellStyle name="Output 21" xfId="3397"/>
    <cellStyle name="Output 22" xfId="3398"/>
    <cellStyle name="Output 23" xfId="3399"/>
    <cellStyle name="Output 24" xfId="3400"/>
    <cellStyle name="Output 25" xfId="3401"/>
    <cellStyle name="Output 26" xfId="3402"/>
    <cellStyle name="Output 27" xfId="3403"/>
    <cellStyle name="Output 28" xfId="3404"/>
    <cellStyle name="Output 29" xfId="3405"/>
    <cellStyle name="Output 3" xfId="3406"/>
    <cellStyle name="Output 3 2" xfId="24205"/>
    <cellStyle name="Output 3 2 2" xfId="24694"/>
    <cellStyle name="Output 3 2 2 2" xfId="25331"/>
    <cellStyle name="Output 3 2 2 3" xfId="25653"/>
    <cellStyle name="Output 3 2 3" xfId="25085"/>
    <cellStyle name="Output 3 2 3 2" xfId="25430"/>
    <cellStyle name="Output 3 2 3 3" xfId="25685"/>
    <cellStyle name="Output 3 2 4" xfId="25291"/>
    <cellStyle name="Output 3 2 5" xfId="25572"/>
    <cellStyle name="Output 3 3" xfId="24204"/>
    <cellStyle name="Output 3 3 2" xfId="25301"/>
    <cellStyle name="Output 3 3 3" xfId="25571"/>
    <cellStyle name="Output 3 4" xfId="24695"/>
    <cellStyle name="Output 3 4 2" xfId="25432"/>
    <cellStyle name="Output 3 4 3" xfId="25654"/>
    <cellStyle name="Output 3 5" xfId="25084"/>
    <cellStyle name="Output 3 5 2" xfId="25329"/>
    <cellStyle name="Output 3 5 3" xfId="25684"/>
    <cellStyle name="Output 30" xfId="3407"/>
    <cellStyle name="Output 31" xfId="3408"/>
    <cellStyle name="Output 32" xfId="3409"/>
    <cellStyle name="Output 33" xfId="3410"/>
    <cellStyle name="Output 34" xfId="3411"/>
    <cellStyle name="Output 35" xfId="3412"/>
    <cellStyle name="Output 36" xfId="3413"/>
    <cellStyle name="Output 37" xfId="3414"/>
    <cellStyle name="Output 38" xfId="3415"/>
    <cellStyle name="Output 39" xfId="3416"/>
    <cellStyle name="Output 4" xfId="3417"/>
    <cellStyle name="Output 4 2" xfId="24206"/>
    <cellStyle name="Output 4 2 2" xfId="25373"/>
    <cellStyle name="Output 4 2 3" xfId="25573"/>
    <cellStyle name="Output 4 3" xfId="24693"/>
    <cellStyle name="Output 4 3 2" xfId="25417"/>
    <cellStyle name="Output 4 3 3" xfId="25652"/>
    <cellStyle name="Output 4 4" xfId="25086"/>
    <cellStyle name="Output 4 4 2" xfId="25346"/>
    <cellStyle name="Output 4 4 3" xfId="25686"/>
    <cellStyle name="Output 40" xfId="3418"/>
    <cellStyle name="Output 41" xfId="3419"/>
    <cellStyle name="Output 42" xfId="3420"/>
    <cellStyle name="Output 43" xfId="3421"/>
    <cellStyle name="Output 44" xfId="3422"/>
    <cellStyle name="Output 45" xfId="3423"/>
    <cellStyle name="Output 46" xfId="3424"/>
    <cellStyle name="Output 47" xfId="3425"/>
    <cellStyle name="Output 48" xfId="3426"/>
    <cellStyle name="Output 49" xfId="3427"/>
    <cellStyle name="Output 5" xfId="3428"/>
    <cellStyle name="Output 5 2" xfId="24207"/>
    <cellStyle name="Output 5 2 2" xfId="25386"/>
    <cellStyle name="Output 5 2 3" xfId="25574"/>
    <cellStyle name="Output 5 3" xfId="24692"/>
    <cellStyle name="Output 5 3 2" xfId="25316"/>
    <cellStyle name="Output 5 3 3" xfId="25651"/>
    <cellStyle name="Output 5 4" xfId="25087"/>
    <cellStyle name="Output 5 4 2" xfId="25447"/>
    <cellStyle name="Output 5 4 3" xfId="25687"/>
    <cellStyle name="Output 50" xfId="3429"/>
    <cellStyle name="Output 51" xfId="3430"/>
    <cellStyle name="Output 52" xfId="3431"/>
    <cellStyle name="Output 53" xfId="3432"/>
    <cellStyle name="Output 54" xfId="3433"/>
    <cellStyle name="Output 55" xfId="3434"/>
    <cellStyle name="Output 56" xfId="3435"/>
    <cellStyle name="Output 57" xfId="3436"/>
    <cellStyle name="Output 58" xfId="3437"/>
    <cellStyle name="Output 59" xfId="3438"/>
    <cellStyle name="Output 6" xfId="3439"/>
    <cellStyle name="Output 60" xfId="3440"/>
    <cellStyle name="Output 61" xfId="3441"/>
    <cellStyle name="Output 62" xfId="3442"/>
    <cellStyle name="Output 63" xfId="3443"/>
    <cellStyle name="Output 64" xfId="3444"/>
    <cellStyle name="Output 65" xfId="3445"/>
    <cellStyle name="Output 66" xfId="3446"/>
    <cellStyle name="Output 67" xfId="3447"/>
    <cellStyle name="Output 68" xfId="3448"/>
    <cellStyle name="Output 69" xfId="3449"/>
    <cellStyle name="Output 7" xfId="3450"/>
    <cellStyle name="Output 70" xfId="3451"/>
    <cellStyle name="Output 71" xfId="3452"/>
    <cellStyle name="Output 72" xfId="3453"/>
    <cellStyle name="Output 8" xfId="3454"/>
    <cellStyle name="Output 9" xfId="3455"/>
    <cellStyle name="Output Amounts" xfId="580"/>
    <cellStyle name="Output Amounts 2" xfId="3456"/>
    <cellStyle name="Output Amounts 2 2" xfId="24208"/>
    <cellStyle name="Output Amounts 3" xfId="13903"/>
    <cellStyle name="Output Column Headings" xfId="3457"/>
    <cellStyle name="Output Line Items" xfId="581"/>
    <cellStyle name="Output Line Items 2" xfId="3458"/>
    <cellStyle name="Output Line Items 3" xfId="13904"/>
    <cellStyle name="Output Report Heading" xfId="3459"/>
    <cellStyle name="Output Report Title" xfId="3460"/>
    <cellStyle name="Page Heading Large" xfId="582"/>
    <cellStyle name="Page Heading Small" xfId="583"/>
    <cellStyle name="Password" xfId="63"/>
    <cellStyle name="Password 2" xfId="24525"/>
    <cellStyle name="pct_sub" xfId="584"/>
    <cellStyle name="Percen - Style1" xfId="64"/>
    <cellStyle name="Percen - Style2" xfId="65"/>
    <cellStyle name="Percent" xfId="25795" builtinId="5"/>
    <cellStyle name="Percent (0)" xfId="585"/>
    <cellStyle name="Percent [1]" xfId="586"/>
    <cellStyle name="Percent [2]" xfId="66"/>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86"/>
    <cellStyle name="Percent 19" xfId="287"/>
    <cellStyle name="Percent 2" xfId="67"/>
    <cellStyle name="Percent 2 10" xfId="12601"/>
    <cellStyle name="Percent 2 11" xfId="24210"/>
    <cellStyle name="Percent 2 12" xfId="25750"/>
    <cellStyle name="Percent 2 2" xfId="213"/>
    <cellStyle name="Percent 2 2 2" xfId="467"/>
    <cellStyle name="Percent 2 2 2 2" xfId="13831"/>
    <cellStyle name="Percent 2 2 3" xfId="663"/>
    <cellStyle name="Percent 2 2 4" xfId="23897"/>
    <cellStyle name="Percent 2 3" xfId="358"/>
    <cellStyle name="Percent 2 3 2" xfId="441"/>
    <cellStyle name="Percent 2 3 2 2" xfId="527"/>
    <cellStyle name="Percent 2 3 2 2 2" xfId="13890"/>
    <cellStyle name="Percent 2 3 2 3" xfId="13813"/>
    <cellStyle name="Percent 2 3 3" xfId="490"/>
    <cellStyle name="Percent 2 3 3 2" xfId="13853"/>
    <cellStyle name="Percent 2 3 4" xfId="13768"/>
    <cellStyle name="Percent 2 3 5" xfId="24211"/>
    <cellStyle name="Percent 2 4" xfId="410"/>
    <cellStyle name="Percent 2 4 2" xfId="510"/>
    <cellStyle name="Percent 2 4 2 2" xfId="13873"/>
    <cellStyle name="Percent 2 4 3" xfId="13792"/>
    <cellStyle name="Percent 2 4 4" xfId="24212"/>
    <cellStyle name="Percent 2 5" xfId="466"/>
    <cellStyle name="Percent 2 5 2" xfId="13830"/>
    <cellStyle name="Percent 2 5 3" xfId="24213"/>
    <cellStyle name="Percent 2 6" xfId="475"/>
    <cellStyle name="Percent 2 6 2" xfId="13838"/>
    <cellStyle name="Percent 2 6 3" xfId="24214"/>
    <cellStyle name="Percent 2 7" xfId="662"/>
    <cellStyle name="Percent 2 7 2" xfId="13914"/>
    <cellStyle name="Percent 2 7 3" xfId="24215"/>
    <cellStyle name="Percent 2 8" xfId="3461"/>
    <cellStyle name="Percent 2 8 2" xfId="24216"/>
    <cellStyle name="Percent 2 9" xfId="13619"/>
    <cellStyle name="Percent 20" xfId="296"/>
    <cellStyle name="Percent 21" xfId="297"/>
    <cellStyle name="Percent 22" xfId="298"/>
    <cellStyle name="Percent 23" xfId="299"/>
    <cellStyle name="Percent 24" xfId="304"/>
    <cellStyle name="Percent 25" xfId="305"/>
    <cellStyle name="Percent 26" xfId="325"/>
    <cellStyle name="Percent 27" xfId="326"/>
    <cellStyle name="Percent 28" xfId="327"/>
    <cellStyle name="Percent 29" xfId="328"/>
    <cellStyle name="Percent 3" xfId="68"/>
    <cellStyle name="Percent 3 10" xfId="25088"/>
    <cellStyle name="Percent 3 2" xfId="171"/>
    <cellStyle name="Percent 3 2 2" xfId="362"/>
    <cellStyle name="Percent 3 2 2 2" xfId="444"/>
    <cellStyle name="Percent 3 2 2 2 2" xfId="530"/>
    <cellStyle name="Percent 3 2 2 2 2 2" xfId="13893"/>
    <cellStyle name="Percent 3 2 2 2 3" xfId="13816"/>
    <cellStyle name="Percent 3 2 2 3" xfId="493"/>
    <cellStyle name="Percent 3 2 2 3 2" xfId="13856"/>
    <cellStyle name="Percent 3 2 2 4" xfId="13772"/>
    <cellStyle name="Percent 3 2 2 5" xfId="24468"/>
    <cellStyle name="Percent 3 2 2 6" xfId="24910"/>
    <cellStyle name="Percent 3 2 2 7" xfId="25271"/>
    <cellStyle name="Percent 3 2 3" xfId="424"/>
    <cellStyle name="Percent 3 2 3 2" xfId="515"/>
    <cellStyle name="Percent 3 2 3 2 2" xfId="13878"/>
    <cellStyle name="Percent 3 2 3 3" xfId="13801"/>
    <cellStyle name="Percent 3 2 4" xfId="478"/>
    <cellStyle name="Percent 3 2 4 2" xfId="13841"/>
    <cellStyle name="Percent 3 2 5" xfId="13686"/>
    <cellStyle name="Percent 3 2 6" xfId="24218"/>
    <cellStyle name="Percent 3 2 7" xfId="24763"/>
    <cellStyle name="Percent 3 2 8" xfId="25089"/>
    <cellStyle name="Percent 3 3" xfId="214"/>
    <cellStyle name="Percent 3 3 2" xfId="368"/>
    <cellStyle name="Percent 3 3 2 2" xfId="450"/>
    <cellStyle name="Percent 3 3 2 2 2" xfId="536"/>
    <cellStyle name="Percent 3 3 2 2 2 2" xfId="13899"/>
    <cellStyle name="Percent 3 3 2 2 3" xfId="13822"/>
    <cellStyle name="Percent 3 3 2 3" xfId="499"/>
    <cellStyle name="Percent 3 3 2 3 2" xfId="13862"/>
    <cellStyle name="Percent 3 3 2 4" xfId="13778"/>
    <cellStyle name="Percent 3 3 3" xfId="431"/>
    <cellStyle name="Percent 3 3 3 2" xfId="521"/>
    <cellStyle name="Percent 3 3 3 2 2" xfId="13884"/>
    <cellStyle name="Percent 3 3 3 3" xfId="13807"/>
    <cellStyle name="Percent 3 3 4" xfId="484"/>
    <cellStyle name="Percent 3 3 4 2" xfId="13847"/>
    <cellStyle name="Percent 3 3 5" xfId="13704"/>
    <cellStyle name="Percent 3 3 6" xfId="24467"/>
    <cellStyle name="Percent 3 3 7" xfId="24909"/>
    <cellStyle name="Percent 3 3 8" xfId="25270"/>
    <cellStyle name="Percent 3 4" xfId="3621"/>
    <cellStyle name="Percent 3 5" xfId="13620"/>
    <cellStyle name="Percent 3 6" xfId="13598"/>
    <cellStyle name="Percent 3 7" xfId="23907"/>
    <cellStyle name="Percent 3 8" xfId="24217"/>
    <cellStyle name="Percent 3 9" xfId="24762"/>
    <cellStyle name="Percent 30" xfId="329"/>
    <cellStyle name="Percent 31" xfId="330"/>
    <cellStyle name="Percent 32" xfId="331"/>
    <cellStyle name="Percent 33" xfId="332"/>
    <cellStyle name="Percent 34" xfId="344"/>
    <cellStyle name="Percent 35" xfId="345"/>
    <cellStyle name="Percent 36" xfId="346"/>
    <cellStyle name="Percent 37" xfId="347"/>
    <cellStyle name="Percent 38" xfId="396"/>
    <cellStyle name="Percent 39" xfId="372"/>
    <cellStyle name="Percent 39 2" xfId="502"/>
    <cellStyle name="Percent 39 2 2" xfId="13865"/>
    <cellStyle name="Percent 39 3" xfId="13781"/>
    <cellStyle name="Percent 4" xfId="69"/>
    <cellStyle name="Percent 4 2" xfId="24304"/>
    <cellStyle name="Percent 4 3" xfId="24219"/>
    <cellStyle name="Percent 4 4" xfId="25794"/>
    <cellStyle name="Percent 40" xfId="418"/>
    <cellStyle name="Percent 40 2" xfId="511"/>
    <cellStyle name="Percent 40 2 2" xfId="13874"/>
    <cellStyle name="Percent 40 3" xfId="13797"/>
    <cellStyle name="Percent 41" xfId="432"/>
    <cellStyle name="Percent 41 2" xfId="522"/>
    <cellStyle name="Percent 41 2 2" xfId="13885"/>
    <cellStyle name="Percent 41 3" xfId="13808"/>
    <cellStyle name="Percent 42" xfId="453"/>
    <cellStyle name="Percent 42 2" xfId="539"/>
    <cellStyle name="Percent 42 2 2" xfId="13902"/>
    <cellStyle name="Percent 42 3" xfId="13825"/>
    <cellStyle name="Percent 43" xfId="13602"/>
    <cellStyle name="Percent 44" xfId="23887"/>
    <cellStyle name="Percent 45" xfId="23890"/>
    <cellStyle name="Percent 46" xfId="23894"/>
    <cellStyle name="Percent 47" xfId="4"/>
    <cellStyle name="Percent 48" xfId="25279"/>
    <cellStyle name="Percent 49" xfId="25292"/>
    <cellStyle name="Percent 5" xfId="70"/>
    <cellStyle name="Percent 5 2" xfId="24292"/>
    <cellStyle name="Percent 50" xfId="25458"/>
    <cellStyle name="Percent 51" xfId="25751"/>
    <cellStyle name="Percent 52" xfId="25758"/>
    <cellStyle name="Percent 53" xfId="25760"/>
    <cellStyle name="Percent 54" xfId="25764"/>
    <cellStyle name="Percent 55" xfId="25765"/>
    <cellStyle name="Percent 6" xfId="215"/>
    <cellStyle name="Percent 6 2" xfId="664"/>
    <cellStyle name="Percent 6 2 2" xfId="24480"/>
    <cellStyle name="Percent 6 2 3" xfId="24912"/>
    <cellStyle name="Percent 6 2 4" xfId="25272"/>
    <cellStyle name="Percent 6 3" xfId="24294"/>
    <cellStyle name="Percent 6 4" xfId="24775"/>
    <cellStyle name="Percent 6 5" xfId="25144"/>
    <cellStyle name="Percent 7" xfId="216"/>
    <cellStyle name="Percent 8" xfId="217"/>
    <cellStyle name="Percent 9" xfId="218"/>
    <cellStyle name="Percent Hard" xfId="587"/>
    <cellStyle name="Percent Hard 2" xfId="24220"/>
    <cellStyle name="Percent(0)" xfId="71"/>
    <cellStyle name="Percentage" xfId="588"/>
    <cellStyle name="Perlong" xfId="589"/>
    <cellStyle name="Private" xfId="590"/>
    <cellStyle name="Private 2" xfId="24780"/>
    <cellStyle name="Private1" xfId="591"/>
    <cellStyle name="Private1 2" xfId="24221"/>
    <cellStyle name="r" xfId="592"/>
    <cellStyle name="r 2" xfId="24222"/>
    <cellStyle name="r_10_21 A&amp;G Review" xfId="593"/>
    <cellStyle name="r_10_21 A&amp;G Review 2" xfId="24223"/>
    <cellStyle name="r_10_21 A&amp;G Review Raul" xfId="594"/>
    <cellStyle name="r_10_21 A&amp;G Review Raul 2" xfId="24224"/>
    <cellStyle name="r_10-17" xfId="595"/>
    <cellStyle name="r_10-17 2" xfId="24225"/>
    <cellStyle name="r_2003 Reduction &amp; Sensitivities" xfId="596"/>
    <cellStyle name="r_2003 Reduction &amp; Sensitivities 2" xfId="24226"/>
    <cellStyle name="r_2003BudgetVariances" xfId="597"/>
    <cellStyle name="r_2003BudgetVariances 2" xfId="24227"/>
    <cellStyle name="r_Aug 02 FOR" xfId="598"/>
    <cellStyle name="r_Aug 02 FOR 2" xfId="24228"/>
    <cellStyle name="r_forecastTools6" xfId="599"/>
    <cellStyle name="r_forecastTools6 2" xfId="24229"/>
    <cellStyle name="r_Interest model" xfId="600"/>
    <cellStyle name="r_Interest model 2" xfId="24230"/>
    <cellStyle name="r_Interest model_PGE FS 1999 - 2006 10-23 V1 - for budget pres" xfId="601"/>
    <cellStyle name="r_Interest model_PGE FS 1999 - 2006 10-23 V1 - for budget pres 2" xfId="24231"/>
    <cellStyle name="r_Mary Cilia Model with Current Projections (LINKED)" xfId="602"/>
    <cellStyle name="r_Mary Cilia Model with Current Projections (LINKED) 2" xfId="24232"/>
    <cellStyle name="r_OpCo and Prelim Budget-2003 Final" xfId="603"/>
    <cellStyle name="r_OpCo and Prelim Budget-2003 Final 2" xfId="24233"/>
    <cellStyle name="r_OpCo and Prelim Budget-2003 Final_PGE FS 1999 - 2006 10-23 V1 - for budget pres" xfId="604"/>
    <cellStyle name="r_OpCo and Prelim Budget-2003 Final_PGE FS 1999 - 2006 10-23 V1 - for budget pres 2" xfId="24234"/>
    <cellStyle name="r_PGE FS 1999 - 2006 10-23 V1 - for budget pres" xfId="605"/>
    <cellStyle name="r_PGE FS 1999 - 2006 10-23 V1 - for budget pres 2" xfId="24235"/>
    <cellStyle name="r_PGE OpCo Forecast for Budget Presentation" xfId="606"/>
    <cellStyle name="r_PGE OpCo Forecast for Budget Presentation 2" xfId="24236"/>
    <cellStyle name="r_PGG Draft Cons Forecast 4-14 Revised" xfId="607"/>
    <cellStyle name="r_PGG Draft Cons Forecast 4-14 Revised 2" xfId="24237"/>
    <cellStyle name="r_PGG Draft Cons Forecast 4-14 Revised_PGE FS 1999 - 2006 10-23 V1 - for budget pres" xfId="608"/>
    <cellStyle name="r_PGG Draft Cons Forecast 4-14 Revised_PGE FS 1999 - 2006 10-23 V1 - for budget pres 2" xfId="24238"/>
    <cellStyle name="r_Reg Assets &amp; Liab" xfId="609"/>
    <cellStyle name="r_Reg Assets &amp; Liab 2" xfId="24239"/>
    <cellStyle name="r_Summary" xfId="610"/>
    <cellStyle name="r_Summary - OpCo and Prelim Budget-2003 Final" xfId="611"/>
    <cellStyle name="r_Summary - OpCo and Prelim Budget-2003 Final 2" xfId="24241"/>
    <cellStyle name="r_Summary - OpCo and Prelim Budget-2003 Final_PGE FS 1999 - 2006 10-23 V1 - for budget pres" xfId="612"/>
    <cellStyle name="r_Summary - OpCo and Prelim Budget-2003 Final_PGE FS 1999 - 2006 10-23 V1 - for budget pres 2" xfId="24242"/>
    <cellStyle name="r_Summary 10" xfId="24465"/>
    <cellStyle name="r_Summary 11" xfId="24393"/>
    <cellStyle name="r_Summary 12" xfId="24418"/>
    <cellStyle name="r_Summary 13" xfId="24395"/>
    <cellStyle name="r_Summary 14" xfId="24475"/>
    <cellStyle name="r_Summary 15" xfId="24396"/>
    <cellStyle name="r_Summary 16" xfId="24415"/>
    <cellStyle name="r_Summary 17" xfId="24397"/>
    <cellStyle name="r_Summary 18" xfId="24414"/>
    <cellStyle name="r_Summary 19" xfId="24499"/>
    <cellStyle name="r_Summary 2" xfId="24240"/>
    <cellStyle name="r_Summary 20" xfId="24413"/>
    <cellStyle name="r_Summary 21" xfId="24398"/>
    <cellStyle name="r_Summary 22" xfId="24412"/>
    <cellStyle name="r_Summary 23" xfId="24505"/>
    <cellStyle name="r_Summary 24" xfId="24410"/>
    <cellStyle name="r_Summary 25" xfId="24492"/>
    <cellStyle name="r_Summary 26" xfId="24473"/>
    <cellStyle name="r_Summary 3" xfId="24312"/>
    <cellStyle name="r_Summary 4" xfId="24308"/>
    <cellStyle name="r_Summary 5" xfId="24313"/>
    <cellStyle name="r_Summary 6" xfId="24472"/>
    <cellStyle name="r_Summary 7" xfId="24486"/>
    <cellStyle name="r_Summary 8" xfId="24469"/>
    <cellStyle name="r_Summary 9" xfId="24504"/>
    <cellStyle name="r_Summary_PGE FS 1999 - 2006 10-23 V1 - for budget pres" xfId="613"/>
    <cellStyle name="r_Summary_PGE FS 1999 - 2006 10-23 V1 - for budget pres 2" xfId="24243"/>
    <cellStyle name="ReportTitlePrompt" xfId="3462"/>
    <cellStyle name="ReportTitleValue" xfId="3463"/>
    <cellStyle name="Right" xfId="614"/>
    <cellStyle name="Right 2" xfId="24244"/>
    <cellStyle name="RowAcctAbovePrompt" xfId="3464"/>
    <cellStyle name="RowAcctSOBAbovePrompt" xfId="3465"/>
    <cellStyle name="RowAcctSOBValue" xfId="3466"/>
    <cellStyle name="RowAcctValue" xfId="3467"/>
    <cellStyle name="RowAttrAbovePrompt" xfId="3468"/>
    <cellStyle name="RowAttrValue" xfId="3469"/>
    <cellStyle name="RowColSetAbovePrompt" xfId="3470"/>
    <cellStyle name="RowColSetLeftPrompt" xfId="3471"/>
    <cellStyle name="RowColSetValue" xfId="3472"/>
    <cellStyle name="RowLeftPrompt" xfId="3473"/>
    <cellStyle name="SampleUsingFormatMask" xfId="3474"/>
    <cellStyle name="SampleWithNoFormatMask" xfId="3475"/>
    <cellStyle name="SAPBEXaggData" xfId="72"/>
    <cellStyle name="SAPBEXaggData 2" xfId="13621"/>
    <cellStyle name="SAPBEXaggData 2 2" xfId="25459"/>
    <cellStyle name="SAPBEXaggData 3" xfId="24686"/>
    <cellStyle name="SAPBEXaggData 3 2" xfId="25423"/>
    <cellStyle name="SAPBEXaggData 3 3" xfId="25649"/>
    <cellStyle name="SAPBEXaggData 4" xfId="25090"/>
    <cellStyle name="SAPBEXaggData 4 2" xfId="25284"/>
    <cellStyle name="SAPBEXaggData 4 3" xfId="25688"/>
    <cellStyle name="SAPBEXaggDataEmph" xfId="73"/>
    <cellStyle name="SAPBEXaggDataEmph 2" xfId="13622"/>
    <cellStyle name="SAPBEXaggDataEmph 2 2" xfId="25460"/>
    <cellStyle name="SAPBEXaggDataEmph 3" xfId="24685"/>
    <cellStyle name="SAPBEXaggDataEmph 3 2" xfId="25322"/>
    <cellStyle name="SAPBEXaggDataEmph 3 3" xfId="25648"/>
    <cellStyle name="SAPBEXaggDataEmph 4" xfId="25091"/>
    <cellStyle name="SAPBEXaggDataEmph 4 2" xfId="25367"/>
    <cellStyle name="SAPBEXaggDataEmph 4 3" xfId="25689"/>
    <cellStyle name="SAPBEXaggItem" xfId="74"/>
    <cellStyle name="SAPBEXaggItem 10" xfId="24684"/>
    <cellStyle name="SAPBEXaggItem 10 2" xfId="25409"/>
    <cellStyle name="SAPBEXaggItem 10 3" xfId="25647"/>
    <cellStyle name="SAPBEXaggItem 11" xfId="25092"/>
    <cellStyle name="SAPBEXaggItem 11 2" xfId="25381"/>
    <cellStyle name="SAPBEXaggItem 11 3" xfId="25690"/>
    <cellStyle name="SAPBEXaggItem 2" xfId="75"/>
    <cellStyle name="SAPBEXaggItem 2 2" xfId="13624"/>
    <cellStyle name="SAPBEXaggItem 2 2 2" xfId="25462"/>
    <cellStyle name="SAPBEXaggItem 3" xfId="219"/>
    <cellStyle name="SAPBEXaggItem 3 2" xfId="13705"/>
    <cellStyle name="SAPBEXaggItem 3 2 2" xfId="25519"/>
    <cellStyle name="SAPBEXaggItem 4" xfId="220"/>
    <cellStyle name="SAPBEXaggItem 4 2" xfId="13706"/>
    <cellStyle name="SAPBEXaggItem 4 2 2" xfId="25520"/>
    <cellStyle name="SAPBEXaggItem 5" xfId="221"/>
    <cellStyle name="SAPBEXaggItem 5 2" xfId="13707"/>
    <cellStyle name="SAPBEXaggItem 5 2 2" xfId="25521"/>
    <cellStyle name="SAPBEXaggItem 6" xfId="222"/>
    <cellStyle name="SAPBEXaggItem 6 2" xfId="13708"/>
    <cellStyle name="SAPBEXaggItem 6 2 2" xfId="25522"/>
    <cellStyle name="SAPBEXaggItem 7" xfId="223"/>
    <cellStyle name="SAPBEXaggItem 7 2" xfId="13709"/>
    <cellStyle name="SAPBEXaggItem 7 2 2" xfId="25523"/>
    <cellStyle name="SAPBEXaggItem 8" xfId="411"/>
    <cellStyle name="SAPBEXaggItem 8 2" xfId="13793"/>
    <cellStyle name="SAPBEXaggItem 8 2 2" xfId="25551"/>
    <cellStyle name="SAPBEXaggItem 9" xfId="13623"/>
    <cellStyle name="SAPBEXaggItem 9 2" xfId="25461"/>
    <cellStyle name="SAPBEXaggItem_Copy of xSAPtemp5457" xfId="224"/>
    <cellStyle name="SAPBEXaggItemX" xfId="76"/>
    <cellStyle name="SAPBEXaggItemX 2" xfId="13625"/>
    <cellStyle name="SAPBEXaggItemX 2 2" xfId="25463"/>
    <cellStyle name="SAPBEXaggItemX 3" xfId="24683"/>
    <cellStyle name="SAPBEXaggItemX 3 2" xfId="25307"/>
    <cellStyle name="SAPBEXaggItemX 3 3" xfId="25646"/>
    <cellStyle name="SAPBEXaggItemX 4" xfId="25093"/>
    <cellStyle name="SAPBEXaggItemX 4 2" xfId="25395"/>
    <cellStyle name="SAPBEXaggItemX 4 3" xfId="25691"/>
    <cellStyle name="SAPBEXchaText" xfId="6"/>
    <cellStyle name="SAPBEXchaText 2" xfId="77"/>
    <cellStyle name="SAPBEXchaText 2 2" xfId="459"/>
    <cellStyle name="SAPBEXchaText 2 2 2" xfId="13827"/>
    <cellStyle name="SAPBEXchaText 2 2 2 2" xfId="25377"/>
    <cellStyle name="SAPBEXchaText 2 3" xfId="13626"/>
    <cellStyle name="SAPBEXchaText 2 3 2" xfId="25464"/>
    <cellStyle name="SAPBEXchaText 3" xfId="78"/>
    <cellStyle name="SAPBEXchaText 3 2" xfId="225"/>
    <cellStyle name="SAPBEXchaText 3 2 2" xfId="13710"/>
    <cellStyle name="SAPBEXchaText 3 2 2 2" xfId="25524"/>
    <cellStyle name="SAPBEXchaText 4" xfId="226"/>
    <cellStyle name="SAPBEXchaText 4 2" xfId="13711"/>
    <cellStyle name="SAPBEXchaText 4 2 2" xfId="25525"/>
    <cellStyle name="SAPBEXchaText 5" xfId="227"/>
    <cellStyle name="SAPBEXchaText 5 2" xfId="13712"/>
    <cellStyle name="SAPBEXchaText 5 2 2" xfId="25526"/>
    <cellStyle name="SAPBEXchaText 6" xfId="228"/>
    <cellStyle name="SAPBEXchaText 6 2" xfId="13713"/>
    <cellStyle name="SAPBEXchaText 6 2 2" xfId="25527"/>
    <cellStyle name="SAPBEXchaText 7" xfId="229"/>
    <cellStyle name="SAPBEXchaText 7 2" xfId="485"/>
    <cellStyle name="SAPBEXchaText 7 2 2" xfId="13848"/>
    <cellStyle name="SAPBEXchaText 7 2 2 2" xfId="25378"/>
    <cellStyle name="SAPBEXchaText 7 2 3" xfId="25281"/>
    <cellStyle name="SAPBEXchaText 7 3" xfId="13714"/>
    <cellStyle name="SAPBEXchaText 7 3 2" xfId="25375"/>
    <cellStyle name="SAPBEXchaText_Copy of xSAPtemp5457" xfId="230"/>
    <cellStyle name="SAPBEXexcBad7" xfId="79"/>
    <cellStyle name="SAPBEXexcBad7 2" xfId="13627"/>
    <cellStyle name="SAPBEXexcBad7 2 2" xfId="25465"/>
    <cellStyle name="SAPBEXexcBad7 3" xfId="24682"/>
    <cellStyle name="SAPBEXexcBad7 3 2" xfId="25399"/>
    <cellStyle name="SAPBEXexcBad7 3 3" xfId="25645"/>
    <cellStyle name="SAPBEXexcBad7 4" xfId="25094"/>
    <cellStyle name="SAPBEXexcBad7 4 2" xfId="25304"/>
    <cellStyle name="SAPBEXexcBad7 4 3" xfId="25692"/>
    <cellStyle name="SAPBEXexcBad8" xfId="80"/>
    <cellStyle name="SAPBEXexcBad8 2" xfId="13628"/>
    <cellStyle name="SAPBEXexcBad8 2 2" xfId="25466"/>
    <cellStyle name="SAPBEXexcBad8 3" xfId="24681"/>
    <cellStyle name="SAPBEXexcBad8 3 2" xfId="25383"/>
    <cellStyle name="SAPBEXexcBad8 3 3" xfId="25644"/>
    <cellStyle name="SAPBEXexcBad8 4" xfId="25095"/>
    <cellStyle name="SAPBEXexcBad8 4 2" xfId="25407"/>
    <cellStyle name="SAPBEXexcBad8 4 3" xfId="25693"/>
    <cellStyle name="SAPBEXexcBad9" xfId="81"/>
    <cellStyle name="SAPBEXexcBad9 2" xfId="13629"/>
    <cellStyle name="SAPBEXexcBad9 2 2" xfId="25467"/>
    <cellStyle name="SAPBEXexcBad9 3" xfId="24680"/>
    <cellStyle name="SAPBEXexcBad9 3 2" xfId="25370"/>
    <cellStyle name="SAPBEXexcBad9 3 3" xfId="25643"/>
    <cellStyle name="SAPBEXexcBad9 4" xfId="25096"/>
    <cellStyle name="SAPBEXexcBad9 4 2" xfId="25320"/>
    <cellStyle name="SAPBEXexcBad9 4 3" xfId="25694"/>
    <cellStyle name="SAPBEXexcCritical4" xfId="82"/>
    <cellStyle name="SAPBEXexcCritical4 2" xfId="13630"/>
    <cellStyle name="SAPBEXexcCritical4 2 2" xfId="25468"/>
    <cellStyle name="SAPBEXexcCritical4 3" xfId="24679"/>
    <cellStyle name="SAPBEXexcCritical4 3 2" xfId="25288"/>
    <cellStyle name="SAPBEXexcCritical4 3 3" xfId="25642"/>
    <cellStyle name="SAPBEXexcCritical4 4" xfId="25097"/>
    <cellStyle name="SAPBEXexcCritical4 4 2" xfId="25419"/>
    <cellStyle name="SAPBEXexcCritical4 4 3" xfId="25695"/>
    <cellStyle name="SAPBEXexcCritical5" xfId="83"/>
    <cellStyle name="SAPBEXexcCritical5 2" xfId="13631"/>
    <cellStyle name="SAPBEXexcCritical5 2 2" xfId="25469"/>
    <cellStyle name="SAPBEXexcCritical5 3" xfId="24678"/>
    <cellStyle name="SAPBEXexcCritical5 3 2" xfId="25299"/>
    <cellStyle name="SAPBEXexcCritical5 3 3" xfId="25641"/>
    <cellStyle name="SAPBEXexcCritical5 4" xfId="25098"/>
    <cellStyle name="SAPBEXexcCritical5 4 2" xfId="25336"/>
    <cellStyle name="SAPBEXexcCritical5 4 3" xfId="25696"/>
    <cellStyle name="SAPBEXexcCritical6" xfId="84"/>
    <cellStyle name="SAPBEXexcCritical6 2" xfId="13632"/>
    <cellStyle name="SAPBEXexcCritical6 2 2" xfId="25470"/>
    <cellStyle name="SAPBEXexcCritical6 3" xfId="24677"/>
    <cellStyle name="SAPBEXexcCritical6 3 2" xfId="25362"/>
    <cellStyle name="SAPBEXexcCritical6 3 3" xfId="25640"/>
    <cellStyle name="SAPBEXexcCritical6 4" xfId="25099"/>
    <cellStyle name="SAPBEXexcCritical6 4 2" xfId="25438"/>
    <cellStyle name="SAPBEXexcCritical6 4 3" xfId="25697"/>
    <cellStyle name="SAPBEXexcGood1" xfId="85"/>
    <cellStyle name="SAPBEXexcGood1 2" xfId="13633"/>
    <cellStyle name="SAPBEXexcGood1 2 2" xfId="25471"/>
    <cellStyle name="SAPBEXexcGood1 3" xfId="24676"/>
    <cellStyle name="SAPBEXexcGood1 3 2" xfId="25450"/>
    <cellStyle name="SAPBEXexcGood1 3 3" xfId="25639"/>
    <cellStyle name="SAPBEXexcGood1 4" xfId="25100"/>
    <cellStyle name="SAPBEXexcGood1 4 2" xfId="25355"/>
    <cellStyle name="SAPBEXexcGood1 4 3" xfId="25698"/>
    <cellStyle name="SAPBEXexcGood2" xfId="86"/>
    <cellStyle name="SAPBEXexcGood2 2" xfId="13634"/>
    <cellStyle name="SAPBEXexcGood2 2 2" xfId="25472"/>
    <cellStyle name="SAPBEXexcGood2 3" xfId="24675"/>
    <cellStyle name="SAPBEXexcGood2 3 2" xfId="25349"/>
    <cellStyle name="SAPBEXexcGood2 3 3" xfId="25638"/>
    <cellStyle name="SAPBEXexcGood2 4" xfId="25101"/>
    <cellStyle name="SAPBEXexcGood2 4 2" xfId="25389"/>
    <cellStyle name="SAPBEXexcGood2 4 3" xfId="25699"/>
    <cellStyle name="SAPBEXexcGood3" xfId="87"/>
    <cellStyle name="SAPBEXexcGood3 2" xfId="13635"/>
    <cellStyle name="SAPBEXexcGood3 2 2" xfId="25473"/>
    <cellStyle name="SAPBEXexcGood3 3" xfId="24674"/>
    <cellStyle name="SAPBEXexcGood3 3 2" xfId="25433"/>
    <cellStyle name="SAPBEXexcGood3 3 3" xfId="25637"/>
    <cellStyle name="SAPBEXexcGood3 4" xfId="25102"/>
    <cellStyle name="SAPBEXexcGood3 4 2" xfId="25403"/>
    <cellStyle name="SAPBEXexcGood3 4 3" xfId="25700"/>
    <cellStyle name="SAPBEXfilterDrill" xfId="88"/>
    <cellStyle name="SAPBEXfilterItem" xfId="89"/>
    <cellStyle name="SAPBEXfilterItem 2" xfId="90"/>
    <cellStyle name="SAPBEXfilterItem 3" xfId="231"/>
    <cellStyle name="SAPBEXfilterItem 4" xfId="232"/>
    <cellStyle name="SAPBEXfilterItem 5" xfId="233"/>
    <cellStyle name="SAPBEXfilterItem 6" xfId="234"/>
    <cellStyle name="SAPBEXfilterItem 7" xfId="235"/>
    <cellStyle name="SAPBEXfilterItem 8" xfId="412"/>
    <cellStyle name="SAPBEXfilterItem_Copy of xSAPtemp5457" xfId="236"/>
    <cellStyle name="SAPBEXfilterText" xfId="91"/>
    <cellStyle name="SAPBEXfilterText 2" xfId="92"/>
    <cellStyle name="SAPBEXfilterText 2 2" xfId="24246"/>
    <cellStyle name="SAPBEXfilterText 3" xfId="93"/>
    <cellStyle name="SAPBEXfilterText 3 2" xfId="24247"/>
    <cellStyle name="SAPBEXfilterText 4" xfId="237"/>
    <cellStyle name="SAPBEXfilterText 5" xfId="238"/>
    <cellStyle name="SAPBEXformats" xfId="94"/>
    <cellStyle name="SAPBEXformats 2" xfId="13636"/>
    <cellStyle name="SAPBEXformats 2 2" xfId="25474"/>
    <cellStyle name="SAPBEXformats 3" xfId="24673"/>
    <cellStyle name="SAPBEXformats 3 2" xfId="25332"/>
    <cellStyle name="SAPBEXformats 3 3" xfId="25636"/>
    <cellStyle name="SAPBEXformats 4" xfId="25103"/>
    <cellStyle name="SAPBEXformats 4 2" xfId="25314"/>
    <cellStyle name="SAPBEXformats 4 3" xfId="25701"/>
    <cellStyle name="SAPBEXheaderItem" xfId="95"/>
    <cellStyle name="SAPBEXheaderItem 2" xfId="96"/>
    <cellStyle name="SAPBEXheaderItem 2 2" xfId="24249"/>
    <cellStyle name="SAPBEXheaderItem 3" xfId="97"/>
    <cellStyle name="SAPBEXheaderItem 3 2" xfId="98"/>
    <cellStyle name="SAPBEXheaderItem 3 3" xfId="24250"/>
    <cellStyle name="SAPBEXheaderItem 4" xfId="239"/>
    <cellStyle name="SAPBEXheaderItem 5" xfId="240"/>
    <cellStyle name="SAPBEXheaderItem 6" xfId="241"/>
    <cellStyle name="SAPBEXheaderItem 7" xfId="242"/>
    <cellStyle name="SAPBEXheaderItem 8" xfId="243"/>
    <cellStyle name="SAPBEXheaderItem 9" xfId="413"/>
    <cellStyle name="SAPBEXheaderItem_Copy of xSAPtemp5457" xfId="244"/>
    <cellStyle name="SAPBEXheaderText" xfId="99"/>
    <cellStyle name="SAPBEXheaderText 2" xfId="100"/>
    <cellStyle name="SAPBEXheaderText 2 2" xfId="24251"/>
    <cellStyle name="SAPBEXheaderText 3" xfId="101"/>
    <cellStyle name="SAPBEXheaderText 3 2" xfId="24252"/>
    <cellStyle name="SAPBEXheaderText 4" xfId="102"/>
    <cellStyle name="SAPBEXheaderText 5" xfId="245"/>
    <cellStyle name="SAPBEXheaderText 6" xfId="246"/>
    <cellStyle name="SAPBEXheaderText 7" xfId="247"/>
    <cellStyle name="SAPBEXheaderText 8" xfId="248"/>
    <cellStyle name="SAPBEXheaderText 9" xfId="414"/>
    <cellStyle name="SAPBEXheaderText_Copy of xSAPtemp5457" xfId="249"/>
    <cellStyle name="SAPBEXHLevel0" xfId="103"/>
    <cellStyle name="SAPBEXHLevel0 2" xfId="104"/>
    <cellStyle name="SAPBEXHLevel0 2 2" xfId="13638"/>
    <cellStyle name="SAPBEXHLevel0 2 2 2" xfId="25476"/>
    <cellStyle name="SAPBEXHLevel0 2 3" xfId="24253"/>
    <cellStyle name="SAPBEXHLevel0 2 3 2" xfId="25575"/>
    <cellStyle name="SAPBEXHLevel0 2 4" xfId="24668"/>
    <cellStyle name="SAPBEXHLevel0 2 4 2" xfId="25357"/>
    <cellStyle name="SAPBEXHLevel0 2 4 3" xfId="25634"/>
    <cellStyle name="SAPBEXHLevel0 2 5" xfId="25105"/>
    <cellStyle name="SAPBEXHLevel0 2 5 2" xfId="25328"/>
    <cellStyle name="SAPBEXHLevel0 2 5 3" xfId="25703"/>
    <cellStyle name="SAPBEXHLevel0 3" xfId="105"/>
    <cellStyle name="SAPBEXHLevel0 3 2" xfId="13639"/>
    <cellStyle name="SAPBEXHLevel0 3 2 2" xfId="25477"/>
    <cellStyle name="SAPBEXHLevel0 3 3" xfId="24254"/>
    <cellStyle name="SAPBEXHLevel0 3 3 2" xfId="25576"/>
    <cellStyle name="SAPBEXHLevel0 3 4" xfId="24667"/>
    <cellStyle name="SAPBEXHLevel0 3 4 2" xfId="25441"/>
    <cellStyle name="SAPBEXHLevel0 3 4 3" xfId="25633"/>
    <cellStyle name="SAPBEXHLevel0 3 5" xfId="25106"/>
    <cellStyle name="SAPBEXHLevel0 3 5 2" xfId="25429"/>
    <cellStyle name="SAPBEXHLevel0 3 5 3" xfId="25704"/>
    <cellStyle name="SAPBEXHLevel0 4" xfId="106"/>
    <cellStyle name="SAPBEXHLevel0 4 2" xfId="13640"/>
    <cellStyle name="SAPBEXHLevel0 4 2 2" xfId="25478"/>
    <cellStyle name="SAPBEXHLevel0 5" xfId="250"/>
    <cellStyle name="SAPBEXHLevel0 5 2" xfId="13715"/>
    <cellStyle name="SAPBEXHLevel0 5 2 2" xfId="25528"/>
    <cellStyle name="SAPBEXHLevel0 6" xfId="13637"/>
    <cellStyle name="SAPBEXHLevel0 6 2" xfId="25475"/>
    <cellStyle name="SAPBEXHLevel0 7" xfId="24669"/>
    <cellStyle name="SAPBEXHLevel0 7 2" xfId="25391"/>
    <cellStyle name="SAPBEXHLevel0 7 3" xfId="25635"/>
    <cellStyle name="SAPBEXHLevel0 8" xfId="25104"/>
    <cellStyle name="SAPBEXHLevel0 8 2" xfId="25415"/>
    <cellStyle name="SAPBEXHLevel0 8 3" xfId="25702"/>
    <cellStyle name="SAPBEXHLevel0X" xfId="107"/>
    <cellStyle name="SAPBEXHLevel0X 2" xfId="108"/>
    <cellStyle name="SAPBEXHLevel0X 2 2" xfId="13642"/>
    <cellStyle name="SAPBEXHLevel0X 2 2 2" xfId="25480"/>
    <cellStyle name="SAPBEXHLevel0X 2 3" xfId="24255"/>
    <cellStyle name="SAPBEXHLevel0X 2 3 2" xfId="25577"/>
    <cellStyle name="SAPBEXHLevel0X 2 4" xfId="24665"/>
    <cellStyle name="SAPBEXHLevel0X 2 4 2" xfId="25424"/>
    <cellStyle name="SAPBEXHLevel0X 2 4 3" xfId="25631"/>
    <cellStyle name="SAPBEXHLevel0X 2 5" xfId="25108"/>
    <cellStyle name="SAPBEXHLevel0X 2 5 2" xfId="25446"/>
    <cellStyle name="SAPBEXHLevel0X 2 5 3" xfId="25706"/>
    <cellStyle name="SAPBEXHLevel0X 3" xfId="109"/>
    <cellStyle name="SAPBEXHLevel0X 3 2" xfId="13643"/>
    <cellStyle name="SAPBEXHLevel0X 3 2 2" xfId="25481"/>
    <cellStyle name="SAPBEXHLevel0X 3 3" xfId="24256"/>
    <cellStyle name="SAPBEXHLevel0X 3 3 2" xfId="25578"/>
    <cellStyle name="SAPBEXHLevel0X 3 4" xfId="24664"/>
    <cellStyle name="SAPBEXHLevel0X 3 4 2" xfId="25323"/>
    <cellStyle name="SAPBEXHLevel0X 3 4 3" xfId="25630"/>
    <cellStyle name="SAPBEXHLevel0X 3 5" xfId="25109"/>
    <cellStyle name="SAPBEXHLevel0X 3 5 2" xfId="25360"/>
    <cellStyle name="SAPBEXHLevel0X 3 5 3" xfId="25707"/>
    <cellStyle name="SAPBEXHLevel0X 4" xfId="110"/>
    <cellStyle name="SAPBEXHLevel0X 4 2" xfId="13644"/>
    <cellStyle name="SAPBEXHLevel0X 4 2 2" xfId="25482"/>
    <cellStyle name="SAPBEXHLevel0X 5" xfId="251"/>
    <cellStyle name="SAPBEXHLevel0X 5 2" xfId="13716"/>
    <cellStyle name="SAPBEXHLevel0X 5 2 2" xfId="25529"/>
    <cellStyle name="SAPBEXHLevel0X 6" xfId="13641"/>
    <cellStyle name="SAPBEXHLevel0X 6 2" xfId="25479"/>
    <cellStyle name="SAPBEXHLevel0X 7" xfId="24666"/>
    <cellStyle name="SAPBEXHLevel0X 7 2" xfId="25340"/>
    <cellStyle name="SAPBEXHLevel0X 7 3" xfId="25632"/>
    <cellStyle name="SAPBEXHLevel0X 8" xfId="25107"/>
    <cellStyle name="SAPBEXHLevel0X 8 2" xfId="25345"/>
    <cellStyle name="SAPBEXHLevel0X 8 3" xfId="25705"/>
    <cellStyle name="SAPBEXHLevel1" xfId="111"/>
    <cellStyle name="SAPBEXHLevel1 2" xfId="112"/>
    <cellStyle name="SAPBEXHLevel1 2 2" xfId="13646"/>
    <cellStyle name="SAPBEXHLevel1 2 2 2" xfId="25484"/>
    <cellStyle name="SAPBEXHLevel1 2 3" xfId="24257"/>
    <cellStyle name="SAPBEXHLevel1 2 3 2" xfId="25579"/>
    <cellStyle name="SAPBEXHLevel1 2 4" xfId="24662"/>
    <cellStyle name="SAPBEXHLevel1 2 4 2" xfId="25308"/>
    <cellStyle name="SAPBEXHLevel1 2 4 3" xfId="25628"/>
    <cellStyle name="SAPBEXHLevel1 2 5" xfId="25111"/>
    <cellStyle name="SAPBEXHLevel1 2 5 2" xfId="25283"/>
    <cellStyle name="SAPBEXHLevel1 2 5 3" xfId="25709"/>
    <cellStyle name="SAPBEXHLevel1 3" xfId="113"/>
    <cellStyle name="SAPBEXHLevel1 3 2" xfId="13647"/>
    <cellStyle name="SAPBEXHLevel1 3 2 2" xfId="25485"/>
    <cellStyle name="SAPBEXHLevel1 3 3" xfId="24258"/>
    <cellStyle name="SAPBEXHLevel1 3 3 2" xfId="25580"/>
    <cellStyle name="SAPBEXHLevel1 3 4" xfId="24661"/>
    <cellStyle name="SAPBEXHLevel1 3 4 2" xfId="25400"/>
    <cellStyle name="SAPBEXHLevel1 3 4 3" xfId="25627"/>
    <cellStyle name="SAPBEXHLevel1 3 5" xfId="25112"/>
    <cellStyle name="SAPBEXHLevel1 3 5 2" xfId="25366"/>
    <cellStyle name="SAPBEXHLevel1 3 5 3" xfId="25710"/>
    <cellStyle name="SAPBEXHLevel1 4" xfId="114"/>
    <cellStyle name="SAPBEXHLevel1 4 2" xfId="13648"/>
    <cellStyle name="SAPBEXHLevel1 4 2 2" xfId="25486"/>
    <cellStyle name="SAPBEXHLevel1 5" xfId="252"/>
    <cellStyle name="SAPBEXHLevel1 5 2" xfId="13717"/>
    <cellStyle name="SAPBEXHLevel1 5 2 2" xfId="25530"/>
    <cellStyle name="SAPBEXHLevel1 6" xfId="13645"/>
    <cellStyle name="SAPBEXHLevel1 6 2" xfId="25483"/>
    <cellStyle name="SAPBEXHLevel1 7" xfId="24663"/>
    <cellStyle name="SAPBEXHLevel1 7 2" xfId="25410"/>
    <cellStyle name="SAPBEXHLevel1 7 3" xfId="25629"/>
    <cellStyle name="SAPBEXHLevel1 8" xfId="25110"/>
    <cellStyle name="SAPBEXHLevel1 8 2" xfId="25297"/>
    <cellStyle name="SAPBEXHLevel1 8 3" xfId="25708"/>
    <cellStyle name="SAPBEXHLevel1X" xfId="115"/>
    <cellStyle name="SAPBEXHLevel1X 2" xfId="116"/>
    <cellStyle name="SAPBEXHLevel1X 2 2" xfId="13650"/>
    <cellStyle name="SAPBEXHLevel1X 2 2 2" xfId="25488"/>
    <cellStyle name="SAPBEXHLevel1X 2 3" xfId="24259"/>
    <cellStyle name="SAPBEXHLevel1X 2 3 2" xfId="25581"/>
    <cellStyle name="SAPBEXHLevel1X 2 4" xfId="24659"/>
    <cellStyle name="SAPBEXHLevel1X 2 4 2" xfId="25371"/>
    <cellStyle name="SAPBEXHLevel1X 2 4 3" xfId="25625"/>
    <cellStyle name="SAPBEXHLevel1X 2 5" xfId="25114"/>
    <cellStyle name="SAPBEXHLevel1X 2 5 2" xfId="25394"/>
    <cellStyle name="SAPBEXHLevel1X 2 5 3" xfId="25712"/>
    <cellStyle name="SAPBEXHLevel1X 3" xfId="117"/>
    <cellStyle name="SAPBEXHLevel1X 3 2" xfId="13651"/>
    <cellStyle name="SAPBEXHLevel1X 3 2 2" xfId="25489"/>
    <cellStyle name="SAPBEXHLevel1X 3 3" xfId="24260"/>
    <cellStyle name="SAPBEXHLevel1X 3 3 2" xfId="25582"/>
    <cellStyle name="SAPBEXHLevel1X 3 4" xfId="24658"/>
    <cellStyle name="SAPBEXHLevel1X 3 4 2" xfId="25289"/>
    <cellStyle name="SAPBEXHLevel1X 3 4 3" xfId="25624"/>
    <cellStyle name="SAPBEXHLevel1X 3 5" xfId="25115"/>
    <cellStyle name="SAPBEXHLevel1X 3 5 2" xfId="25303"/>
    <cellStyle name="SAPBEXHLevel1X 3 5 3" xfId="25713"/>
    <cellStyle name="SAPBEXHLevel1X 4" xfId="118"/>
    <cellStyle name="SAPBEXHLevel1X 4 2" xfId="13652"/>
    <cellStyle name="SAPBEXHLevel1X 4 2 2" xfId="25490"/>
    <cellStyle name="SAPBEXHLevel1X 5" xfId="253"/>
    <cellStyle name="SAPBEXHLevel1X 5 2" xfId="13718"/>
    <cellStyle name="SAPBEXHLevel1X 5 2 2" xfId="25531"/>
    <cellStyle name="SAPBEXHLevel1X 6" xfId="13649"/>
    <cellStyle name="SAPBEXHLevel1X 6 2" xfId="25487"/>
    <cellStyle name="SAPBEXHLevel1X 7" xfId="24660"/>
    <cellStyle name="SAPBEXHLevel1X 7 2" xfId="25384"/>
    <cellStyle name="SAPBEXHLevel1X 7 3" xfId="25626"/>
    <cellStyle name="SAPBEXHLevel1X 8" xfId="25113"/>
    <cellStyle name="SAPBEXHLevel1X 8 2" xfId="25380"/>
    <cellStyle name="SAPBEXHLevel1X 8 3" xfId="25711"/>
    <cellStyle name="SAPBEXHLevel2" xfId="119"/>
    <cellStyle name="SAPBEXHLevel2 2" xfId="120"/>
    <cellStyle name="SAPBEXHLevel2 2 2" xfId="13654"/>
    <cellStyle name="SAPBEXHLevel2 2 2 2" xfId="25492"/>
    <cellStyle name="SAPBEXHLevel2 2 3" xfId="24262"/>
    <cellStyle name="SAPBEXHLevel2 2 3 2" xfId="25583"/>
    <cellStyle name="SAPBEXHLevel2 2 4" xfId="24656"/>
    <cellStyle name="SAPBEXHLevel2 2 4 2" xfId="25363"/>
    <cellStyle name="SAPBEXHLevel2 2 4 3" xfId="25622"/>
    <cellStyle name="SAPBEXHLevel2 2 5" xfId="25117"/>
    <cellStyle name="SAPBEXHLevel2 2 5 2" xfId="25319"/>
    <cellStyle name="SAPBEXHLevel2 2 5 3" xfId="25715"/>
    <cellStyle name="SAPBEXHLevel2 3" xfId="121"/>
    <cellStyle name="SAPBEXHLevel2 3 2" xfId="13655"/>
    <cellStyle name="SAPBEXHLevel2 3 2 2" xfId="25493"/>
    <cellStyle name="SAPBEXHLevel2 3 3" xfId="24263"/>
    <cellStyle name="SAPBEXHLevel2 3 3 2" xfId="25584"/>
    <cellStyle name="SAPBEXHLevel2 3 4" xfId="24655"/>
    <cellStyle name="SAPBEXHLevel2 3 4 2" xfId="25451"/>
    <cellStyle name="SAPBEXHLevel2 3 4 3" xfId="25621"/>
    <cellStyle name="SAPBEXHLevel2 3 5" xfId="25118"/>
    <cellStyle name="SAPBEXHLevel2 3 5 2" xfId="25420"/>
    <cellStyle name="SAPBEXHLevel2 3 5 3" xfId="25716"/>
    <cellStyle name="SAPBEXHLevel2 4" xfId="122"/>
    <cellStyle name="SAPBEXHLevel2 4 2" xfId="13656"/>
    <cellStyle name="SAPBEXHLevel2 4 2 2" xfId="25494"/>
    <cellStyle name="SAPBEXHLevel2 5" xfId="254"/>
    <cellStyle name="SAPBEXHLevel2 5 2" xfId="13719"/>
    <cellStyle name="SAPBEXHLevel2 5 2 2" xfId="25532"/>
    <cellStyle name="SAPBEXHLevel2 6" xfId="13653"/>
    <cellStyle name="SAPBEXHLevel2 6 2" xfId="25491"/>
    <cellStyle name="SAPBEXHLevel2 7" xfId="24657"/>
    <cellStyle name="SAPBEXHLevel2 7 2" xfId="25300"/>
    <cellStyle name="SAPBEXHLevel2 7 3" xfId="25623"/>
    <cellStyle name="SAPBEXHLevel2 8" xfId="25116"/>
    <cellStyle name="SAPBEXHLevel2 8 2" xfId="25406"/>
    <cellStyle name="SAPBEXHLevel2 8 3" xfId="25714"/>
    <cellStyle name="SAPBEXHLevel2X" xfId="123"/>
    <cellStyle name="SAPBEXHLevel2X 2" xfId="124"/>
    <cellStyle name="SAPBEXHLevel2X 2 2" xfId="13658"/>
    <cellStyle name="SAPBEXHLevel2X 2 2 2" xfId="25496"/>
    <cellStyle name="SAPBEXHLevel2X 2 3" xfId="24264"/>
    <cellStyle name="SAPBEXHLevel2X 2 3 2" xfId="25585"/>
    <cellStyle name="SAPBEXHLevel2X 2 4" xfId="24653"/>
    <cellStyle name="SAPBEXHLevel2X 2 4 2" xfId="25434"/>
    <cellStyle name="SAPBEXHLevel2X 2 4 3" xfId="25619"/>
    <cellStyle name="SAPBEXHLevel2X 2 5" xfId="25120"/>
    <cellStyle name="SAPBEXHLevel2X 2 5 2" xfId="25437"/>
    <cellStyle name="SAPBEXHLevel2X 2 5 3" xfId="25718"/>
    <cellStyle name="SAPBEXHLevel2X 3" xfId="125"/>
    <cellStyle name="SAPBEXHLevel2X 3 2" xfId="13659"/>
    <cellStyle name="SAPBEXHLevel2X 3 2 2" xfId="25497"/>
    <cellStyle name="SAPBEXHLevel2X 3 3" xfId="24265"/>
    <cellStyle name="SAPBEXHLevel2X 3 3 2" xfId="25586"/>
    <cellStyle name="SAPBEXHLevel2X 3 4" xfId="24652"/>
    <cellStyle name="SAPBEXHLevel2X 3 4 2" xfId="25333"/>
    <cellStyle name="SAPBEXHLevel2X 3 4 3" xfId="25618"/>
    <cellStyle name="SAPBEXHLevel2X 3 5" xfId="25121"/>
    <cellStyle name="SAPBEXHLevel2X 3 5 2" xfId="25354"/>
    <cellStyle name="SAPBEXHLevel2X 3 5 3" xfId="25719"/>
    <cellStyle name="SAPBEXHLevel2X 4" xfId="126"/>
    <cellStyle name="SAPBEXHLevel2X 4 2" xfId="13660"/>
    <cellStyle name="SAPBEXHLevel2X 4 2 2" xfId="25498"/>
    <cellStyle name="SAPBEXHLevel2X 5" xfId="255"/>
    <cellStyle name="SAPBEXHLevel2X 5 2" xfId="13720"/>
    <cellStyle name="SAPBEXHLevel2X 5 2 2" xfId="25533"/>
    <cellStyle name="SAPBEXHLevel2X 6" xfId="13657"/>
    <cellStyle name="SAPBEXHLevel2X 6 2" xfId="25495"/>
    <cellStyle name="SAPBEXHLevel2X 7" xfId="24654"/>
    <cellStyle name="SAPBEXHLevel2X 7 2" xfId="25350"/>
    <cellStyle name="SAPBEXHLevel2X 7 3" xfId="25620"/>
    <cellStyle name="SAPBEXHLevel2X 8" xfId="25119"/>
    <cellStyle name="SAPBEXHLevel2X 8 2" xfId="25337"/>
    <cellStyle name="SAPBEXHLevel2X 8 3" xfId="25717"/>
    <cellStyle name="SAPBEXHLevel3" xfId="127"/>
    <cellStyle name="SAPBEXHLevel3 2" xfId="128"/>
    <cellStyle name="SAPBEXHLevel3 2 2" xfId="13662"/>
    <cellStyle name="SAPBEXHLevel3 2 2 2" xfId="25500"/>
    <cellStyle name="SAPBEXHLevel3 2 3" xfId="24266"/>
    <cellStyle name="SAPBEXHLevel3 2 3 2" xfId="25587"/>
    <cellStyle name="SAPBEXHLevel3 2 4" xfId="24650"/>
    <cellStyle name="SAPBEXHLevel3 2 4 2" xfId="25317"/>
    <cellStyle name="SAPBEXHLevel3 2 4 3" xfId="25616"/>
    <cellStyle name="SAPBEXHLevel3 2 5" xfId="25123"/>
    <cellStyle name="SAPBEXHLevel3 2 5 2" xfId="25402"/>
    <cellStyle name="SAPBEXHLevel3 2 5 3" xfId="25721"/>
    <cellStyle name="SAPBEXHLevel3 3" xfId="129"/>
    <cellStyle name="SAPBEXHLevel3 3 2" xfId="13663"/>
    <cellStyle name="SAPBEXHLevel3 3 2 2" xfId="25501"/>
    <cellStyle name="SAPBEXHLevel3 3 3" xfId="24267"/>
    <cellStyle name="SAPBEXHLevel3 3 3 2" xfId="25588"/>
    <cellStyle name="SAPBEXHLevel3 3 4" xfId="24649"/>
    <cellStyle name="SAPBEXHLevel3 3 4 2" xfId="25405"/>
    <cellStyle name="SAPBEXHLevel3 3 4 3" xfId="25615"/>
    <cellStyle name="SAPBEXHLevel3 3 5" xfId="25124"/>
    <cellStyle name="SAPBEXHLevel3 3 5 2" xfId="25313"/>
    <cellStyle name="SAPBEXHLevel3 3 5 3" xfId="25722"/>
    <cellStyle name="SAPBEXHLevel3 4" xfId="130"/>
    <cellStyle name="SAPBEXHLevel3 4 2" xfId="13664"/>
    <cellStyle name="SAPBEXHLevel3 4 2 2" xfId="25502"/>
    <cellStyle name="SAPBEXHLevel3 5" xfId="256"/>
    <cellStyle name="SAPBEXHLevel3 5 2" xfId="13721"/>
    <cellStyle name="SAPBEXHLevel3 5 2 2" xfId="25534"/>
    <cellStyle name="SAPBEXHLevel3 6" xfId="13661"/>
    <cellStyle name="SAPBEXHLevel3 6 2" xfId="25499"/>
    <cellStyle name="SAPBEXHLevel3 7" xfId="24651"/>
    <cellStyle name="SAPBEXHLevel3 7 2" xfId="25418"/>
    <cellStyle name="SAPBEXHLevel3 7 3" xfId="25617"/>
    <cellStyle name="SAPBEXHLevel3 8" xfId="25122"/>
    <cellStyle name="SAPBEXHLevel3 8 2" xfId="25388"/>
    <cellStyle name="SAPBEXHLevel3 8 3" xfId="25720"/>
    <cellStyle name="SAPBEXHLevel3X" xfId="131"/>
    <cellStyle name="SAPBEXHLevel3X 2" xfId="132"/>
    <cellStyle name="SAPBEXHLevel3X 2 2" xfId="13666"/>
    <cellStyle name="SAPBEXHLevel3X 2 2 2" xfId="25504"/>
    <cellStyle name="SAPBEXHLevel3X 2 3" xfId="24268"/>
    <cellStyle name="SAPBEXHLevel3X 2 3 2" xfId="25589"/>
    <cellStyle name="SAPBEXHLevel3X 2 4" xfId="24647"/>
    <cellStyle name="SAPBEXHLevel3X 2 4 2" xfId="25358"/>
    <cellStyle name="SAPBEXHLevel3X 2 4 3" xfId="25613"/>
    <cellStyle name="SAPBEXHLevel3X 2 5" xfId="25126"/>
    <cellStyle name="SAPBEXHLevel3X 2 5 2" xfId="25327"/>
    <cellStyle name="SAPBEXHLevel3X 2 5 3" xfId="25724"/>
    <cellStyle name="SAPBEXHLevel3X 3" xfId="133"/>
    <cellStyle name="SAPBEXHLevel3X 3 2" xfId="13667"/>
    <cellStyle name="SAPBEXHLevel3X 3 2 2" xfId="25505"/>
    <cellStyle name="SAPBEXHLevel3X 3 3" xfId="24269"/>
    <cellStyle name="SAPBEXHLevel3X 3 3 2" xfId="25590"/>
    <cellStyle name="SAPBEXHLevel3X 3 4" xfId="24646"/>
    <cellStyle name="SAPBEXHLevel3X 3 4 2" xfId="25442"/>
    <cellStyle name="SAPBEXHLevel3X 3 4 3" xfId="25612"/>
    <cellStyle name="SAPBEXHLevel3X 3 5" xfId="25127"/>
    <cellStyle name="SAPBEXHLevel3X 3 5 2" xfId="25428"/>
    <cellStyle name="SAPBEXHLevel3X 3 5 3" xfId="25725"/>
    <cellStyle name="SAPBEXHLevel3X 4" xfId="134"/>
    <cellStyle name="SAPBEXHLevel3X 4 2" xfId="13668"/>
    <cellStyle name="SAPBEXHLevel3X 4 2 2" xfId="25506"/>
    <cellStyle name="SAPBEXHLevel3X 5" xfId="257"/>
    <cellStyle name="SAPBEXHLevel3X 5 2" xfId="13722"/>
    <cellStyle name="SAPBEXHLevel3X 5 2 2" xfId="25535"/>
    <cellStyle name="SAPBEXHLevel3X 6" xfId="13665"/>
    <cellStyle name="SAPBEXHLevel3X 6 2" xfId="25503"/>
    <cellStyle name="SAPBEXHLevel3X 7" xfId="24648"/>
    <cellStyle name="SAPBEXHLevel3X 7 2" xfId="25392"/>
    <cellStyle name="SAPBEXHLevel3X 7 3" xfId="25614"/>
    <cellStyle name="SAPBEXHLevel3X 8" xfId="25125"/>
    <cellStyle name="SAPBEXHLevel3X 8 2" xfId="25414"/>
    <cellStyle name="SAPBEXHLevel3X 8 3" xfId="25723"/>
    <cellStyle name="SAPBEXinputData" xfId="24270"/>
    <cellStyle name="SAPBEXinputData 2" xfId="24271"/>
    <cellStyle name="SAPBEXinputData 2 2" xfId="24927"/>
    <cellStyle name="SAPBEXinputData 3" xfId="24272"/>
    <cellStyle name="SAPBEXinputData 3 2" xfId="24924"/>
    <cellStyle name="SAPBEXinputData 4" xfId="24771"/>
    <cellStyle name="SAPBEXresData" xfId="135"/>
    <cellStyle name="SAPBEXresData 2" xfId="13669"/>
    <cellStyle name="SAPBEXresData 2 2" xfId="25507"/>
    <cellStyle name="SAPBEXresData 3" xfId="24645"/>
    <cellStyle name="SAPBEXresData 3 2" xfId="25341"/>
    <cellStyle name="SAPBEXresData 3 3" xfId="25611"/>
    <cellStyle name="SAPBEXresData 4" xfId="25128"/>
    <cellStyle name="SAPBEXresData 4 2" xfId="25344"/>
    <cellStyle name="SAPBEXresData 4 3" xfId="25726"/>
    <cellStyle name="SAPBEXresDataEmph" xfId="136"/>
    <cellStyle name="SAPBEXresDataEmph 2" xfId="13670"/>
    <cellStyle name="SAPBEXresDataEmph 2 2" xfId="25508"/>
    <cellStyle name="SAPBEXresDataEmph 3" xfId="24644"/>
    <cellStyle name="SAPBEXresDataEmph 3 2" xfId="25425"/>
    <cellStyle name="SAPBEXresDataEmph 3 3" xfId="25610"/>
    <cellStyle name="SAPBEXresDataEmph 4" xfId="25129"/>
    <cellStyle name="SAPBEXresDataEmph 4 2" xfId="25445"/>
    <cellStyle name="SAPBEXresDataEmph 4 3" xfId="25727"/>
    <cellStyle name="SAPBEXresItem" xfId="137"/>
    <cellStyle name="SAPBEXresItem 2" xfId="13671"/>
    <cellStyle name="SAPBEXresItem 2 2" xfId="25509"/>
    <cellStyle name="SAPBEXresItem 3" xfId="24643"/>
    <cellStyle name="SAPBEXresItem 3 2" xfId="25324"/>
    <cellStyle name="SAPBEXresItem 3 3" xfId="25609"/>
    <cellStyle name="SAPBEXresItem 4" xfId="25130"/>
    <cellStyle name="SAPBEXresItem 4 2" xfId="25359"/>
    <cellStyle name="SAPBEXresItem 4 3" xfId="25728"/>
    <cellStyle name="SAPBEXresItemX" xfId="138"/>
    <cellStyle name="SAPBEXresItemX 2" xfId="13672"/>
    <cellStyle name="SAPBEXresItemX 2 2" xfId="25510"/>
    <cellStyle name="SAPBEXresItemX 3" xfId="24642"/>
    <cellStyle name="SAPBEXresItemX 3 2" xfId="25411"/>
    <cellStyle name="SAPBEXresItemX 3 3" xfId="25608"/>
    <cellStyle name="SAPBEXresItemX 4" xfId="25131"/>
    <cellStyle name="SAPBEXresItemX 4 2" xfId="25296"/>
    <cellStyle name="SAPBEXresItemX 4 3" xfId="25729"/>
    <cellStyle name="SAPBEXstdData" xfId="139"/>
    <cellStyle name="SAPBEXstdData 10" xfId="24641"/>
    <cellStyle name="SAPBEXstdData 10 2" xfId="25309"/>
    <cellStyle name="SAPBEXstdData 10 3" xfId="25607"/>
    <cellStyle name="SAPBEXstdData 11" xfId="25132"/>
    <cellStyle name="SAPBEXstdData 11 2" xfId="25282"/>
    <cellStyle name="SAPBEXstdData 11 3" xfId="25730"/>
    <cellStyle name="SAPBEXstdData 2" xfId="140"/>
    <cellStyle name="SAPBEXstdData 2 2" xfId="13674"/>
    <cellStyle name="SAPBEXstdData 2 2 2" xfId="25512"/>
    <cellStyle name="SAPBEXstdData 3" xfId="258"/>
    <cellStyle name="SAPBEXstdData 3 2" xfId="13723"/>
    <cellStyle name="SAPBEXstdData 3 2 2" xfId="25536"/>
    <cellStyle name="SAPBEXstdData 4" xfId="259"/>
    <cellStyle name="SAPBEXstdData 4 2" xfId="13724"/>
    <cellStyle name="SAPBEXstdData 4 2 2" xfId="25537"/>
    <cellStyle name="SAPBEXstdData 5" xfId="260"/>
    <cellStyle name="SAPBEXstdData 5 2" xfId="13725"/>
    <cellStyle name="SAPBEXstdData 5 2 2" xfId="25538"/>
    <cellStyle name="SAPBEXstdData 6" xfId="261"/>
    <cellStyle name="SAPBEXstdData 6 2" xfId="13726"/>
    <cellStyle name="SAPBEXstdData 6 2 2" xfId="25539"/>
    <cellStyle name="SAPBEXstdData 7" xfId="262"/>
    <cellStyle name="SAPBEXstdData 8" xfId="415"/>
    <cellStyle name="SAPBEXstdData 8 2" xfId="13794"/>
    <cellStyle name="SAPBEXstdData 8 2 2" xfId="25552"/>
    <cellStyle name="SAPBEXstdData 9" xfId="13673"/>
    <cellStyle name="SAPBEXstdData 9 2" xfId="25511"/>
    <cellStyle name="SAPBEXstdData_Copy of xSAPtemp5457" xfId="263"/>
    <cellStyle name="SAPBEXstdDataEmph" xfId="141"/>
    <cellStyle name="SAPBEXstdDataEmph 2" xfId="13675"/>
    <cellStyle name="SAPBEXstdDataEmph 2 2" xfId="25513"/>
    <cellStyle name="SAPBEXstdDataEmph 3" xfId="24640"/>
    <cellStyle name="SAPBEXstdDataEmph 3 2" xfId="25401"/>
    <cellStyle name="SAPBEXstdDataEmph 3 3" xfId="25606"/>
    <cellStyle name="SAPBEXstdDataEmph 4" xfId="25133"/>
    <cellStyle name="SAPBEXstdDataEmph 4 2" xfId="25365"/>
    <cellStyle name="SAPBEXstdDataEmph 4 3" xfId="25731"/>
    <cellStyle name="SAPBEXstdItem" xfId="142"/>
    <cellStyle name="SAPBEXstdItem 10" xfId="13676"/>
    <cellStyle name="SAPBEXstdItem 10 2" xfId="25514"/>
    <cellStyle name="SAPBEXstdItem 11" xfId="24639"/>
    <cellStyle name="SAPBEXstdItem 11 2" xfId="25385"/>
    <cellStyle name="SAPBEXstdItem 11 3" xfId="25605"/>
    <cellStyle name="SAPBEXstdItem 12" xfId="25134"/>
    <cellStyle name="SAPBEXstdItem 12 2" xfId="25379"/>
    <cellStyle name="SAPBEXstdItem 12 3" xfId="25732"/>
    <cellStyle name="SAPBEXstdItem 2" xfId="143"/>
    <cellStyle name="SAPBEXstdItem 2 2" xfId="13677"/>
    <cellStyle name="SAPBEXstdItem 2 2 2" xfId="25515"/>
    <cellStyle name="SAPBEXstdItem 3" xfId="264"/>
    <cellStyle name="SAPBEXstdItem 3 2" xfId="13727"/>
    <cellStyle name="SAPBEXstdItem 3 2 2" xfId="25540"/>
    <cellStyle name="SAPBEXstdItem 4" xfId="265"/>
    <cellStyle name="SAPBEXstdItem 4 2" xfId="13728"/>
    <cellStyle name="SAPBEXstdItem 4 2 2" xfId="25541"/>
    <cellStyle name="SAPBEXstdItem 5" xfId="266"/>
    <cellStyle name="SAPBEXstdItem 5 2" xfId="13729"/>
    <cellStyle name="SAPBEXstdItem 5 2 2" xfId="25542"/>
    <cellStyle name="SAPBEXstdItem 6" xfId="267"/>
    <cellStyle name="SAPBEXstdItem 6 2" xfId="13730"/>
    <cellStyle name="SAPBEXstdItem 6 2 2" xfId="25543"/>
    <cellStyle name="SAPBEXstdItem 7" xfId="268"/>
    <cellStyle name="SAPBEXstdItem 7 2" xfId="13731"/>
    <cellStyle name="SAPBEXstdItem 7 2 2" xfId="25544"/>
    <cellStyle name="SAPBEXstdItem 8" xfId="416"/>
    <cellStyle name="SAPBEXstdItem 8 2" xfId="13795"/>
    <cellStyle name="SAPBEXstdItem 8 2 2" xfId="25553"/>
    <cellStyle name="SAPBEXstdItem 9" xfId="390"/>
    <cellStyle name="SAPBEXstdItem 9 2" xfId="13785"/>
    <cellStyle name="SAPBEXstdItem 9 2 2" xfId="25550"/>
    <cellStyle name="SAPBEXstdItem_Copy of xSAPtemp5457" xfId="269"/>
    <cellStyle name="SAPBEXstdItemX" xfId="144"/>
    <cellStyle name="SAPBEXstdItemX 10" xfId="24638"/>
    <cellStyle name="SAPBEXstdItemX 10 2" xfId="25372"/>
    <cellStyle name="SAPBEXstdItemX 10 3" xfId="25604"/>
    <cellStyle name="SAPBEXstdItemX 11" xfId="25135"/>
    <cellStyle name="SAPBEXstdItemX 11 2" xfId="25393"/>
    <cellStyle name="SAPBEXstdItemX 11 3" xfId="25733"/>
    <cellStyle name="SAPBEXstdItemX 2" xfId="145"/>
    <cellStyle name="SAPBEXstdItemX 2 2" xfId="13679"/>
    <cellStyle name="SAPBEXstdItemX 2 2 2" xfId="25517"/>
    <cellStyle name="SAPBEXstdItemX 3" xfId="270"/>
    <cellStyle name="SAPBEXstdItemX 3 2" xfId="13732"/>
    <cellStyle name="SAPBEXstdItemX 3 2 2" xfId="25545"/>
    <cellStyle name="SAPBEXstdItemX 4" xfId="271"/>
    <cellStyle name="SAPBEXstdItemX 4 2" xfId="13733"/>
    <cellStyle name="SAPBEXstdItemX 4 2 2" xfId="25546"/>
    <cellStyle name="SAPBEXstdItemX 5" xfId="272"/>
    <cellStyle name="SAPBEXstdItemX 5 2" xfId="13734"/>
    <cellStyle name="SAPBEXstdItemX 5 2 2" xfId="25547"/>
    <cellStyle name="SAPBEXstdItemX 6" xfId="273"/>
    <cellStyle name="SAPBEXstdItemX 6 2" xfId="13735"/>
    <cellStyle name="SAPBEXstdItemX 6 2 2" xfId="25548"/>
    <cellStyle name="SAPBEXstdItemX 7" xfId="274"/>
    <cellStyle name="SAPBEXstdItemX 7 2" xfId="13736"/>
    <cellStyle name="SAPBEXstdItemX 7 2 2" xfId="25549"/>
    <cellStyle name="SAPBEXstdItemX 8" xfId="417"/>
    <cellStyle name="SAPBEXstdItemX 8 2" xfId="13796"/>
    <cellStyle name="SAPBEXstdItemX 8 2 2" xfId="25554"/>
    <cellStyle name="SAPBEXstdItemX 9" xfId="13678"/>
    <cellStyle name="SAPBEXstdItemX 9 2" xfId="25516"/>
    <cellStyle name="SAPBEXstdItemX_Copy of xSAPtemp5457" xfId="275"/>
    <cellStyle name="SAPBEXtitle" xfId="7"/>
    <cellStyle name="SAPBEXtitle 2" xfId="146"/>
    <cellStyle name="SAPBEXtitle 3" xfId="147"/>
    <cellStyle name="SAPBEXtitle 4" xfId="148"/>
    <cellStyle name="SAPBEXtitle 5" xfId="276"/>
    <cellStyle name="SAPBEXtitle 6" xfId="277"/>
    <cellStyle name="SAPBEXtitle 7" xfId="278"/>
    <cellStyle name="SAPBEXtitle 8" xfId="279"/>
    <cellStyle name="SAPBEXtitle_Copy of xSAPtemp5457" xfId="280"/>
    <cellStyle name="SAPBEXundefined" xfId="149"/>
    <cellStyle name="SAPBEXundefined 2" xfId="13680"/>
    <cellStyle name="SAPBEXundefined 2 2" xfId="25518"/>
    <cellStyle name="SAPBEXundefined 3" xfId="24637"/>
    <cellStyle name="SAPBEXundefined 3 2" xfId="25290"/>
    <cellStyle name="SAPBEXundefined 3 3" xfId="25603"/>
    <cellStyle name="SAPBEXundefined 4" xfId="25136"/>
    <cellStyle name="SAPBEXundefined 4 2" xfId="25302"/>
    <cellStyle name="SAPBEXundefined 4 3" xfId="25734"/>
    <cellStyle name="Shade" xfId="150"/>
    <cellStyle name="Shaded" xfId="615"/>
    <cellStyle name="Sheet Title" xfId="24273"/>
    <cellStyle name="Special" xfId="151"/>
    <cellStyle name="Style 1" xfId="152"/>
    <cellStyle name="Style 1 2" xfId="24274"/>
    <cellStyle name="Style 1 3" xfId="23908"/>
    <cellStyle name="Style 27" xfId="153"/>
    <cellStyle name="Style 35" xfId="154"/>
    <cellStyle name="Style 36" xfId="155"/>
    <cellStyle name="Summary" xfId="616"/>
    <cellStyle name="System" xfId="617"/>
    <cellStyle name="Table Col Head" xfId="618"/>
    <cellStyle name="Table Sub Head" xfId="619"/>
    <cellStyle name="Table Title" xfId="620"/>
    <cellStyle name="Table Units" xfId="621"/>
    <cellStyle name="TableBase" xfId="622"/>
    <cellStyle name="TableBase 2" xfId="24528"/>
    <cellStyle name="TableBase 2 2" xfId="25352"/>
    <cellStyle name="TableBase 2 3" xfId="25598"/>
    <cellStyle name="TableBase 3" xfId="24688"/>
    <cellStyle name="TableBase 3 2" xfId="25440"/>
    <cellStyle name="TableBase 3 3" xfId="25650"/>
    <cellStyle name="TableHead" xfId="623"/>
    <cellStyle name="Text" xfId="624"/>
    <cellStyle name="Time" xfId="625"/>
    <cellStyle name="Time 2" xfId="24275"/>
    <cellStyle name="Title - Underline" xfId="626"/>
    <cellStyle name="Title 2" xfId="24276"/>
    <cellStyle name="Titles" xfId="156"/>
    <cellStyle name="Titles - Other" xfId="627"/>
    <cellStyle name="Titles - Other 2" xfId="24277"/>
    <cellStyle name="Titles 2" xfId="24929"/>
    <cellStyle name="Titles 3" xfId="25137"/>
    <cellStyle name="Total 10" xfId="3476"/>
    <cellStyle name="Total 11" xfId="3477"/>
    <cellStyle name="Total 12" xfId="3478"/>
    <cellStyle name="Total 13" xfId="3479"/>
    <cellStyle name="Total 14" xfId="3480"/>
    <cellStyle name="Total 15" xfId="3481"/>
    <cellStyle name="Total 16" xfId="3482"/>
    <cellStyle name="Total 17" xfId="3483"/>
    <cellStyle name="Total 18" xfId="3484"/>
    <cellStyle name="Total 19" xfId="3485"/>
    <cellStyle name="Total 2" xfId="157"/>
    <cellStyle name="Total 2 2" xfId="3486"/>
    <cellStyle name="Total 2 2 2" xfId="24279"/>
    <cellStyle name="Total 2 2 2 2" xfId="25412"/>
    <cellStyle name="Total 2 2 2 3" xfId="25592"/>
    <cellStyle name="Total 2 2 3" xfId="24633"/>
    <cellStyle name="Total 2 2 3 2" xfId="25351"/>
    <cellStyle name="Total 2 2 3 3" xfId="25601"/>
    <cellStyle name="Total 2 2 4" xfId="25139"/>
    <cellStyle name="Total 2 2 4 2" xfId="25422"/>
    <cellStyle name="Total 2 2 4 3" xfId="25736"/>
    <cellStyle name="Total 2 3" xfId="13681"/>
    <cellStyle name="Total 2 4" xfId="24278"/>
    <cellStyle name="Total 2 4 2" xfId="25310"/>
    <cellStyle name="Total 2 4 3" xfId="25591"/>
    <cellStyle name="Total 2 5" xfId="24634"/>
    <cellStyle name="Total 2 5 2" xfId="25452"/>
    <cellStyle name="Total 2 5 3" xfId="25602"/>
    <cellStyle name="Total 2 6" xfId="25138"/>
    <cellStyle name="Total 2 6 2" xfId="25318"/>
    <cellStyle name="Total 2 6 3" xfId="25735"/>
    <cellStyle name="Total 20" xfId="3487"/>
    <cellStyle name="Total 21" xfId="3488"/>
    <cellStyle name="Total 22" xfId="3489"/>
    <cellStyle name="Total 23" xfId="3490"/>
    <cellStyle name="Total 24" xfId="3491"/>
    <cellStyle name="Total 25" xfId="3492"/>
    <cellStyle name="Total 26" xfId="3493"/>
    <cellStyle name="Total 27" xfId="3494"/>
    <cellStyle name="Total 28" xfId="3495"/>
    <cellStyle name="Total 29" xfId="3496"/>
    <cellStyle name="Total 3" xfId="3497"/>
    <cellStyle name="Total 3 2" xfId="24281"/>
    <cellStyle name="Total 3 2 2" xfId="24631"/>
    <cellStyle name="Total 3 2 2 2" xfId="25334"/>
    <cellStyle name="Total 3 2 2 3" xfId="25599"/>
    <cellStyle name="Total 3 2 3" xfId="25141"/>
    <cellStyle name="Total 3 2 3 2" xfId="25436"/>
    <cellStyle name="Total 3 2 3 3" xfId="25738"/>
    <cellStyle name="Total 3 2 4" xfId="25426"/>
    <cellStyle name="Total 3 2 5" xfId="25594"/>
    <cellStyle name="Total 3 3" xfId="24280"/>
    <cellStyle name="Total 3 3 2" xfId="25325"/>
    <cellStyle name="Total 3 3 3" xfId="25593"/>
    <cellStyle name="Total 3 4" xfId="24632"/>
    <cellStyle name="Total 3 4 2" xfId="25435"/>
    <cellStyle name="Total 3 4 3" xfId="25600"/>
    <cellStyle name="Total 3 5" xfId="25140"/>
    <cellStyle name="Total 3 5 2" xfId="25339"/>
    <cellStyle name="Total 3 5 3" xfId="25737"/>
    <cellStyle name="Total 30" xfId="3498"/>
    <cellStyle name="Total 31" xfId="3499"/>
    <cellStyle name="Total 32" xfId="3500"/>
    <cellStyle name="Total 33" xfId="3501"/>
    <cellStyle name="Total 34" xfId="3502"/>
    <cellStyle name="Total 35" xfId="3503"/>
    <cellStyle name="Total 36" xfId="3504"/>
    <cellStyle name="Total 37" xfId="3505"/>
    <cellStyle name="Total 38" xfId="3506"/>
    <cellStyle name="Total 39" xfId="3507"/>
    <cellStyle name="Total 4" xfId="3508"/>
    <cellStyle name="Total 4 2" xfId="24282"/>
    <cellStyle name="Total 4 2 2" xfId="25342"/>
    <cellStyle name="Total 4 2 3" xfId="25595"/>
    <cellStyle name="Total 4 3" xfId="24919"/>
    <cellStyle name="Total 4 3 2" xfId="25398"/>
    <cellStyle name="Total 4 3 3" xfId="25666"/>
    <cellStyle name="Total 4 4" xfId="25142"/>
    <cellStyle name="Total 4 4 2" xfId="25353"/>
    <cellStyle name="Total 4 4 3" xfId="25739"/>
    <cellStyle name="Total 40" xfId="3509"/>
    <cellStyle name="Total 41" xfId="3510"/>
    <cellStyle name="Total 42" xfId="3511"/>
    <cellStyle name="Total 43" xfId="3512"/>
    <cellStyle name="Total 44" xfId="3513"/>
    <cellStyle name="Total 45" xfId="3514"/>
    <cellStyle name="Total 46" xfId="3515"/>
    <cellStyle name="Total 47" xfId="3516"/>
    <cellStyle name="Total 48" xfId="3517"/>
    <cellStyle name="Total 49" xfId="3518"/>
    <cellStyle name="Total 5" xfId="3519"/>
    <cellStyle name="Total 5 2" xfId="24283"/>
    <cellStyle name="Total 5 2 2" xfId="25443"/>
    <cellStyle name="Total 5 2 3" xfId="25596"/>
    <cellStyle name="Total 5 3" xfId="24920"/>
    <cellStyle name="Total 5 3 2" xfId="25306"/>
    <cellStyle name="Total 5 3 3" xfId="25667"/>
    <cellStyle name="Total 5 4" xfId="25143"/>
    <cellStyle name="Total 5 4 2" xfId="25387"/>
    <cellStyle name="Total 5 4 3" xfId="25740"/>
    <cellStyle name="Total 50" xfId="3520"/>
    <cellStyle name="Total 51" xfId="3521"/>
    <cellStyle name="Total 52" xfId="3522"/>
    <cellStyle name="Total 53" xfId="3523"/>
    <cellStyle name="Total 54" xfId="3524"/>
    <cellStyle name="Total 55" xfId="3525"/>
    <cellStyle name="Total 56" xfId="3526"/>
    <cellStyle name="Total 57" xfId="3527"/>
    <cellStyle name="Total 58" xfId="3528"/>
    <cellStyle name="Total 59" xfId="3529"/>
    <cellStyle name="Total 6" xfId="3530"/>
    <cellStyle name="Total 60" xfId="3531"/>
    <cellStyle name="Total 61" xfId="3532"/>
    <cellStyle name="Total 62" xfId="3533"/>
    <cellStyle name="Total 63" xfId="3534"/>
    <cellStyle name="Total 64" xfId="3535"/>
    <cellStyle name="Total 65" xfId="3536"/>
    <cellStyle name="Total 66" xfId="3537"/>
    <cellStyle name="Total 67" xfId="3538"/>
    <cellStyle name="Total 68" xfId="3539"/>
    <cellStyle name="Total 69" xfId="3540"/>
    <cellStyle name="Total 7" xfId="3541"/>
    <cellStyle name="Total 70" xfId="3542"/>
    <cellStyle name="Total 71" xfId="3543"/>
    <cellStyle name="Total 72" xfId="3544"/>
    <cellStyle name="Total 73" xfId="23927"/>
    <cellStyle name="Total 8" xfId="3545"/>
    <cellStyle name="Total 9" xfId="3546"/>
    <cellStyle name="Total2 - Style2" xfId="158"/>
    <cellStyle name="TRANSMISSION RELIABILITY PORTION OF PROJECT" xfId="159"/>
    <cellStyle name="Underl - Style4" xfId="160"/>
    <cellStyle name="UNLocked" xfId="628"/>
    <cellStyle name="UNLocked 2" xfId="24284"/>
    <cellStyle name="Unprot" xfId="161"/>
    <cellStyle name="Unprot$" xfId="162"/>
    <cellStyle name="Unprotect" xfId="163"/>
    <cellStyle name="UploadThisRowValue" xfId="3547"/>
    <cellStyle name="Warning Text 10" xfId="3548"/>
    <cellStyle name="Warning Text 11" xfId="3549"/>
    <cellStyle name="Warning Text 12" xfId="3550"/>
    <cellStyle name="Warning Text 13" xfId="3551"/>
    <cellStyle name="Warning Text 14" xfId="3552"/>
    <cellStyle name="Warning Text 15" xfId="3553"/>
    <cellStyle name="Warning Text 16" xfId="3554"/>
    <cellStyle name="Warning Text 17" xfId="3555"/>
    <cellStyle name="Warning Text 18" xfId="3556"/>
    <cellStyle name="Warning Text 19" xfId="3557"/>
    <cellStyle name="Warning Text 2" xfId="3558"/>
    <cellStyle name="Warning Text 2 2" xfId="24287"/>
    <cellStyle name="Warning Text 2 3" xfId="24286"/>
    <cellStyle name="Warning Text 20" xfId="3559"/>
    <cellStyle name="Warning Text 21" xfId="3560"/>
    <cellStyle name="Warning Text 22" xfId="3561"/>
    <cellStyle name="Warning Text 23" xfId="3562"/>
    <cellStyle name="Warning Text 24" xfId="3563"/>
    <cellStyle name="Warning Text 25" xfId="3564"/>
    <cellStyle name="Warning Text 26" xfId="3565"/>
    <cellStyle name="Warning Text 27" xfId="3566"/>
    <cellStyle name="Warning Text 28" xfId="3567"/>
    <cellStyle name="Warning Text 29" xfId="3568"/>
    <cellStyle name="Warning Text 3" xfId="3569"/>
    <cellStyle name="Warning Text 3 2" xfId="24289"/>
    <cellStyle name="Warning Text 3 3" xfId="24288"/>
    <cellStyle name="Warning Text 30" xfId="3570"/>
    <cellStyle name="Warning Text 31" xfId="3571"/>
    <cellStyle name="Warning Text 32" xfId="3572"/>
    <cellStyle name="Warning Text 33" xfId="3573"/>
    <cellStyle name="Warning Text 34" xfId="3574"/>
    <cellStyle name="Warning Text 35" xfId="3575"/>
    <cellStyle name="Warning Text 36" xfId="3576"/>
    <cellStyle name="Warning Text 37" xfId="3577"/>
    <cellStyle name="Warning Text 38" xfId="3578"/>
    <cellStyle name="Warning Text 39" xfId="3579"/>
    <cellStyle name="Warning Text 4" xfId="3580"/>
    <cellStyle name="Warning Text 4 2" xfId="24290"/>
    <cellStyle name="Warning Text 40" xfId="3581"/>
    <cellStyle name="Warning Text 41" xfId="3582"/>
    <cellStyle name="Warning Text 42" xfId="3583"/>
    <cellStyle name="Warning Text 43" xfId="3584"/>
    <cellStyle name="Warning Text 44" xfId="3585"/>
    <cellStyle name="Warning Text 45" xfId="3586"/>
    <cellStyle name="Warning Text 46" xfId="3587"/>
    <cellStyle name="Warning Text 47" xfId="3588"/>
    <cellStyle name="Warning Text 48" xfId="3589"/>
    <cellStyle name="Warning Text 49" xfId="3590"/>
    <cellStyle name="Warning Text 5" xfId="3591"/>
    <cellStyle name="Warning Text 5 2" xfId="24291"/>
    <cellStyle name="Warning Text 50" xfId="3592"/>
    <cellStyle name="Warning Text 51" xfId="3593"/>
    <cellStyle name="Warning Text 52" xfId="3594"/>
    <cellStyle name="Warning Text 53" xfId="3595"/>
    <cellStyle name="Warning Text 54" xfId="3596"/>
    <cellStyle name="Warning Text 55" xfId="3597"/>
    <cellStyle name="Warning Text 56" xfId="3598"/>
    <cellStyle name="Warning Text 57" xfId="3599"/>
    <cellStyle name="Warning Text 58" xfId="3600"/>
    <cellStyle name="Warning Text 59" xfId="3601"/>
    <cellStyle name="Warning Text 6" xfId="3602"/>
    <cellStyle name="Warning Text 60" xfId="3603"/>
    <cellStyle name="Warning Text 61" xfId="3604"/>
    <cellStyle name="Warning Text 62" xfId="3605"/>
    <cellStyle name="Warning Text 63" xfId="3606"/>
    <cellStyle name="Warning Text 64" xfId="3607"/>
    <cellStyle name="Warning Text 65" xfId="3608"/>
    <cellStyle name="Warning Text 66" xfId="3609"/>
    <cellStyle name="Warning Text 67" xfId="3610"/>
    <cellStyle name="Warning Text 68" xfId="3611"/>
    <cellStyle name="Warning Text 69" xfId="3612"/>
    <cellStyle name="Warning Text 7" xfId="3613"/>
    <cellStyle name="Warning Text 70" xfId="3614"/>
    <cellStyle name="Warning Text 71" xfId="3615"/>
    <cellStyle name="Warning Text 72" xfId="3616"/>
    <cellStyle name="Warning Text 8" xfId="3617"/>
    <cellStyle name="Warning Text 9" xfId="3618"/>
    <cellStyle name="WhitePattern" xfId="629"/>
    <cellStyle name="WhitePattern1" xfId="630"/>
    <cellStyle name="WhitePattern1 2" xfId="24526"/>
    <cellStyle name="WhitePattern1 2 2" xfId="25335"/>
    <cellStyle name="WhitePattern1 2 3" xfId="25597"/>
    <cellStyle name="WhitePattern1 3" xfId="24769"/>
    <cellStyle name="WhitePattern1 3 2" xfId="25286"/>
    <cellStyle name="WhitePattern1 3 3" xfId="25665"/>
    <cellStyle name="WhiteText" xfId="631"/>
    <cellStyle name="Year" xfId="632"/>
  </cellStyles>
  <dxfs count="0"/>
  <tableStyles count="0" defaultTableStyle="TableStyleMedium2" defaultPivotStyle="PivotStyleLight16"/>
  <colors>
    <mruColors>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opLeftCell="A3" zoomScale="80" zoomScaleNormal="80" workbookViewId="0">
      <selection activeCell="S30" sqref="S30"/>
    </sheetView>
  </sheetViews>
  <sheetFormatPr defaultColWidth="9.140625" defaultRowHeight="15.75"/>
  <cols>
    <col min="1" max="1" width="3.5703125" style="5" bestFit="1" customWidth="1"/>
    <col min="2" max="2" width="35.140625" style="5" bestFit="1" customWidth="1"/>
    <col min="3" max="3" width="1" style="5" customWidth="1"/>
    <col min="4" max="4" width="14.5703125" style="5" bestFit="1" customWidth="1"/>
    <col min="5" max="5" width="1" style="5" customWidth="1"/>
    <col min="6" max="6" width="0.85546875" style="5" customWidth="1"/>
    <col min="7" max="7" width="14.7109375" style="5" customWidth="1"/>
    <col min="8" max="8" width="1.28515625" style="5" customWidth="1"/>
    <col min="9" max="9" width="14" style="5" bestFit="1" customWidth="1"/>
    <col min="10" max="10" width="0.85546875" style="5" customWidth="1"/>
    <col min="11" max="11" width="1.42578125" style="5" customWidth="1"/>
    <col min="12" max="12" width="12.85546875" style="5" bestFit="1" customWidth="1"/>
    <col min="13" max="13" width="1" style="5" customWidth="1"/>
    <col min="14" max="14" width="0.85546875" style="5" customWidth="1"/>
    <col min="15" max="15" width="14.7109375" style="5" bestFit="1" customWidth="1"/>
    <col min="16" max="16" width="19.28515625" style="5" customWidth="1"/>
    <col min="17" max="17" width="1.140625" style="5" customWidth="1"/>
    <col min="18" max="18" width="9.140625" style="5"/>
    <col min="19" max="19" width="11.85546875" style="5" customWidth="1"/>
    <col min="20" max="20" width="12.28515625" style="5" bestFit="1" customWidth="1"/>
    <col min="21" max="21" width="10.5703125" style="5" bestFit="1" customWidth="1"/>
    <col min="22" max="16384" width="9.140625" style="5"/>
  </cols>
  <sheetData>
    <row r="1" spans="1:20">
      <c r="A1" s="1283" t="s">
        <v>114</v>
      </c>
      <c r="B1" s="1283"/>
      <c r="C1" s="1283"/>
      <c r="D1" s="1283"/>
      <c r="E1" s="1283"/>
      <c r="F1" s="1283"/>
      <c r="G1" s="1283"/>
      <c r="H1" s="1283"/>
      <c r="I1" s="1283"/>
      <c r="J1" s="1283"/>
      <c r="K1" s="1283"/>
      <c r="L1" s="1283"/>
      <c r="M1" s="1283"/>
      <c r="N1" s="1283"/>
      <c r="O1" s="1283"/>
      <c r="P1" s="1283"/>
      <c r="Q1" s="13"/>
    </row>
    <row r="2" spans="1:20">
      <c r="A2" s="1283" t="s">
        <v>1607</v>
      </c>
      <c r="B2" s="1283"/>
      <c r="C2" s="1283"/>
      <c r="D2" s="1283"/>
      <c r="E2" s="1283"/>
      <c r="F2" s="1283"/>
      <c r="G2" s="1283"/>
      <c r="H2" s="1283"/>
      <c r="I2" s="1283"/>
      <c r="J2" s="1283"/>
      <c r="K2" s="1283"/>
      <c r="L2" s="1283"/>
      <c r="M2" s="1283"/>
      <c r="N2" s="1283"/>
      <c r="O2" s="1283"/>
      <c r="P2" s="1283"/>
      <c r="Q2" s="26"/>
    </row>
    <row r="3" spans="1:20">
      <c r="A3" s="1284" t="s">
        <v>980</v>
      </c>
      <c r="B3" s="1284"/>
      <c r="C3" s="1284"/>
      <c r="D3" s="1284"/>
      <c r="E3" s="1284"/>
      <c r="F3" s="1284"/>
      <c r="G3" s="1284"/>
      <c r="H3" s="1284"/>
      <c r="I3" s="1284"/>
      <c r="J3" s="1284"/>
      <c r="K3" s="1284"/>
      <c r="L3" s="1284"/>
      <c r="M3" s="1284"/>
      <c r="N3" s="1284"/>
      <c r="O3" s="1284"/>
      <c r="P3" s="1284"/>
      <c r="Q3" s="26"/>
    </row>
    <row r="4" spans="1:20">
      <c r="A4" s="27"/>
      <c r="B4" s="27"/>
      <c r="C4" s="27"/>
      <c r="D4" s="27"/>
      <c r="E4" s="27"/>
      <c r="F4" s="27"/>
      <c r="G4" s="27"/>
      <c r="H4" s="27"/>
      <c r="I4" s="27"/>
      <c r="J4" s="27"/>
      <c r="K4" s="27"/>
      <c r="L4" s="27"/>
      <c r="M4" s="27"/>
      <c r="N4" s="27"/>
      <c r="O4" s="27"/>
      <c r="P4" s="26"/>
      <c r="Q4" s="26"/>
    </row>
    <row r="5" spans="1:20">
      <c r="A5" s="28"/>
      <c r="B5" s="28"/>
      <c r="C5" s="29"/>
      <c r="D5" s="30">
        <v>42735</v>
      </c>
      <c r="E5" s="31"/>
      <c r="F5" s="32"/>
      <c r="G5" s="34" t="s">
        <v>75</v>
      </c>
      <c r="H5" s="32"/>
      <c r="I5" s="33" t="s">
        <v>65</v>
      </c>
      <c r="J5" s="31"/>
      <c r="K5" s="32"/>
      <c r="L5" s="33" t="s">
        <v>67</v>
      </c>
      <c r="M5" s="33"/>
      <c r="N5" s="31"/>
      <c r="O5" s="34" t="s">
        <v>2</v>
      </c>
      <c r="P5" s="35"/>
      <c r="Q5" s="26"/>
    </row>
    <row r="6" spans="1:20">
      <c r="A6" s="26"/>
      <c r="B6" s="26"/>
      <c r="C6" s="36"/>
      <c r="D6" s="37" t="s">
        <v>0</v>
      </c>
      <c r="E6" s="36"/>
      <c r="F6" s="26"/>
      <c r="G6" s="43" t="s">
        <v>76</v>
      </c>
      <c r="H6" s="40"/>
      <c r="I6" s="41" t="s">
        <v>66</v>
      </c>
      <c r="J6" s="36"/>
      <c r="K6" s="26"/>
      <c r="L6" s="38" t="s">
        <v>964</v>
      </c>
      <c r="M6" s="38"/>
      <c r="N6" s="36"/>
      <c r="O6" s="42" t="s">
        <v>1598</v>
      </c>
      <c r="P6" s="36"/>
      <c r="Q6" s="26"/>
    </row>
    <row r="7" spans="1:20">
      <c r="A7" s="26"/>
      <c r="B7" s="26"/>
      <c r="C7" s="36"/>
      <c r="D7" s="37" t="s">
        <v>3</v>
      </c>
      <c r="E7" s="36"/>
      <c r="F7" s="26"/>
      <c r="G7" s="1095" t="s">
        <v>2064</v>
      </c>
      <c r="H7" s="26"/>
      <c r="I7" s="38" t="s">
        <v>54</v>
      </c>
      <c r="J7" s="36"/>
      <c r="K7" s="26"/>
      <c r="L7" s="38" t="s">
        <v>68</v>
      </c>
      <c r="M7" s="38"/>
      <c r="N7" s="36"/>
      <c r="O7" s="43" t="s">
        <v>77</v>
      </c>
      <c r="P7" s="36"/>
      <c r="Q7" s="26"/>
    </row>
    <row r="8" spans="1:20">
      <c r="A8" s="26"/>
      <c r="B8" s="26"/>
      <c r="C8" s="36"/>
      <c r="D8" s="37" t="s">
        <v>4</v>
      </c>
      <c r="E8" s="36"/>
      <c r="F8" s="26"/>
      <c r="G8" s="43" t="s">
        <v>1</v>
      </c>
      <c r="H8" s="26"/>
      <c r="I8" s="38"/>
      <c r="J8" s="36"/>
      <c r="K8" s="26"/>
      <c r="L8" s="38"/>
      <c r="M8" s="38"/>
      <c r="N8" s="36"/>
      <c r="O8" s="43" t="s">
        <v>78</v>
      </c>
      <c r="P8" s="36"/>
      <c r="Q8" s="26"/>
    </row>
    <row r="9" spans="1:20">
      <c r="A9" s="26"/>
      <c r="B9" s="26"/>
      <c r="C9" s="36"/>
      <c r="D9" s="37"/>
      <c r="E9" s="36"/>
      <c r="F9" s="26"/>
      <c r="G9" s="43"/>
      <c r="H9" s="26"/>
      <c r="I9" s="38"/>
      <c r="J9" s="36"/>
      <c r="K9" s="26"/>
      <c r="L9" s="41"/>
      <c r="M9" s="41"/>
      <c r="N9" s="36"/>
      <c r="O9" s="43"/>
      <c r="P9" s="36"/>
      <c r="Q9" s="26"/>
    </row>
    <row r="10" spans="1:20">
      <c r="A10" s="26"/>
      <c r="B10" s="25" t="s">
        <v>5</v>
      </c>
      <c r="C10" s="36"/>
      <c r="D10" s="44"/>
      <c r="E10" s="36"/>
      <c r="F10" s="26"/>
      <c r="G10" s="46"/>
      <c r="H10" s="26"/>
      <c r="I10" s="41"/>
      <c r="J10" s="36"/>
      <c r="K10" s="26"/>
      <c r="L10" s="45"/>
      <c r="M10" s="45"/>
      <c r="N10" s="36"/>
      <c r="O10" s="46"/>
      <c r="P10" s="36"/>
      <c r="Q10" s="26"/>
    </row>
    <row r="11" spans="1:20">
      <c r="A11" s="26"/>
      <c r="B11" s="26"/>
      <c r="C11" s="36"/>
      <c r="D11" s="47"/>
      <c r="E11" s="48"/>
      <c r="F11" s="49"/>
      <c r="G11" s="48"/>
      <c r="H11" s="49"/>
      <c r="I11" s="49"/>
      <c r="J11" s="48"/>
      <c r="K11" s="49"/>
      <c r="L11" s="49"/>
      <c r="M11" s="49"/>
      <c r="N11" s="48"/>
      <c r="O11" s="48"/>
      <c r="P11" s="50"/>
      <c r="Q11" s="51"/>
    </row>
    <row r="12" spans="1:20">
      <c r="A12" s="26"/>
      <c r="B12" s="25" t="s">
        <v>6</v>
      </c>
      <c r="C12" s="36"/>
      <c r="D12" s="51"/>
      <c r="E12" s="36"/>
      <c r="F12" s="26"/>
      <c r="G12" s="1096"/>
      <c r="H12" s="26"/>
      <c r="I12" s="26"/>
      <c r="J12" s="36"/>
      <c r="K12" s="26"/>
      <c r="L12" s="26"/>
      <c r="M12" s="26"/>
      <c r="N12" s="36"/>
      <c r="O12" s="36"/>
      <c r="P12" s="36"/>
      <c r="Q12" s="26"/>
    </row>
    <row r="13" spans="1:20">
      <c r="A13" s="26">
        <v>1</v>
      </c>
      <c r="B13" s="53" t="s">
        <v>26</v>
      </c>
      <c r="C13" s="54"/>
      <c r="D13" s="55">
        <f>+'Operating Report'!G17</f>
        <v>182902832.87</v>
      </c>
      <c r="E13" s="56"/>
      <c r="F13" s="57"/>
      <c r="G13" s="87">
        <f>+'Exh KMH-2 Adjustments Pg 2'!AG16</f>
        <v>12168128.690294765</v>
      </c>
      <c r="H13" s="57"/>
      <c r="I13" s="58">
        <f>+D13+G13</f>
        <v>195070961.56029478</v>
      </c>
      <c r="J13" s="56"/>
      <c r="K13" s="57"/>
      <c r="L13" s="58">
        <f>+'Rev Req Calc'!D21-L14</f>
        <v>-4524475.9712974951</v>
      </c>
      <c r="M13" s="58"/>
      <c r="N13" s="56"/>
      <c r="O13" s="59">
        <f>+I13+L13</f>
        <v>190546485.58899727</v>
      </c>
      <c r="P13" s="56"/>
      <c r="Q13" s="60"/>
      <c r="S13" s="61"/>
      <c r="T13" s="61"/>
    </row>
    <row r="14" spans="1:20">
      <c r="A14" s="26">
        <v>2</v>
      </c>
      <c r="B14" s="53" t="s">
        <v>27</v>
      </c>
      <c r="C14" s="54"/>
      <c r="D14" s="62">
        <f>+'Operating Report'!G21</f>
        <v>21216454.399999999</v>
      </c>
      <c r="E14" s="56"/>
      <c r="F14" s="57"/>
      <c r="G14" s="87">
        <f>+'Exh KMH-2 Adjustments Pg 2'!AG17</f>
        <v>1787452.100000002</v>
      </c>
      <c r="H14" s="57"/>
      <c r="I14" s="58">
        <f>+D14+G14</f>
        <v>23003906.5</v>
      </c>
      <c r="J14" s="56"/>
      <c r="K14" s="57"/>
      <c r="L14" s="57">
        <v>1200000</v>
      </c>
      <c r="M14" s="57"/>
      <c r="N14" s="56"/>
      <c r="O14" s="59">
        <f>+I14+L14</f>
        <v>24203906.5</v>
      </c>
      <c r="P14" s="56"/>
      <c r="Q14" s="63"/>
      <c r="S14" s="61"/>
      <c r="T14" s="61"/>
    </row>
    <row r="15" spans="1:20">
      <c r="A15" s="26">
        <v>3</v>
      </c>
      <c r="B15" s="53" t="s">
        <v>28</v>
      </c>
      <c r="C15" s="64"/>
      <c r="D15" s="65">
        <f>+'Operating Report'!G26-'Operating Report'!G21</f>
        <v>1011374.9600000009</v>
      </c>
      <c r="E15" s="56"/>
      <c r="F15" s="57"/>
      <c r="G15" s="87">
        <f>+'Exh KMH-2 Adjustments Pg 2'!AG18</f>
        <v>87366</v>
      </c>
      <c r="H15" s="57"/>
      <c r="I15" s="58">
        <f>+D15+G15</f>
        <v>1098740.9600000009</v>
      </c>
      <c r="J15" s="56"/>
      <c r="K15" s="57"/>
      <c r="L15" s="57"/>
      <c r="M15" s="57"/>
      <c r="N15" s="56"/>
      <c r="O15" s="59">
        <f>+I15+L15</f>
        <v>1098740.9600000009</v>
      </c>
      <c r="P15" s="56"/>
      <c r="Q15" s="63"/>
      <c r="S15" s="61"/>
      <c r="T15" s="61"/>
    </row>
    <row r="16" spans="1:20">
      <c r="A16" s="26">
        <v>4</v>
      </c>
      <c r="B16" s="66" t="s">
        <v>1363</v>
      </c>
      <c r="C16" s="54"/>
      <c r="D16" s="62">
        <f>SUM(D13:D15)</f>
        <v>205130662.23000002</v>
      </c>
      <c r="E16" s="56"/>
      <c r="F16" s="57"/>
      <c r="G16" s="68">
        <f>SUM(G13:G15)</f>
        <v>14042946.790294766</v>
      </c>
      <c r="H16" s="57"/>
      <c r="I16" s="67">
        <f>SUM(I13:I15)</f>
        <v>219173609.02029479</v>
      </c>
      <c r="J16" s="56"/>
      <c r="K16" s="57"/>
      <c r="L16" s="67">
        <f>SUM(L13:L15)</f>
        <v>-3324475.9712974951</v>
      </c>
      <c r="M16" s="61"/>
      <c r="N16" s="56"/>
      <c r="O16" s="68">
        <f>SUM(O13:O15)</f>
        <v>215849133.04899728</v>
      </c>
      <c r="P16" s="56"/>
      <c r="Q16" s="63"/>
      <c r="S16" s="61"/>
      <c r="T16" s="61"/>
    </row>
    <row r="17" spans="1:21">
      <c r="A17" s="26"/>
      <c r="B17" s="53"/>
      <c r="C17" s="54"/>
      <c r="D17" s="62"/>
      <c r="E17" s="56"/>
      <c r="F17" s="57"/>
      <c r="G17" s="69"/>
      <c r="H17" s="57"/>
      <c r="I17" s="61"/>
      <c r="J17" s="56"/>
      <c r="K17" s="57"/>
      <c r="L17" s="61"/>
      <c r="M17" s="61"/>
      <c r="N17" s="56"/>
      <c r="O17" s="69"/>
      <c r="P17" s="56"/>
      <c r="Q17" s="63"/>
      <c r="S17" s="61"/>
      <c r="T17" s="61"/>
      <c r="U17" s="61"/>
    </row>
    <row r="18" spans="1:21">
      <c r="A18" s="26"/>
      <c r="B18" s="53" t="s">
        <v>7</v>
      </c>
      <c r="C18" s="54"/>
      <c r="D18" s="62"/>
      <c r="E18" s="56"/>
      <c r="F18" s="57"/>
      <c r="G18" s="69"/>
      <c r="H18" s="57"/>
      <c r="I18" s="61"/>
      <c r="J18" s="56"/>
      <c r="K18" s="57"/>
      <c r="L18" s="61"/>
      <c r="M18" s="61"/>
      <c r="N18" s="56"/>
      <c r="O18" s="69"/>
      <c r="P18" s="56"/>
      <c r="Q18" s="63"/>
      <c r="S18" s="61"/>
      <c r="T18" s="61"/>
    </row>
    <row r="19" spans="1:21">
      <c r="A19" s="26">
        <v>5</v>
      </c>
      <c r="B19" s="53" t="s">
        <v>1364</v>
      </c>
      <c r="C19" s="54"/>
      <c r="D19" s="62">
        <f>+'Operating Report'!G36</f>
        <v>103593864.52000001</v>
      </c>
      <c r="E19" s="56"/>
      <c r="F19" s="57"/>
      <c r="G19" s="87">
        <f>+'Exh KMH-2 Adjustments Pg 2'!AG22</f>
        <v>4981076.2482290007</v>
      </c>
      <c r="H19" s="57"/>
      <c r="I19" s="58">
        <f t="shared" ref="I19:I30" si="0">+D19+G19</f>
        <v>108574940.76822901</v>
      </c>
      <c r="J19" s="56"/>
      <c r="K19" s="57"/>
      <c r="L19" s="57"/>
      <c r="M19" s="57"/>
      <c r="N19" s="56"/>
      <c r="O19" s="59">
        <f>+I19+L19</f>
        <v>108574940.76822901</v>
      </c>
      <c r="P19" s="56"/>
      <c r="Q19" s="63"/>
      <c r="S19" s="61"/>
      <c r="T19" s="70"/>
      <c r="U19" s="61"/>
    </row>
    <row r="20" spans="1:21">
      <c r="A20" s="26">
        <v>6</v>
      </c>
      <c r="B20" s="53" t="s">
        <v>1365</v>
      </c>
      <c r="C20" s="54"/>
      <c r="D20" s="62">
        <f>+'Operating Report'!G52</f>
        <v>16946340.530000001</v>
      </c>
      <c r="E20" s="56"/>
      <c r="F20" s="57"/>
      <c r="G20" s="87">
        <f>+'Exh KMH-2 Adjustments Pg 2'!AG23</f>
        <v>569020.20394274406</v>
      </c>
      <c r="H20" s="57"/>
      <c r="I20" s="58">
        <f t="shared" si="0"/>
        <v>17515360.733942747</v>
      </c>
      <c r="J20" s="56"/>
      <c r="K20" s="57"/>
      <c r="L20" s="57">
        <f>+L16*('Conversion Factor'!C9+'Conversion Factor'!C10)</f>
        <v>-134707.76635697449</v>
      </c>
      <c r="M20" s="57"/>
      <c r="N20" s="56"/>
      <c r="O20" s="71">
        <f>+I20+L20</f>
        <v>17380652.967585772</v>
      </c>
      <c r="P20" s="56"/>
      <c r="Q20" s="63"/>
      <c r="S20" s="61"/>
    </row>
    <row r="21" spans="1:21">
      <c r="A21" s="26">
        <v>7</v>
      </c>
      <c r="B21" s="72" t="s">
        <v>30</v>
      </c>
      <c r="C21" s="54"/>
      <c r="D21" s="62">
        <f>+'Operating Report'!G56</f>
        <v>518988.74</v>
      </c>
      <c r="E21" s="56"/>
      <c r="F21" s="57"/>
      <c r="G21" s="87">
        <f>+'Exh KMH-2 Adjustments Pg 2'!AG24</f>
        <v>7924.4900311199854</v>
      </c>
      <c r="H21" s="57"/>
      <c r="I21" s="58">
        <f t="shared" si="0"/>
        <v>526913.23003112001</v>
      </c>
      <c r="J21" s="56"/>
      <c r="K21" s="57"/>
      <c r="L21" s="57"/>
      <c r="M21" s="57"/>
      <c r="N21" s="56"/>
      <c r="O21" s="59">
        <f t="shared" ref="O21:O30" si="1">+I21+L21</f>
        <v>526913.23003112001</v>
      </c>
      <c r="P21" s="56"/>
      <c r="Q21" s="73"/>
      <c r="S21" s="74"/>
      <c r="U21" s="74"/>
    </row>
    <row r="22" spans="1:21">
      <c r="A22" s="26">
        <v>8</v>
      </c>
      <c r="B22" s="72" t="s">
        <v>8</v>
      </c>
      <c r="C22" s="54"/>
      <c r="D22" s="62">
        <f>+'Operating Report'!G84</f>
        <v>16326277.390000001</v>
      </c>
      <c r="E22" s="56"/>
      <c r="F22" s="57"/>
      <c r="G22" s="87">
        <f>+'Exh KMH-2 Adjustments Pg 2'!AG25</f>
        <v>982531.71855094749</v>
      </c>
      <c r="H22" s="57"/>
      <c r="I22" s="58">
        <f t="shared" si="0"/>
        <v>17308809.108550947</v>
      </c>
      <c r="J22" s="56"/>
      <c r="K22" s="57"/>
      <c r="L22" s="57"/>
      <c r="M22" s="57"/>
      <c r="N22" s="56"/>
      <c r="O22" s="59">
        <f t="shared" si="1"/>
        <v>17308809.108550947</v>
      </c>
      <c r="P22" s="56"/>
      <c r="Q22" s="73"/>
      <c r="S22" s="75"/>
      <c r="U22" s="74"/>
    </row>
    <row r="23" spans="1:21">
      <c r="A23" s="26">
        <v>9</v>
      </c>
      <c r="B23" s="72" t="s">
        <v>31</v>
      </c>
      <c r="C23" s="54"/>
      <c r="D23" s="62">
        <f>+'Operating Report'!G92</f>
        <v>6383108.290000001</v>
      </c>
      <c r="E23" s="56"/>
      <c r="F23" s="57"/>
      <c r="G23" s="87">
        <f>+'Exh KMH-2 Adjustments Pg 2'!AG26</f>
        <v>97959.389842095843</v>
      </c>
      <c r="H23" s="57"/>
      <c r="I23" s="58">
        <f t="shared" si="0"/>
        <v>6481067.6798420968</v>
      </c>
      <c r="J23" s="56"/>
      <c r="K23" s="57"/>
      <c r="L23" s="57">
        <f>+L16*'Conversion Factor'!C8</f>
        <v>-12609.853044648587</v>
      </c>
      <c r="M23" s="57"/>
      <c r="N23" s="56"/>
      <c r="O23" s="59">
        <f t="shared" si="1"/>
        <v>6468457.8267974481</v>
      </c>
      <c r="P23" s="56"/>
      <c r="Q23" s="73"/>
      <c r="U23" s="74"/>
    </row>
    <row r="24" spans="1:21">
      <c r="A24" s="26">
        <v>10</v>
      </c>
      <c r="B24" s="72" t="s">
        <v>9</v>
      </c>
      <c r="C24" s="54"/>
      <c r="D24" s="62">
        <f>+'Operating Report'!G99</f>
        <v>824095.64</v>
      </c>
      <c r="E24" s="56"/>
      <c r="F24" s="57"/>
      <c r="G24" s="87">
        <f>+'Exh KMH-2 Adjustments Pg 2'!AG27</f>
        <v>-533333.36</v>
      </c>
      <c r="H24" s="57"/>
      <c r="I24" s="58">
        <f t="shared" si="0"/>
        <v>290762.28000000003</v>
      </c>
      <c r="J24" s="56"/>
      <c r="K24" s="57"/>
      <c r="L24" s="57"/>
      <c r="M24" s="57"/>
      <c r="N24" s="56"/>
      <c r="O24" s="59">
        <f t="shared" si="1"/>
        <v>290762.28000000003</v>
      </c>
      <c r="P24" s="56"/>
      <c r="Q24" s="73"/>
    </row>
    <row r="25" spans="1:21">
      <c r="A25" s="26">
        <v>11</v>
      </c>
      <c r="B25" s="72" t="s">
        <v>10</v>
      </c>
      <c r="C25" s="54"/>
      <c r="D25" s="62">
        <f>+'Operating Report'!G106</f>
        <v>4916.59</v>
      </c>
      <c r="E25" s="56"/>
      <c r="F25" s="57"/>
      <c r="G25" s="87">
        <f>+'Exh KMH-2 Adjustments Pg 2'!AG28</f>
        <v>-4916.5899999999992</v>
      </c>
      <c r="H25" s="57"/>
      <c r="I25" s="58">
        <f t="shared" si="0"/>
        <v>0</v>
      </c>
      <c r="J25" s="56"/>
      <c r="K25" s="57"/>
      <c r="L25" s="76"/>
      <c r="M25" s="76"/>
      <c r="N25" s="56"/>
      <c r="O25" s="59">
        <f t="shared" si="1"/>
        <v>0</v>
      </c>
      <c r="P25" s="56"/>
      <c r="Q25" s="73"/>
    </row>
    <row r="26" spans="1:21">
      <c r="A26" s="26">
        <v>12</v>
      </c>
      <c r="B26" s="72" t="s">
        <v>11</v>
      </c>
      <c r="C26" s="64"/>
      <c r="D26" s="62">
        <f>+'Operating Report'!G122</f>
        <v>16459957.959999999</v>
      </c>
      <c r="E26" s="56"/>
      <c r="F26" s="57"/>
      <c r="G26" s="87">
        <f>+'Exh KMH-2 Adjustments Pg 2'!AG29</f>
        <v>-1402465.0442344875</v>
      </c>
      <c r="H26" s="57"/>
      <c r="I26" s="58">
        <f t="shared" si="0"/>
        <v>15057492.915765511</v>
      </c>
      <c r="J26" s="56"/>
      <c r="K26" s="57"/>
      <c r="L26" s="76"/>
      <c r="M26" s="76"/>
      <c r="N26" s="56"/>
      <c r="O26" s="59">
        <f t="shared" si="1"/>
        <v>15057492.915765511</v>
      </c>
      <c r="P26" s="56"/>
      <c r="Q26" s="60"/>
    </row>
    <row r="27" spans="1:21">
      <c r="A27" s="26">
        <v>13</v>
      </c>
      <c r="B27" s="72" t="s">
        <v>32</v>
      </c>
      <c r="C27" s="54"/>
      <c r="D27" s="55">
        <f>+'Operating Report'!G134</f>
        <v>19218442.350000001</v>
      </c>
      <c r="E27" s="56"/>
      <c r="F27" s="57"/>
      <c r="G27" s="87">
        <f>+'Exh KMH-2 Adjustments Pg 2'!AG30</f>
        <v>230313.81640975003</v>
      </c>
      <c r="H27" s="57"/>
      <c r="I27" s="58">
        <f t="shared" si="0"/>
        <v>19448756.166409753</v>
      </c>
      <c r="J27" s="56"/>
      <c r="K27" s="57"/>
      <c r="L27" s="76"/>
      <c r="M27" s="76"/>
      <c r="N27" s="56"/>
      <c r="O27" s="59">
        <f t="shared" si="1"/>
        <v>19448756.166409753</v>
      </c>
      <c r="P27" s="56"/>
      <c r="Q27" s="63"/>
    </row>
    <row r="28" spans="1:21">
      <c r="A28" s="26">
        <v>14</v>
      </c>
      <c r="B28" s="72" t="s">
        <v>33</v>
      </c>
      <c r="C28" s="54"/>
      <c r="D28" s="77"/>
      <c r="E28" s="56"/>
      <c r="F28" s="57"/>
      <c r="G28" s="87">
        <f>+'Exh KMH-2 Adjustments Pg 2'!AG31</f>
        <v>0</v>
      </c>
      <c r="H28" s="57"/>
      <c r="I28" s="58">
        <f t="shared" si="0"/>
        <v>0</v>
      </c>
      <c r="J28" s="56"/>
      <c r="K28" s="57"/>
      <c r="L28" s="57"/>
      <c r="M28" s="57"/>
      <c r="N28" s="56"/>
      <c r="O28" s="59">
        <f t="shared" si="1"/>
        <v>0</v>
      </c>
      <c r="P28" s="56"/>
      <c r="Q28" s="63"/>
    </row>
    <row r="29" spans="1:21">
      <c r="A29" s="26">
        <v>15</v>
      </c>
      <c r="B29" s="72" t="s">
        <v>34</v>
      </c>
      <c r="C29" s="54"/>
      <c r="D29" s="62">
        <f>+'Operating Report'!G139</f>
        <v>4095633.81</v>
      </c>
      <c r="E29" s="56"/>
      <c r="F29" s="57"/>
      <c r="G29" s="87">
        <f>+'Exh KMH-2 Adjustments Pg 2'!AG32</f>
        <v>141421.72606578434</v>
      </c>
      <c r="H29" s="57"/>
      <c r="I29" s="58">
        <f t="shared" si="0"/>
        <v>4237055.5360657843</v>
      </c>
      <c r="J29" s="56"/>
      <c r="K29" s="57"/>
      <c r="L29" s="57"/>
      <c r="M29" s="57"/>
      <c r="N29" s="56"/>
      <c r="O29" s="59">
        <f t="shared" si="1"/>
        <v>4237055.5360657843</v>
      </c>
      <c r="P29" s="56"/>
      <c r="Q29" s="63"/>
    </row>
    <row r="30" spans="1:21">
      <c r="A30" s="26">
        <v>16</v>
      </c>
      <c r="B30" s="72" t="s">
        <v>35</v>
      </c>
      <c r="C30" s="54"/>
      <c r="D30" s="1058">
        <f>+'Operating Report'!G148</f>
        <v>4154374.23</v>
      </c>
      <c r="E30" s="56"/>
      <c r="F30" s="57"/>
      <c r="G30" s="87">
        <f>+'Exh KMH-2 Adjustments Pg 2'!AG33</f>
        <v>3493683.6206109785</v>
      </c>
      <c r="H30" s="57"/>
      <c r="I30" s="58">
        <f t="shared" si="0"/>
        <v>7648057.8506109789</v>
      </c>
      <c r="J30" s="56"/>
      <c r="K30" s="57"/>
      <c r="L30" s="57">
        <f>(+L16-L20-L23)*'Conversion Factor'!C31</f>
        <v>-1112005.4231635551</v>
      </c>
      <c r="M30" s="57"/>
      <c r="N30" s="56"/>
      <c r="O30" s="59">
        <f t="shared" si="1"/>
        <v>6536052.4274474233</v>
      </c>
      <c r="P30" s="56"/>
      <c r="Q30" s="63"/>
    </row>
    <row r="31" spans="1:21" ht="16.5" thickBot="1">
      <c r="A31" s="26">
        <v>17</v>
      </c>
      <c r="B31" s="78" t="s">
        <v>36</v>
      </c>
      <c r="C31" s="36"/>
      <c r="D31" s="79">
        <f>SUM(D19:D30)</f>
        <v>188526000.04999998</v>
      </c>
      <c r="E31" s="56"/>
      <c r="F31" s="57"/>
      <c r="G31" s="82">
        <f>SUM(G19:G30)</f>
        <v>8563216.2194479331</v>
      </c>
      <c r="H31" s="57"/>
      <c r="I31" s="80">
        <f>SUM(I19:I30)</f>
        <v>197089216.26944795</v>
      </c>
      <c r="J31" s="56"/>
      <c r="K31" s="57"/>
      <c r="L31" s="80">
        <f>SUM(L19:L30)</f>
        <v>-1259323.0425651781</v>
      </c>
      <c r="M31" s="81"/>
      <c r="N31" s="56"/>
      <c r="O31" s="82">
        <f>SUM(O19:O30)</f>
        <v>195829893.22688282</v>
      </c>
      <c r="P31" s="56"/>
      <c r="Q31" s="60"/>
    </row>
    <row r="32" spans="1:21" ht="17.25" thickTop="1" thickBot="1">
      <c r="A32" s="26">
        <v>18</v>
      </c>
      <c r="B32" s="78" t="s">
        <v>12</v>
      </c>
      <c r="C32" s="36"/>
      <c r="D32" s="79">
        <f>+D16-D31</f>
        <v>16604662.180000037</v>
      </c>
      <c r="E32" s="56"/>
      <c r="F32" s="57"/>
      <c r="G32" s="82">
        <f>+G16-G31</f>
        <v>5479730.5708468333</v>
      </c>
      <c r="H32" s="57"/>
      <c r="I32" s="80">
        <f>+I16-I31</f>
        <v>22084392.750846833</v>
      </c>
      <c r="J32" s="56"/>
      <c r="K32" s="57"/>
      <c r="L32" s="80">
        <f>+L16-L31</f>
        <v>-2065152.9287323169</v>
      </c>
      <c r="M32" s="81"/>
      <c r="N32" s="56"/>
      <c r="O32" s="82">
        <f>+O16-O31</f>
        <v>20019239.822114468</v>
      </c>
      <c r="P32" s="56"/>
      <c r="Q32" s="60"/>
      <c r="S32" s="83"/>
    </row>
    <row r="33" spans="1:19" ht="16.5" thickTop="1">
      <c r="A33" s="26"/>
      <c r="B33" s="78"/>
      <c r="C33" s="36"/>
      <c r="D33" s="84"/>
      <c r="E33" s="56"/>
      <c r="F33" s="57"/>
      <c r="G33" s="85"/>
      <c r="H33" s="57"/>
      <c r="I33" s="81"/>
      <c r="J33" s="56"/>
      <c r="K33" s="57"/>
      <c r="L33" s="81"/>
      <c r="M33" s="81"/>
      <c r="N33" s="56"/>
      <c r="O33" s="85"/>
      <c r="P33" s="56"/>
      <c r="Q33" s="60"/>
      <c r="S33" s="83"/>
    </row>
    <row r="34" spans="1:19">
      <c r="A34" s="26"/>
      <c r="B34" s="78" t="s">
        <v>37</v>
      </c>
      <c r="C34" s="54"/>
      <c r="D34" s="86"/>
      <c r="E34" s="56"/>
      <c r="F34" s="57"/>
      <c r="G34" s="87"/>
      <c r="H34" s="57"/>
      <c r="I34" s="57"/>
      <c r="J34" s="56"/>
      <c r="K34" s="57"/>
      <c r="L34" s="57"/>
      <c r="M34" s="57"/>
      <c r="N34" s="56"/>
      <c r="O34" s="87"/>
      <c r="P34" s="56"/>
      <c r="Q34" s="73"/>
    </row>
    <row r="35" spans="1:19">
      <c r="A35" s="26">
        <v>19</v>
      </c>
      <c r="B35" s="53" t="s">
        <v>39</v>
      </c>
      <c r="C35" s="54"/>
      <c r="D35" s="55">
        <f>+'Rate Base'!D13</f>
        <v>677314165.18981874</v>
      </c>
      <c r="E35" s="56"/>
      <c r="F35" s="57"/>
      <c r="G35" s="87">
        <f>+'Exh KMH-2 Adjustments Pg 2'!AG38</f>
        <v>10548581.273750002</v>
      </c>
      <c r="H35" s="57"/>
      <c r="I35" s="58">
        <f>+D35+G35</f>
        <v>687862746.46356869</v>
      </c>
      <c r="J35" s="56"/>
      <c r="K35" s="57"/>
      <c r="L35" s="58"/>
      <c r="M35" s="58"/>
      <c r="N35" s="56"/>
      <c r="O35" s="59">
        <f t="shared" ref="O35:O39" si="2">+I35+L35</f>
        <v>687862746.46356869</v>
      </c>
      <c r="P35" s="56"/>
      <c r="Q35" s="60"/>
    </row>
    <row r="36" spans="1:19">
      <c r="A36" s="26">
        <v>20</v>
      </c>
      <c r="B36" s="53" t="s">
        <v>40</v>
      </c>
      <c r="C36" s="54"/>
      <c r="D36" s="62">
        <f>+'Rate Base'!D14</f>
        <v>-345424354.83661753</v>
      </c>
      <c r="E36" s="56"/>
      <c r="F36" s="57"/>
      <c r="G36" s="87">
        <f>+'Exh KMH-2 Adjustments Pg 2'!AG39</f>
        <v>-115156.90820487501</v>
      </c>
      <c r="H36" s="57"/>
      <c r="I36" s="58">
        <f>+D36+G36</f>
        <v>-345539511.74482238</v>
      </c>
      <c r="J36" s="56"/>
      <c r="K36" s="57"/>
      <c r="L36" s="58"/>
      <c r="M36" s="58"/>
      <c r="N36" s="56"/>
      <c r="O36" s="59">
        <f t="shared" si="2"/>
        <v>-345539511.74482238</v>
      </c>
      <c r="P36" s="56"/>
      <c r="Q36" s="63"/>
    </row>
    <row r="37" spans="1:19">
      <c r="A37" s="26">
        <v>21</v>
      </c>
      <c r="B37" s="64" t="s">
        <v>13</v>
      </c>
      <c r="C37" s="64"/>
      <c r="D37" s="62">
        <f>+'Rate Base'!D16</f>
        <v>-3771590.387083333</v>
      </c>
      <c r="E37" s="56"/>
      <c r="F37" s="57"/>
      <c r="G37" s="87">
        <f>+'Exh KMH-2 Adjustments Pg 2'!AG40</f>
        <v>0</v>
      </c>
      <c r="H37" s="57"/>
      <c r="I37" s="58">
        <f>+D37+G37</f>
        <v>-3771590.387083333</v>
      </c>
      <c r="J37" s="56"/>
      <c r="K37" s="57"/>
      <c r="L37" s="58"/>
      <c r="M37" s="58"/>
      <c r="N37" s="56"/>
      <c r="O37" s="59">
        <f t="shared" si="2"/>
        <v>-3771590.387083333</v>
      </c>
      <c r="P37" s="56"/>
      <c r="Q37" s="63"/>
    </row>
    <row r="38" spans="1:19">
      <c r="A38" s="26">
        <v>22</v>
      </c>
      <c r="B38" s="64" t="s">
        <v>41</v>
      </c>
      <c r="C38" s="54"/>
      <c r="D38" s="62">
        <f>+'Rate Base'!D17</f>
        <v>-73667038.139583334</v>
      </c>
      <c r="E38" s="56"/>
      <c r="F38" s="57"/>
      <c r="G38" s="87">
        <f>+'Exh KMH-2 Adjustments Pg 2'!AG41</f>
        <v>-28920.14673727813</v>
      </c>
      <c r="H38" s="57"/>
      <c r="I38" s="58">
        <f>+D38+G38</f>
        <v>-73695958.286320612</v>
      </c>
      <c r="J38" s="56"/>
      <c r="K38" s="57"/>
      <c r="L38" s="58"/>
      <c r="M38" s="58"/>
      <c r="N38" s="56"/>
      <c r="O38" s="59">
        <f t="shared" si="2"/>
        <v>-73695958.286320612</v>
      </c>
      <c r="P38" s="56"/>
      <c r="Q38" s="63"/>
    </row>
    <row r="39" spans="1:19">
      <c r="A39" s="26">
        <v>23</v>
      </c>
      <c r="B39" s="64" t="s">
        <v>42</v>
      </c>
      <c r="C39" s="54"/>
      <c r="D39" s="62">
        <f>+'Rate Base'!D18</f>
        <v>25610869.595646363</v>
      </c>
      <c r="E39" s="56"/>
      <c r="F39" s="57"/>
      <c r="G39" s="87">
        <f>+'Exh KMH-2 Adjustments Pg 2'!AG42</f>
        <v>-12922679</v>
      </c>
      <c r="H39" s="57"/>
      <c r="I39" s="58">
        <f>+D39+G39</f>
        <v>12688190.595646363</v>
      </c>
      <c r="J39" s="56"/>
      <c r="K39" s="57"/>
      <c r="L39" s="58"/>
      <c r="M39" s="58"/>
      <c r="N39" s="56"/>
      <c r="O39" s="59">
        <f t="shared" si="2"/>
        <v>12688190.595646363</v>
      </c>
      <c r="P39" s="56"/>
      <c r="Q39" s="63"/>
    </row>
    <row r="40" spans="1:19" ht="16.5" thickBot="1">
      <c r="A40" s="26">
        <v>24</v>
      </c>
      <c r="B40" s="78" t="s">
        <v>38</v>
      </c>
      <c r="C40" s="26"/>
      <c r="D40" s="88">
        <f>SUM(D35:D39)</f>
        <v>280062051.42218089</v>
      </c>
      <c r="E40" s="56"/>
      <c r="F40" s="57"/>
      <c r="G40" s="88">
        <f>SUM(G35:G39)</f>
        <v>-2518174.7811921518</v>
      </c>
      <c r="H40" s="57"/>
      <c r="I40" s="88">
        <f>SUM(I35:I39)</f>
        <v>277543876.64098871</v>
      </c>
      <c r="J40" s="56"/>
      <c r="K40" s="57"/>
      <c r="L40" s="88">
        <f>SUM(L35:L39)</f>
        <v>0</v>
      </c>
      <c r="M40" s="84"/>
      <c r="N40" s="56"/>
      <c r="O40" s="88">
        <f>SUM(O35:O39)</f>
        <v>277543876.64098871</v>
      </c>
      <c r="P40" s="56"/>
      <c r="Q40" s="60"/>
    </row>
    <row r="41" spans="1:19" ht="16.5" thickTop="1">
      <c r="A41" s="26">
        <v>25</v>
      </c>
      <c r="B41" s="78" t="s">
        <v>14</v>
      </c>
      <c r="C41" s="54"/>
      <c r="D41" s="89">
        <f>+D32/D40</f>
        <v>5.9289225711516548E-2</v>
      </c>
      <c r="E41" s="36"/>
      <c r="F41" s="26"/>
      <c r="G41" s="36"/>
      <c r="H41" s="26"/>
      <c r="I41" s="90">
        <f>+I32/I40</f>
        <v>7.9570816038624606E-2</v>
      </c>
      <c r="J41" s="36"/>
      <c r="K41" s="26"/>
      <c r="L41" s="91"/>
      <c r="M41" s="91"/>
      <c r="N41" s="36"/>
      <c r="O41" s="92">
        <f>+O32/O40</f>
        <v>7.2129999999999833E-2</v>
      </c>
      <c r="P41" s="36"/>
      <c r="Q41" s="26"/>
    </row>
    <row r="42" spans="1:19">
      <c r="A42" s="93"/>
      <c r="B42" s="94"/>
      <c r="C42" s="95"/>
      <c r="D42" s="96"/>
      <c r="E42" s="48"/>
      <c r="F42" s="49"/>
      <c r="G42" s="48"/>
      <c r="H42" s="49"/>
      <c r="I42" s="97"/>
      <c r="J42" s="48"/>
      <c r="K42" s="49"/>
      <c r="L42" s="49"/>
      <c r="M42" s="49"/>
      <c r="N42" s="49"/>
      <c r="O42" s="98"/>
      <c r="P42" s="99"/>
      <c r="Q42" s="51"/>
    </row>
    <row r="43" spans="1:19">
      <c r="A43" s="27"/>
      <c r="B43" s="27"/>
      <c r="C43" s="27"/>
      <c r="D43" s="27"/>
      <c r="E43" s="27"/>
      <c r="F43" s="27"/>
      <c r="G43" s="27"/>
      <c r="H43" s="27"/>
      <c r="I43" s="27"/>
      <c r="J43" s="27"/>
      <c r="K43" s="27"/>
      <c r="L43" s="27"/>
      <c r="M43" s="27"/>
      <c r="N43" s="27"/>
      <c r="O43" s="27"/>
      <c r="P43" s="27"/>
      <c r="Q43" s="27"/>
    </row>
    <row r="45" spans="1:19">
      <c r="L45" s="100"/>
    </row>
    <row r="47" spans="1:19">
      <c r="L47" s="75"/>
    </row>
  </sheetData>
  <mergeCells count="3">
    <mergeCell ref="A1:P1"/>
    <mergeCell ref="A3:P3"/>
    <mergeCell ref="A2:P2"/>
  </mergeCells>
  <printOptions horizontalCentered="1"/>
  <pageMargins left="0.5" right="0.5" top="1" bottom="1" header="0.3" footer="0.3"/>
  <pageSetup scale="80" orientation="portrait" r:id="rId1"/>
  <headerFooter scaleWithDoc="0" alignWithMargins="0">
    <oddHeader>&amp;C&amp;KFF0000CONFIDENTIAL</oddHeader>
    <oddFooter>&amp;CSettlement at 9 point 5 and EO cap structure 8M in plant #2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view="pageBreakPreview" topLeftCell="H1" zoomScaleNormal="100" zoomScaleSheetLayoutView="100" workbookViewId="0">
      <selection activeCell="S3" sqref="S3:W3"/>
    </sheetView>
  </sheetViews>
  <sheetFormatPr defaultColWidth="9.140625" defaultRowHeight="15.75"/>
  <cols>
    <col min="1" max="1" width="9.28515625" style="20" bestFit="1" customWidth="1"/>
    <col min="2" max="2" width="9.28515625" style="5" bestFit="1" customWidth="1"/>
    <col min="3" max="3" width="44.28515625" style="5" customWidth="1"/>
    <col min="4" max="4" width="2.7109375" style="5" customWidth="1"/>
    <col min="5" max="5" width="17.140625" style="5" bestFit="1" customWidth="1"/>
    <col min="6" max="6" width="16.42578125" style="5" bestFit="1" customWidth="1"/>
    <col min="7" max="7" width="16.85546875" style="5" bestFit="1" customWidth="1"/>
    <col min="8" max="8" width="14.140625" style="5" customWidth="1"/>
    <col min="9" max="9" width="15.7109375" style="75" bestFit="1" customWidth="1"/>
    <col min="10" max="10" width="12.28515625" style="75" bestFit="1" customWidth="1"/>
    <col min="11" max="11" width="14.5703125" style="270" bestFit="1" customWidth="1"/>
    <col min="12" max="13" width="13.85546875" style="75" bestFit="1" customWidth="1"/>
    <col min="14" max="14" width="13.5703125" style="1098" bestFit="1" customWidth="1"/>
    <col min="15" max="15" width="13.5703125" style="75" bestFit="1" customWidth="1"/>
    <col min="16" max="16" width="13.85546875" style="75" bestFit="1" customWidth="1"/>
    <col min="17" max="17" width="13.7109375" style="75" customWidth="1"/>
    <col min="18" max="18" width="15.42578125" style="269" bestFit="1" customWidth="1"/>
    <col min="19" max="19" width="13.5703125" style="75" bestFit="1" customWidth="1"/>
    <col min="20" max="20" width="13" style="75" customWidth="1"/>
    <col min="21" max="21" width="14.5703125" style="75" bestFit="1" customWidth="1"/>
    <col min="22" max="23" width="2.140625" style="5" customWidth="1"/>
    <col min="24" max="24" width="15.7109375" style="5" bestFit="1" customWidth="1"/>
    <col min="25" max="25" width="17" style="5" bestFit="1" customWidth="1"/>
    <col min="26" max="16384" width="9.140625" style="5"/>
  </cols>
  <sheetData>
    <row r="1" spans="1:25">
      <c r="C1" s="1287" t="s">
        <v>56</v>
      </c>
      <c r="D1" s="1287"/>
      <c r="E1" s="1287"/>
      <c r="F1" s="1287"/>
      <c r="G1" s="1287"/>
      <c r="K1" s="1287" t="s">
        <v>56</v>
      </c>
      <c r="L1" s="1287"/>
      <c r="M1" s="1287"/>
      <c r="N1" s="1287"/>
      <c r="O1" s="1287"/>
      <c r="S1" s="1287" t="s">
        <v>56</v>
      </c>
      <c r="T1" s="1287"/>
      <c r="U1" s="1287"/>
      <c r="V1" s="1287"/>
      <c r="W1" s="1287"/>
    </row>
    <row r="2" spans="1:25">
      <c r="C2" s="1287" t="s">
        <v>1609</v>
      </c>
      <c r="D2" s="1287"/>
      <c r="E2" s="1287"/>
      <c r="F2" s="1287"/>
      <c r="G2" s="1287"/>
      <c r="K2" s="1287" t="s">
        <v>1609</v>
      </c>
      <c r="L2" s="1287"/>
      <c r="M2" s="1287"/>
      <c r="N2" s="1287"/>
      <c r="O2" s="1287"/>
      <c r="S2" s="1287" t="s">
        <v>1609</v>
      </c>
      <c r="T2" s="1287"/>
      <c r="U2" s="1287"/>
      <c r="V2" s="1287"/>
      <c r="W2" s="1287"/>
    </row>
    <row r="3" spans="1:25">
      <c r="C3" s="1287" t="s">
        <v>1610</v>
      </c>
      <c r="D3" s="1287"/>
      <c r="E3" s="1287"/>
      <c r="F3" s="1287"/>
      <c r="G3" s="1287"/>
      <c r="K3" s="1287"/>
      <c r="L3" s="1287"/>
      <c r="M3" s="1287"/>
      <c r="N3" s="1287"/>
      <c r="O3" s="1287"/>
      <c r="S3" s="1287"/>
      <c r="T3" s="1287"/>
      <c r="U3" s="1287"/>
      <c r="V3" s="1287"/>
      <c r="W3" s="1287"/>
    </row>
    <row r="4" spans="1:25">
      <c r="C4" s="1287" t="s">
        <v>2012</v>
      </c>
      <c r="D4" s="1287"/>
      <c r="E4" s="1287"/>
      <c r="F4" s="1287"/>
      <c r="G4" s="1287"/>
      <c r="K4" s="1287" t="s">
        <v>1362</v>
      </c>
      <c r="L4" s="1287"/>
      <c r="M4" s="1287"/>
      <c r="N4" s="1287"/>
      <c r="O4" s="1287"/>
      <c r="S4" s="1287" t="s">
        <v>1362</v>
      </c>
      <c r="T4" s="1287"/>
      <c r="U4" s="1287"/>
      <c r="V4" s="1287"/>
      <c r="W4" s="1287"/>
    </row>
    <row r="5" spans="1:25">
      <c r="C5" s="1287" t="s">
        <v>980</v>
      </c>
      <c r="D5" s="1287"/>
      <c r="E5" s="1287"/>
      <c r="F5" s="1287"/>
      <c r="G5" s="1287"/>
      <c r="K5" s="1287" t="s">
        <v>980</v>
      </c>
      <c r="L5" s="1287"/>
      <c r="M5" s="1287"/>
      <c r="N5" s="1287"/>
      <c r="O5" s="1287"/>
      <c r="S5" s="1287" t="s">
        <v>980</v>
      </c>
      <c r="T5" s="1287"/>
      <c r="U5" s="1287"/>
      <c r="V5" s="1287"/>
      <c r="W5" s="1287"/>
    </row>
    <row r="7" spans="1:25" s="20" customFormat="1">
      <c r="A7" s="20" t="s">
        <v>1917</v>
      </c>
      <c r="B7" s="20" t="s">
        <v>1623</v>
      </c>
      <c r="C7" s="20" t="s">
        <v>1621</v>
      </c>
      <c r="E7" s="20" t="s">
        <v>1622</v>
      </c>
      <c r="F7" s="20" t="s">
        <v>1625</v>
      </c>
      <c r="G7" s="20" t="s">
        <v>1626</v>
      </c>
      <c r="H7" s="20" t="s">
        <v>1635</v>
      </c>
      <c r="I7" s="271" t="s">
        <v>1636</v>
      </c>
      <c r="J7" s="271" t="s">
        <v>1637</v>
      </c>
      <c r="K7" s="272" t="s">
        <v>1638</v>
      </c>
      <c r="L7" s="271" t="s">
        <v>1639</v>
      </c>
      <c r="M7" s="271" t="s">
        <v>1640</v>
      </c>
      <c r="N7" s="1097" t="s">
        <v>1641</v>
      </c>
      <c r="O7" s="271" t="s">
        <v>1642</v>
      </c>
      <c r="P7" s="271" t="s">
        <v>1643</v>
      </c>
      <c r="Q7" s="271" t="s">
        <v>1644</v>
      </c>
      <c r="R7" s="273" t="s">
        <v>1918</v>
      </c>
      <c r="S7" s="271" t="s">
        <v>1919</v>
      </c>
      <c r="T7" s="271" t="s">
        <v>1920</v>
      </c>
      <c r="U7" s="271" t="s">
        <v>1921</v>
      </c>
      <c r="X7" s="271" t="s">
        <v>1922</v>
      </c>
      <c r="Y7" s="271" t="s">
        <v>1923</v>
      </c>
    </row>
    <row r="8" spans="1:25" ht="31.5">
      <c r="A8" s="20">
        <v>1</v>
      </c>
      <c r="B8" s="268" t="s">
        <v>1362</v>
      </c>
      <c r="C8" s="274"/>
      <c r="D8" s="275"/>
      <c r="E8" s="276"/>
      <c r="F8" s="277" t="s">
        <v>116</v>
      </c>
      <c r="G8" s="277" t="s">
        <v>117</v>
      </c>
      <c r="H8" s="277" t="s">
        <v>118</v>
      </c>
    </row>
    <row r="9" spans="1:25">
      <c r="A9" s="20">
        <v>2</v>
      </c>
      <c r="B9" s="127" t="s">
        <v>981</v>
      </c>
      <c r="C9" s="125"/>
      <c r="D9" s="275"/>
      <c r="E9" s="278" t="s">
        <v>119</v>
      </c>
      <c r="F9" s="279">
        <f>+'State Allocation Formulas'!C21</f>
        <v>0.75280000000000002</v>
      </c>
      <c r="G9" s="280">
        <f>+'State Allocation Formulas'!C16</f>
        <v>0.74880000000000002</v>
      </c>
      <c r="H9" s="280">
        <f>+'State Allocation Formulas'!T21</f>
        <v>0.76549999999999996</v>
      </c>
    </row>
    <row r="10" spans="1:25">
      <c r="A10" s="20">
        <v>3</v>
      </c>
      <c r="B10" s="127"/>
      <c r="C10" s="125"/>
      <c r="D10" s="275"/>
      <c r="E10" s="278" t="s">
        <v>120</v>
      </c>
      <c r="F10" s="279">
        <f>+'State Allocation Formulas'!D21</f>
        <v>0.2472</v>
      </c>
      <c r="G10" s="280">
        <f>+'State Allocation Formulas'!D16</f>
        <v>0.25119999999999998</v>
      </c>
      <c r="H10" s="280">
        <f>+'State Allocation Formulas'!T22</f>
        <v>0.23450000000000004</v>
      </c>
      <c r="I10" s="281" t="s">
        <v>884</v>
      </c>
      <c r="J10" s="281" t="s">
        <v>57</v>
      </c>
      <c r="K10" s="282" t="s">
        <v>968</v>
      </c>
      <c r="L10" s="281" t="s">
        <v>1118</v>
      </c>
      <c r="M10" s="281" t="s">
        <v>59</v>
      </c>
      <c r="N10" s="1099" t="s">
        <v>925</v>
      </c>
      <c r="O10" s="283" t="s">
        <v>969</v>
      </c>
      <c r="P10" s="283" t="s">
        <v>62</v>
      </c>
      <c r="Q10" s="145" t="s">
        <v>925</v>
      </c>
      <c r="R10" s="284" t="s">
        <v>1017</v>
      </c>
      <c r="S10" s="283" t="s">
        <v>1138</v>
      </c>
      <c r="T10" s="145" t="s">
        <v>1142</v>
      </c>
      <c r="U10" s="283" t="s">
        <v>925</v>
      </c>
      <c r="V10" s="145"/>
      <c r="X10" s="285" t="s">
        <v>54</v>
      </c>
      <c r="Y10" s="285" t="s">
        <v>925</v>
      </c>
    </row>
    <row r="11" spans="1:25">
      <c r="A11" s="286">
        <v>4</v>
      </c>
      <c r="B11" s="1310" t="s">
        <v>121</v>
      </c>
      <c r="C11" s="1311"/>
      <c r="D11" s="275"/>
      <c r="E11" s="1314" t="s">
        <v>122</v>
      </c>
      <c r="F11" s="1315"/>
      <c r="G11" s="1315"/>
      <c r="I11" s="287" t="s">
        <v>885</v>
      </c>
      <c r="J11" s="287" t="s">
        <v>53</v>
      </c>
      <c r="K11" s="288" t="s">
        <v>78</v>
      </c>
      <c r="L11" s="287" t="s">
        <v>1119</v>
      </c>
      <c r="M11" s="287" t="s">
        <v>60</v>
      </c>
      <c r="N11" s="1100" t="s">
        <v>929</v>
      </c>
      <c r="O11" s="289" t="s">
        <v>61</v>
      </c>
      <c r="P11" s="289" t="s">
        <v>63</v>
      </c>
      <c r="Q11" s="151" t="s">
        <v>1140</v>
      </c>
      <c r="R11" s="290" t="s">
        <v>1018</v>
      </c>
      <c r="S11" s="289" t="s">
        <v>1114</v>
      </c>
      <c r="T11" s="151" t="s">
        <v>58</v>
      </c>
      <c r="U11" s="289" t="s">
        <v>964</v>
      </c>
      <c r="V11" s="151"/>
      <c r="X11" s="285" t="s">
        <v>1</v>
      </c>
      <c r="Y11" s="285" t="s">
        <v>926</v>
      </c>
    </row>
    <row r="12" spans="1:25">
      <c r="A12" s="20">
        <v>5</v>
      </c>
      <c r="B12" s="1312"/>
      <c r="C12" s="1313"/>
      <c r="D12" s="291"/>
      <c r="E12" s="1316" t="s">
        <v>123</v>
      </c>
      <c r="F12" s="1317"/>
      <c r="G12" s="1318"/>
      <c r="I12" s="287" t="s">
        <v>58</v>
      </c>
      <c r="J12" s="287" t="s">
        <v>58</v>
      </c>
      <c r="K12" s="288"/>
      <c r="L12" s="287" t="s">
        <v>1120</v>
      </c>
      <c r="M12" s="287" t="s">
        <v>58</v>
      </c>
      <c r="N12" s="1100" t="s">
        <v>58</v>
      </c>
      <c r="O12" s="289"/>
      <c r="P12" s="289"/>
      <c r="Q12" s="151" t="s">
        <v>1141</v>
      </c>
      <c r="R12" s="290" t="s">
        <v>1019</v>
      </c>
      <c r="S12" s="289" t="s">
        <v>1115</v>
      </c>
      <c r="T12" s="151"/>
      <c r="U12" s="289"/>
      <c r="V12" s="151"/>
      <c r="Y12" s="7" t="s">
        <v>927</v>
      </c>
    </row>
    <row r="13" spans="1:25">
      <c r="A13" s="20">
        <v>6</v>
      </c>
      <c r="B13" s="1306" t="s">
        <v>124</v>
      </c>
      <c r="C13" s="1307"/>
      <c r="D13" s="292"/>
      <c r="E13" s="293" t="s">
        <v>125</v>
      </c>
      <c r="F13" s="294" t="s">
        <v>126</v>
      </c>
      <c r="G13" s="295" t="s">
        <v>127</v>
      </c>
      <c r="I13" s="296" t="s">
        <v>917</v>
      </c>
      <c r="J13" s="296" t="s">
        <v>918</v>
      </c>
      <c r="K13" s="297" t="s">
        <v>967</v>
      </c>
      <c r="L13" s="296" t="s">
        <v>1139</v>
      </c>
      <c r="M13" s="296" t="s">
        <v>919</v>
      </c>
      <c r="N13" s="1101" t="s">
        <v>920</v>
      </c>
      <c r="O13" s="296" t="s">
        <v>1143</v>
      </c>
      <c r="P13" s="296" t="s">
        <v>921</v>
      </c>
      <c r="Q13" s="296" t="s">
        <v>922</v>
      </c>
      <c r="R13" s="298" t="s">
        <v>923</v>
      </c>
      <c r="S13" s="296" t="s">
        <v>924</v>
      </c>
      <c r="T13" s="296" t="s">
        <v>1144</v>
      </c>
      <c r="U13" s="296" t="s">
        <v>1145</v>
      </c>
      <c r="V13" s="299"/>
      <c r="W13" s="299"/>
    </row>
    <row r="14" spans="1:25">
      <c r="A14" s="286">
        <v>7</v>
      </c>
      <c r="B14" s="300" t="s">
        <v>128</v>
      </c>
      <c r="C14" s="301"/>
      <c r="D14" s="302"/>
      <c r="E14" s="127"/>
      <c r="F14" s="125"/>
      <c r="G14" s="303"/>
    </row>
    <row r="15" spans="1:25">
      <c r="A15" s="20">
        <v>8</v>
      </c>
      <c r="B15" s="304" t="s">
        <v>129</v>
      </c>
      <c r="C15" s="305" t="s">
        <v>130</v>
      </c>
      <c r="D15" s="306"/>
      <c r="E15" s="307">
        <v>100892687.81</v>
      </c>
      <c r="F15" s="308">
        <v>0</v>
      </c>
      <c r="G15" s="309">
        <f>SUM(E15:F15)</f>
        <v>100892687.81</v>
      </c>
      <c r="I15" s="75">
        <f>+'Liu Weather Normalization'!F12+'Liu Weather Normalization'!F18+'Liu Weather Normalization'!F19</f>
        <v>8172446.8399999999</v>
      </c>
      <c r="K15" s="853">
        <f>+'Restate Revenues'!M28</f>
        <v>-6481534.8787300289</v>
      </c>
      <c r="U15" s="75">
        <f>'Revenue Adjustment'!G21</f>
        <v>2520322</v>
      </c>
      <c r="X15" s="310">
        <f>SUM(I15:W15)</f>
        <v>4211233.961269971</v>
      </c>
      <c r="Y15" s="310">
        <f>+G15+X15</f>
        <v>105103921.77126998</v>
      </c>
    </row>
    <row r="16" spans="1:25">
      <c r="A16" s="20">
        <v>9</v>
      </c>
      <c r="B16" s="304" t="s">
        <v>131</v>
      </c>
      <c r="C16" s="305" t="s">
        <v>132</v>
      </c>
      <c r="D16" s="306"/>
      <c r="E16" s="307">
        <v>82010145.060000002</v>
      </c>
      <c r="F16" s="308">
        <v>0</v>
      </c>
      <c r="G16" s="309">
        <f>SUM(E16:F16)</f>
        <v>82010145.060000002</v>
      </c>
      <c r="I16" s="75">
        <f>+'Liu Weather Normalization'!F15</f>
        <v>4291008.6500000004</v>
      </c>
      <c r="K16" s="853">
        <f>+'Restate Revenues'!M29</f>
        <v>-346008.79999999795</v>
      </c>
      <c r="U16" s="850">
        <f>'Revenue Adjustment'!G22</f>
        <v>766252</v>
      </c>
      <c r="X16" s="310">
        <f>SUM(I16:W16)</f>
        <v>4711251.8500000024</v>
      </c>
      <c r="Y16" s="310">
        <f>+G16+X16</f>
        <v>86721396.910000011</v>
      </c>
    </row>
    <row r="17" spans="1:25">
      <c r="A17" s="286">
        <v>10</v>
      </c>
      <c r="B17" s="300" t="s">
        <v>133</v>
      </c>
      <c r="C17" s="301"/>
      <c r="D17" s="311"/>
      <c r="E17" s="312">
        <f t="shared" ref="E17:T17" si="0">SUM(E15:E16)</f>
        <v>182902832.87</v>
      </c>
      <c r="F17" s="313">
        <f t="shared" si="0"/>
        <v>0</v>
      </c>
      <c r="G17" s="314">
        <f t="shared" si="0"/>
        <v>182902832.87</v>
      </c>
      <c r="I17" s="314">
        <f t="shared" si="0"/>
        <v>12463455.49</v>
      </c>
      <c r="J17" s="314">
        <f t="shared" si="0"/>
        <v>0</v>
      </c>
      <c r="K17" s="854">
        <f>SUM(K15:K16)</f>
        <v>-6827543.6787300268</v>
      </c>
      <c r="L17" s="314">
        <f t="shared" si="0"/>
        <v>0</v>
      </c>
      <c r="M17" s="314">
        <f t="shared" si="0"/>
        <v>0</v>
      </c>
      <c r="N17" s="1102">
        <f t="shared" si="0"/>
        <v>0</v>
      </c>
      <c r="O17" s="314">
        <f t="shared" si="0"/>
        <v>0</v>
      </c>
      <c r="P17" s="314">
        <f t="shared" si="0"/>
        <v>0</v>
      </c>
      <c r="Q17" s="314">
        <f t="shared" ref="Q17" si="1">SUM(Q15:Q16)</f>
        <v>0</v>
      </c>
      <c r="R17" s="316">
        <f t="shared" si="0"/>
        <v>0</v>
      </c>
      <c r="S17" s="314">
        <f t="shared" si="0"/>
        <v>0</v>
      </c>
      <c r="T17" s="314">
        <f t="shared" si="0"/>
        <v>0</v>
      </c>
      <c r="U17" s="314">
        <f>SUM(U15:U16)</f>
        <v>3286574</v>
      </c>
      <c r="V17" s="314">
        <f>SUM(V15:V16)</f>
        <v>0</v>
      </c>
      <c r="W17" s="314">
        <f>SUM(W15:W16)</f>
        <v>0</v>
      </c>
      <c r="X17" s="314">
        <f>SUM(X15:X16)</f>
        <v>8922485.8112699725</v>
      </c>
      <c r="Y17" s="314">
        <f>SUM(Y15:Y16)</f>
        <v>191825318.68127</v>
      </c>
    </row>
    <row r="18" spans="1:25">
      <c r="A18" s="20">
        <v>11</v>
      </c>
      <c r="B18" s="317"/>
      <c r="C18" s="301"/>
      <c r="D18" s="306"/>
      <c r="E18" s="307"/>
      <c r="F18" s="318"/>
      <c r="G18" s="309"/>
      <c r="K18" s="853"/>
    </row>
    <row r="19" spans="1:25">
      <c r="A19" s="286">
        <v>12</v>
      </c>
      <c r="B19" s="300" t="s">
        <v>134</v>
      </c>
      <c r="C19" s="301"/>
      <c r="D19" s="306"/>
      <c r="E19" s="307"/>
      <c r="F19" s="318"/>
      <c r="G19" s="309"/>
    </row>
    <row r="20" spans="1:25">
      <c r="A20" s="20">
        <v>13</v>
      </c>
      <c r="B20" s="304" t="s">
        <v>135</v>
      </c>
      <c r="C20" s="305" t="s">
        <v>136</v>
      </c>
      <c r="D20" s="306"/>
      <c r="E20" s="307">
        <v>810183.02</v>
      </c>
      <c r="F20" s="318">
        <v>0.01</v>
      </c>
      <c r="G20" s="309">
        <f t="shared" ref="G20:G25" si="2">SUM(E20:F20)</f>
        <v>810183.03</v>
      </c>
      <c r="X20" s="310">
        <f t="shared" ref="X20:X25" si="3">SUM(I20:W20)</f>
        <v>0</v>
      </c>
      <c r="Y20" s="310">
        <f t="shared" ref="Y20:Y25" si="4">+G20+X20</f>
        <v>810183.03</v>
      </c>
    </row>
    <row r="21" spans="1:25">
      <c r="A21" s="286">
        <v>14</v>
      </c>
      <c r="B21" s="319" t="s">
        <v>137</v>
      </c>
      <c r="C21" s="305" t="s">
        <v>138</v>
      </c>
      <c r="D21" s="306"/>
      <c r="E21" s="320">
        <v>21216454.399999999</v>
      </c>
      <c r="F21" s="308">
        <v>0</v>
      </c>
      <c r="G21" s="321">
        <f t="shared" si="2"/>
        <v>21216454.399999999</v>
      </c>
      <c r="O21" s="75">
        <f>+'Panco Pro Forma Plant Additions'!E14</f>
        <v>199943.9</v>
      </c>
      <c r="U21" s="850">
        <f>+'Revenue Adjustment'!G23</f>
        <v>1933517</v>
      </c>
      <c r="X21" s="310">
        <f t="shared" si="3"/>
        <v>2133460.9</v>
      </c>
      <c r="Y21" s="310">
        <f t="shared" si="4"/>
        <v>23349915.299999997</v>
      </c>
    </row>
    <row r="22" spans="1:25">
      <c r="A22" s="20">
        <v>15</v>
      </c>
      <c r="B22" s="319" t="s">
        <v>139</v>
      </c>
      <c r="C22" s="305" t="s">
        <v>140</v>
      </c>
      <c r="D22" s="306"/>
      <c r="E22" s="322">
        <v>100</v>
      </c>
      <c r="F22" s="318">
        <v>0</v>
      </c>
      <c r="G22" s="309">
        <f t="shared" si="2"/>
        <v>100</v>
      </c>
      <c r="X22" s="310">
        <f t="shared" si="3"/>
        <v>0</v>
      </c>
      <c r="Y22" s="310">
        <f t="shared" si="4"/>
        <v>100</v>
      </c>
    </row>
    <row r="23" spans="1:25">
      <c r="A23" s="286">
        <v>16</v>
      </c>
      <c r="B23" s="319" t="s">
        <v>141</v>
      </c>
      <c r="C23" s="305" t="s">
        <v>142</v>
      </c>
      <c r="D23" s="306"/>
      <c r="E23" s="322">
        <v>0</v>
      </c>
      <c r="F23" s="318">
        <v>91471.08</v>
      </c>
      <c r="G23" s="309">
        <f t="shared" si="2"/>
        <v>91471.08</v>
      </c>
      <c r="X23" s="310">
        <f t="shared" si="3"/>
        <v>0</v>
      </c>
      <c r="Y23" s="310">
        <f t="shared" si="4"/>
        <v>91471.08</v>
      </c>
    </row>
    <row r="24" spans="1:25">
      <c r="A24" s="20">
        <v>17</v>
      </c>
      <c r="B24" s="319" t="s">
        <v>143</v>
      </c>
      <c r="C24" s="305" t="s">
        <v>144</v>
      </c>
      <c r="D24" s="306"/>
      <c r="E24" s="307">
        <v>109620.85</v>
      </c>
      <c r="F24" s="318">
        <v>0</v>
      </c>
      <c r="G24" s="309">
        <f t="shared" si="2"/>
        <v>109620.85</v>
      </c>
      <c r="S24" s="75">
        <f>'Miscellaneous Charges'!M16</f>
        <v>-101645</v>
      </c>
      <c r="X24" s="310">
        <f t="shared" si="3"/>
        <v>-101645</v>
      </c>
      <c r="Y24" s="310">
        <f t="shared" si="4"/>
        <v>7975.8500000000058</v>
      </c>
    </row>
    <row r="25" spans="1:25">
      <c r="A25" s="286">
        <v>18</v>
      </c>
      <c r="B25" s="304" t="s">
        <v>145</v>
      </c>
      <c r="C25" s="305" t="s">
        <v>146</v>
      </c>
      <c r="D25" s="323"/>
      <c r="E25" s="322">
        <v>0</v>
      </c>
      <c r="F25" s="308">
        <v>0</v>
      </c>
      <c r="G25" s="324">
        <f t="shared" si="2"/>
        <v>0</v>
      </c>
      <c r="X25" s="310">
        <f t="shared" si="3"/>
        <v>0</v>
      </c>
      <c r="Y25" s="310">
        <f t="shared" si="4"/>
        <v>0</v>
      </c>
    </row>
    <row r="26" spans="1:25">
      <c r="A26" s="20">
        <v>19</v>
      </c>
      <c r="B26" s="300" t="s">
        <v>147</v>
      </c>
      <c r="C26" s="301"/>
      <c r="D26" s="311"/>
      <c r="E26" s="312">
        <f t="shared" ref="E26:G26" si="5">SUM(E20:E25)</f>
        <v>22136358.27</v>
      </c>
      <c r="F26" s="325">
        <f t="shared" si="5"/>
        <v>91471.09</v>
      </c>
      <c r="G26" s="314">
        <f t="shared" si="5"/>
        <v>22227829.359999999</v>
      </c>
      <c r="I26" s="314">
        <f t="shared" ref="I26:S26" si="6">SUM(I20:I25)</f>
        <v>0</v>
      </c>
      <c r="J26" s="314">
        <f t="shared" si="6"/>
        <v>0</v>
      </c>
      <c r="K26" s="315">
        <f>SUM(K20:K25)</f>
        <v>0</v>
      </c>
      <c r="L26" s="314">
        <f>SUM(L20:L25)</f>
        <v>0</v>
      </c>
      <c r="M26" s="314">
        <f t="shared" si="6"/>
        <v>0</v>
      </c>
      <c r="N26" s="1102">
        <f t="shared" si="6"/>
        <v>0</v>
      </c>
      <c r="O26" s="314">
        <f t="shared" si="6"/>
        <v>199943.9</v>
      </c>
      <c r="P26" s="314">
        <f t="shared" si="6"/>
        <v>0</v>
      </c>
      <c r="Q26" s="314">
        <f t="shared" ref="Q26" si="7">SUM(Q20:Q25)</f>
        <v>0</v>
      </c>
      <c r="R26" s="316">
        <f>SUM(R20:R25)</f>
        <v>0</v>
      </c>
      <c r="S26" s="314">
        <f t="shared" si="6"/>
        <v>-101645</v>
      </c>
      <c r="T26" s="314">
        <f t="shared" ref="T26" si="8">SUM(T20:T25)</f>
        <v>0</v>
      </c>
      <c r="U26" s="314">
        <f>SUM(U20:U25)</f>
        <v>1933517</v>
      </c>
      <c r="V26" s="314">
        <f>SUM(V20:V25)</f>
        <v>0</v>
      </c>
      <c r="W26" s="314">
        <f>SUM(W20:W25)</f>
        <v>0</v>
      </c>
      <c r="X26" s="314">
        <f>SUM(X20:X25)</f>
        <v>2031815.9</v>
      </c>
      <c r="Y26" s="314">
        <f>SUM(Y20:Y25)</f>
        <v>24259645.259999998</v>
      </c>
    </row>
    <row r="27" spans="1:25" ht="16.5" thickBot="1">
      <c r="A27" s="286">
        <v>20</v>
      </c>
      <c r="B27" s="300" t="s">
        <v>148</v>
      </c>
      <c r="C27" s="301"/>
      <c r="D27" s="326"/>
      <c r="E27" s="327">
        <f t="shared" ref="E27:G27" si="9">E17+E26</f>
        <v>205039191.14000002</v>
      </c>
      <c r="F27" s="328">
        <f t="shared" si="9"/>
        <v>91471.09</v>
      </c>
      <c r="G27" s="329">
        <f t="shared" si="9"/>
        <v>205130662.23000002</v>
      </c>
      <c r="I27" s="329">
        <f t="shared" ref="I27:S27" si="10">I17+I26</f>
        <v>12463455.49</v>
      </c>
      <c r="J27" s="329">
        <f t="shared" si="10"/>
        <v>0</v>
      </c>
      <c r="K27" s="330">
        <f>K17+K26</f>
        <v>-6827543.6787300268</v>
      </c>
      <c r="L27" s="329">
        <f>L17+L26</f>
        <v>0</v>
      </c>
      <c r="M27" s="329">
        <f t="shared" si="10"/>
        <v>0</v>
      </c>
      <c r="N27" s="1103">
        <f t="shared" si="10"/>
        <v>0</v>
      </c>
      <c r="O27" s="329">
        <f t="shared" si="10"/>
        <v>199943.9</v>
      </c>
      <c r="P27" s="329">
        <f t="shared" si="10"/>
        <v>0</v>
      </c>
      <c r="Q27" s="329">
        <f t="shared" ref="Q27" si="11">Q17+Q26</f>
        <v>0</v>
      </c>
      <c r="R27" s="331">
        <f>R17+R26</f>
        <v>0</v>
      </c>
      <c r="S27" s="329">
        <f t="shared" si="10"/>
        <v>-101645</v>
      </c>
      <c r="T27" s="329">
        <f t="shared" ref="T27" si="12">T17+T26</f>
        <v>0</v>
      </c>
      <c r="U27" s="329">
        <f>U17+U26</f>
        <v>5220091</v>
      </c>
      <c r="V27" s="329">
        <f>V17+V26</f>
        <v>0</v>
      </c>
      <c r="W27" s="329">
        <f>W17+W26</f>
        <v>0</v>
      </c>
      <c r="X27" s="329">
        <f>X17+X26</f>
        <v>10954301.711269973</v>
      </c>
      <c r="Y27" s="329">
        <f>Y17+Y26</f>
        <v>216084963.94126999</v>
      </c>
    </row>
    <row r="28" spans="1:25" ht="16.5" thickTop="1">
      <c r="A28" s="20">
        <v>21</v>
      </c>
      <c r="B28" s="332" t="s">
        <v>52</v>
      </c>
      <c r="C28" s="301" t="s">
        <v>52</v>
      </c>
      <c r="D28" s="306"/>
      <c r="E28" s="307"/>
      <c r="F28" s="318"/>
      <c r="G28" s="309"/>
    </row>
    <row r="29" spans="1:25">
      <c r="A29" s="286">
        <v>22</v>
      </c>
      <c r="B29" s="300" t="s">
        <v>149</v>
      </c>
      <c r="C29" s="301"/>
      <c r="D29" s="306"/>
      <c r="E29" s="307"/>
      <c r="F29" s="318"/>
      <c r="G29" s="309"/>
    </row>
    <row r="30" spans="1:25">
      <c r="A30" s="20">
        <v>23</v>
      </c>
      <c r="B30" s="304" t="s">
        <v>150</v>
      </c>
      <c r="C30" s="305" t="s">
        <v>151</v>
      </c>
      <c r="D30" s="306"/>
      <c r="E30" s="307">
        <v>109308158.06</v>
      </c>
      <c r="F30" s="308">
        <v>0</v>
      </c>
      <c r="G30" s="309">
        <f t="shared" ref="G30:G35" si="13">SUM(E30:F30)</f>
        <v>109308158.06</v>
      </c>
      <c r="I30" s="75">
        <f>+'Liu Weather Normalization'!F37</f>
        <v>8150002.629999999</v>
      </c>
      <c r="K30" s="270">
        <f>'Restate Revenues'!M48</f>
        <v>-4131464.3563200235</v>
      </c>
      <c r="X30" s="310">
        <f t="shared" ref="X30:X35" si="14">SUM(I30:W30)</f>
        <v>4018538.2736799754</v>
      </c>
      <c r="Y30" s="310">
        <f t="shared" ref="Y30:Y35" si="15">+G30+X30</f>
        <v>113326696.33367997</v>
      </c>
    </row>
    <row r="31" spans="1:25">
      <c r="A31" s="286">
        <v>24</v>
      </c>
      <c r="B31" s="304" t="s">
        <v>152</v>
      </c>
      <c r="C31" s="305" t="s">
        <v>153</v>
      </c>
      <c r="D31" s="323"/>
      <c r="E31" s="322">
        <v>0</v>
      </c>
      <c r="F31" s="308">
        <v>0</v>
      </c>
      <c r="G31" s="324">
        <f t="shared" si="13"/>
        <v>0</v>
      </c>
      <c r="X31" s="310">
        <f t="shared" si="14"/>
        <v>0</v>
      </c>
      <c r="Y31" s="310">
        <f t="shared" si="15"/>
        <v>0</v>
      </c>
    </row>
    <row r="32" spans="1:25">
      <c r="A32" s="20">
        <v>25</v>
      </c>
      <c r="B32" s="304" t="s">
        <v>154</v>
      </c>
      <c r="C32" s="305" t="s">
        <v>155</v>
      </c>
      <c r="D32" s="306"/>
      <c r="E32" s="307">
        <v>-5591759.0499999998</v>
      </c>
      <c r="F32" s="308">
        <v>0</v>
      </c>
      <c r="G32" s="309">
        <f t="shared" si="13"/>
        <v>-5591759.0499999998</v>
      </c>
      <c r="X32" s="310">
        <f t="shared" si="14"/>
        <v>0</v>
      </c>
      <c r="Y32" s="310">
        <f t="shared" si="15"/>
        <v>-5591759.0499999998</v>
      </c>
    </row>
    <row r="33" spans="1:25">
      <c r="A33" s="286">
        <v>26</v>
      </c>
      <c r="B33" s="304" t="s">
        <v>156</v>
      </c>
      <c r="C33" s="305" t="s">
        <v>157</v>
      </c>
      <c r="D33" s="306"/>
      <c r="E33" s="307">
        <v>4086793.55</v>
      </c>
      <c r="F33" s="308">
        <v>0</v>
      </c>
      <c r="G33" s="309">
        <f t="shared" si="13"/>
        <v>4086793.55</v>
      </c>
      <c r="X33" s="310">
        <f t="shared" si="14"/>
        <v>0</v>
      </c>
      <c r="Y33" s="310">
        <f t="shared" si="15"/>
        <v>4086793.55</v>
      </c>
    </row>
    <row r="34" spans="1:25">
      <c r="A34" s="20">
        <v>27</v>
      </c>
      <c r="B34" s="304" t="s">
        <v>158</v>
      </c>
      <c r="C34" s="305" t="s">
        <v>159</v>
      </c>
      <c r="D34" s="306"/>
      <c r="E34" s="307">
        <v>-4183654.74</v>
      </c>
      <c r="F34" s="308">
        <v>0</v>
      </c>
      <c r="G34" s="309">
        <f t="shared" si="13"/>
        <v>-4183654.74</v>
      </c>
      <c r="X34" s="310">
        <f t="shared" si="14"/>
        <v>0</v>
      </c>
      <c r="Y34" s="310">
        <f t="shared" si="15"/>
        <v>-4183654.74</v>
      </c>
    </row>
    <row r="35" spans="1:25">
      <c r="A35" s="286">
        <v>28</v>
      </c>
      <c r="B35" s="304" t="s">
        <v>160</v>
      </c>
      <c r="C35" s="305" t="s">
        <v>161</v>
      </c>
      <c r="D35" s="306"/>
      <c r="E35" s="307">
        <v>-25673.3</v>
      </c>
      <c r="F35" s="308">
        <v>0</v>
      </c>
      <c r="G35" s="309">
        <f t="shared" si="13"/>
        <v>-25673.3</v>
      </c>
      <c r="X35" s="310">
        <f t="shared" si="14"/>
        <v>0</v>
      </c>
      <c r="Y35" s="310">
        <f t="shared" si="15"/>
        <v>-25673.3</v>
      </c>
    </row>
    <row r="36" spans="1:25">
      <c r="A36" s="20">
        <v>29</v>
      </c>
      <c r="B36" s="300" t="s">
        <v>162</v>
      </c>
      <c r="C36" s="301"/>
      <c r="D36" s="311"/>
      <c r="E36" s="312">
        <f t="shared" ref="E36:T36" si="16">SUM(E30:E35)</f>
        <v>103593864.52000001</v>
      </c>
      <c r="F36" s="313">
        <f t="shared" si="16"/>
        <v>0</v>
      </c>
      <c r="G36" s="314">
        <f t="shared" si="16"/>
        <v>103593864.52000001</v>
      </c>
      <c r="I36" s="314">
        <f t="shared" si="16"/>
        <v>8150002.629999999</v>
      </c>
      <c r="J36" s="314">
        <f t="shared" si="16"/>
        <v>0</v>
      </c>
      <c r="K36" s="315">
        <f>SUM(K30:K35)</f>
        <v>-4131464.3563200235</v>
      </c>
      <c r="L36" s="314">
        <f t="shared" si="16"/>
        <v>0</v>
      </c>
      <c r="M36" s="314">
        <f t="shared" si="16"/>
        <v>0</v>
      </c>
      <c r="N36" s="1102">
        <f t="shared" si="16"/>
        <v>0</v>
      </c>
      <c r="O36" s="314">
        <f t="shared" si="16"/>
        <v>0</v>
      </c>
      <c r="P36" s="314">
        <f t="shared" si="16"/>
        <v>0</v>
      </c>
      <c r="Q36" s="314">
        <f t="shared" ref="Q36" si="17">SUM(Q30:Q35)</f>
        <v>0</v>
      </c>
      <c r="R36" s="316">
        <f t="shared" si="16"/>
        <v>0</v>
      </c>
      <c r="S36" s="314">
        <f t="shared" si="16"/>
        <v>0</v>
      </c>
      <c r="T36" s="314">
        <f t="shared" si="16"/>
        <v>0</v>
      </c>
      <c r="U36" s="314">
        <f>SUM(U30:U35)</f>
        <v>0</v>
      </c>
      <c r="V36" s="314">
        <f>SUM(V30:V35)</f>
        <v>0</v>
      </c>
      <c r="W36" s="314">
        <f>SUM(W30:W35)</f>
        <v>0</v>
      </c>
      <c r="X36" s="314">
        <f>SUM(X30:X35)</f>
        <v>4018538.2736799754</v>
      </c>
      <c r="Y36" s="314">
        <f>SUM(Y30:Y35)</f>
        <v>107612402.79367998</v>
      </c>
    </row>
    <row r="37" spans="1:25">
      <c r="A37" s="286">
        <v>30</v>
      </c>
      <c r="B37" s="332"/>
      <c r="C37" s="301"/>
      <c r="D37" s="306"/>
      <c r="E37" s="307"/>
      <c r="F37" s="318"/>
      <c r="G37" s="309"/>
    </row>
    <row r="38" spans="1:25">
      <c r="A38" s="20">
        <v>31</v>
      </c>
      <c r="B38" s="300" t="s">
        <v>163</v>
      </c>
      <c r="C38" s="301"/>
      <c r="D38" s="306"/>
      <c r="E38" s="307"/>
      <c r="F38" s="318"/>
      <c r="G38" s="309"/>
    </row>
    <row r="39" spans="1:25">
      <c r="A39" s="286">
        <v>32</v>
      </c>
      <c r="B39" s="304" t="s">
        <v>164</v>
      </c>
      <c r="C39" s="305" t="s">
        <v>165</v>
      </c>
      <c r="D39" s="323"/>
      <c r="E39" s="322">
        <v>0</v>
      </c>
      <c r="F39" s="308">
        <v>0</v>
      </c>
      <c r="G39" s="324">
        <v>0</v>
      </c>
      <c r="X39" s="310">
        <f t="shared" ref="X39:X49" si="18">SUM(I39:W39)</f>
        <v>0</v>
      </c>
      <c r="Y39" s="310">
        <f t="shared" ref="Y39:Y49" si="19">+G39+X39</f>
        <v>0</v>
      </c>
    </row>
    <row r="40" spans="1:25">
      <c r="A40" s="20">
        <v>33</v>
      </c>
      <c r="B40" s="304" t="s">
        <v>166</v>
      </c>
      <c r="C40" s="305" t="s">
        <v>167</v>
      </c>
      <c r="D40" s="323"/>
      <c r="E40" s="322">
        <v>0</v>
      </c>
      <c r="F40" s="308">
        <v>0</v>
      </c>
      <c r="G40" s="324">
        <v>0</v>
      </c>
      <c r="X40" s="310">
        <f t="shared" si="18"/>
        <v>0</v>
      </c>
      <c r="Y40" s="310">
        <f t="shared" si="19"/>
        <v>0</v>
      </c>
    </row>
    <row r="41" spans="1:25">
      <c r="A41" s="286">
        <v>34</v>
      </c>
      <c r="B41" s="304" t="s">
        <v>168</v>
      </c>
      <c r="C41" s="305" t="s">
        <v>169</v>
      </c>
      <c r="D41" s="323"/>
      <c r="E41" s="322">
        <v>0</v>
      </c>
      <c r="F41" s="308">
        <v>0</v>
      </c>
      <c r="G41" s="324">
        <v>0</v>
      </c>
      <c r="X41" s="310">
        <f t="shared" si="18"/>
        <v>0</v>
      </c>
      <c r="Y41" s="310">
        <f t="shared" si="19"/>
        <v>0</v>
      </c>
    </row>
    <row r="42" spans="1:25">
      <c r="A42" s="20">
        <v>35</v>
      </c>
      <c r="B42" s="304" t="s">
        <v>170</v>
      </c>
      <c r="C42" s="305" t="s">
        <v>171</v>
      </c>
      <c r="D42" s="323"/>
      <c r="E42" s="322">
        <v>0</v>
      </c>
      <c r="F42" s="308">
        <v>0</v>
      </c>
      <c r="G42" s="324">
        <v>0</v>
      </c>
      <c r="X42" s="310">
        <f t="shared" si="18"/>
        <v>0</v>
      </c>
      <c r="Y42" s="310">
        <f t="shared" si="19"/>
        <v>0</v>
      </c>
    </row>
    <row r="43" spans="1:25">
      <c r="A43" s="286">
        <v>36</v>
      </c>
      <c r="B43" s="304" t="s">
        <v>172</v>
      </c>
      <c r="C43" s="305" t="s">
        <v>173</v>
      </c>
      <c r="D43" s="323"/>
      <c r="E43" s="322">
        <v>0</v>
      </c>
      <c r="F43" s="308">
        <v>0</v>
      </c>
      <c r="G43" s="324">
        <v>0</v>
      </c>
      <c r="X43" s="310">
        <f t="shared" si="18"/>
        <v>0</v>
      </c>
      <c r="Y43" s="310">
        <f t="shared" si="19"/>
        <v>0</v>
      </c>
    </row>
    <row r="44" spans="1:25">
      <c r="A44" s="20">
        <v>37</v>
      </c>
      <c r="B44" s="304" t="s">
        <v>174</v>
      </c>
      <c r="C44" s="305" t="s">
        <v>175</v>
      </c>
      <c r="D44" s="323"/>
      <c r="E44" s="322">
        <v>0</v>
      </c>
      <c r="F44" s="308">
        <v>0</v>
      </c>
      <c r="G44" s="324">
        <v>0</v>
      </c>
      <c r="X44" s="310">
        <f t="shared" si="18"/>
        <v>0</v>
      </c>
      <c r="Y44" s="310">
        <f t="shared" si="19"/>
        <v>0</v>
      </c>
    </row>
    <row r="45" spans="1:25">
      <c r="A45" s="286">
        <v>38</v>
      </c>
      <c r="B45" s="304" t="s">
        <v>176</v>
      </c>
      <c r="C45" s="305" t="s">
        <v>177</v>
      </c>
      <c r="D45" s="323"/>
      <c r="E45" s="333">
        <v>0</v>
      </c>
      <c r="F45" s="308">
        <v>0</v>
      </c>
      <c r="G45" s="324">
        <v>0</v>
      </c>
      <c r="X45" s="310">
        <f t="shared" si="18"/>
        <v>0</v>
      </c>
      <c r="Y45" s="310">
        <f t="shared" si="19"/>
        <v>0</v>
      </c>
    </row>
    <row r="46" spans="1:25">
      <c r="A46" s="20">
        <v>39</v>
      </c>
      <c r="B46" s="304" t="s">
        <v>178</v>
      </c>
      <c r="C46" s="305" t="s">
        <v>179</v>
      </c>
      <c r="D46" s="323"/>
      <c r="E46" s="322">
        <v>0</v>
      </c>
      <c r="F46" s="308">
        <v>0</v>
      </c>
      <c r="G46" s="324">
        <v>0</v>
      </c>
      <c r="X46" s="310">
        <f t="shared" si="18"/>
        <v>0</v>
      </c>
      <c r="Y46" s="310">
        <f t="shared" si="19"/>
        <v>0</v>
      </c>
    </row>
    <row r="47" spans="1:25">
      <c r="A47" s="286">
        <v>40</v>
      </c>
      <c r="B47" s="304" t="s">
        <v>180</v>
      </c>
      <c r="C47" s="305" t="s">
        <v>181</v>
      </c>
      <c r="D47" s="323"/>
      <c r="E47" s="322">
        <v>0</v>
      </c>
      <c r="F47" s="308">
        <v>0</v>
      </c>
      <c r="G47" s="324">
        <v>0</v>
      </c>
      <c r="X47" s="310">
        <f t="shared" si="18"/>
        <v>0</v>
      </c>
      <c r="Y47" s="310">
        <f t="shared" si="19"/>
        <v>0</v>
      </c>
    </row>
    <row r="48" spans="1:25">
      <c r="A48" s="20">
        <v>41</v>
      </c>
      <c r="B48" s="304" t="s">
        <v>182</v>
      </c>
      <c r="C48" s="305" t="s">
        <v>183</v>
      </c>
      <c r="D48" s="323"/>
      <c r="E48" s="322">
        <v>0</v>
      </c>
      <c r="F48" s="308">
        <v>0</v>
      </c>
      <c r="G48" s="324">
        <v>0</v>
      </c>
      <c r="X48" s="310">
        <f t="shared" si="18"/>
        <v>0</v>
      </c>
      <c r="Y48" s="310">
        <f t="shared" si="19"/>
        <v>0</v>
      </c>
    </row>
    <row r="49" spans="1:25">
      <c r="A49" s="286">
        <v>42</v>
      </c>
      <c r="B49" s="304" t="s">
        <v>184</v>
      </c>
      <c r="C49" s="305" t="s">
        <v>185</v>
      </c>
      <c r="D49" s="323"/>
      <c r="E49" s="322">
        <v>0</v>
      </c>
      <c r="F49" s="308">
        <v>0</v>
      </c>
      <c r="G49" s="324">
        <v>0</v>
      </c>
      <c r="X49" s="310">
        <f t="shared" si="18"/>
        <v>0</v>
      </c>
      <c r="Y49" s="310">
        <f t="shared" si="19"/>
        <v>0</v>
      </c>
    </row>
    <row r="50" spans="1:25">
      <c r="A50" s="20">
        <v>43</v>
      </c>
      <c r="B50" s="300" t="s">
        <v>186</v>
      </c>
      <c r="C50" s="334"/>
      <c r="D50" s="335"/>
      <c r="E50" s="336">
        <f t="shared" ref="E50:G50" si="20">SUM(E39:E49)</f>
        <v>0</v>
      </c>
      <c r="F50" s="313">
        <f t="shared" si="20"/>
        <v>0</v>
      </c>
      <c r="G50" s="315">
        <f t="shared" si="20"/>
        <v>0</v>
      </c>
      <c r="I50" s="314">
        <f t="shared" ref="I50:S50" si="21">SUM(I39:I49)</f>
        <v>0</v>
      </c>
      <c r="J50" s="314">
        <f t="shared" si="21"/>
        <v>0</v>
      </c>
      <c r="K50" s="315">
        <f>SUM(K39:K49)</f>
        <v>0</v>
      </c>
      <c r="L50" s="314">
        <f t="shared" si="21"/>
        <v>0</v>
      </c>
      <c r="M50" s="314">
        <f t="shared" si="21"/>
        <v>0</v>
      </c>
      <c r="N50" s="1102">
        <f t="shared" si="21"/>
        <v>0</v>
      </c>
      <c r="O50" s="314">
        <f t="shared" si="21"/>
        <v>0</v>
      </c>
      <c r="P50" s="314">
        <f t="shared" si="21"/>
        <v>0</v>
      </c>
      <c r="Q50" s="314">
        <f t="shared" ref="Q50" si="22">SUM(Q39:Q49)</f>
        <v>0</v>
      </c>
      <c r="R50" s="316">
        <f t="shared" si="21"/>
        <v>0</v>
      </c>
      <c r="S50" s="314">
        <f t="shared" si="21"/>
        <v>0</v>
      </c>
      <c r="T50" s="314">
        <f t="shared" ref="T50" si="23">SUM(T39:T49)</f>
        <v>0</v>
      </c>
      <c r="U50" s="314">
        <f>SUM(U39:U49)</f>
        <v>0</v>
      </c>
      <c r="V50" s="315">
        <f>SUM(V39:V49)</f>
        <v>0</v>
      </c>
      <c r="W50" s="315">
        <f>SUM(W39:W49)</f>
        <v>0</v>
      </c>
      <c r="X50" s="315">
        <f>SUM(X39:X49)</f>
        <v>0</v>
      </c>
      <c r="Y50" s="315">
        <f>SUM(Y39:Y49)</f>
        <v>0</v>
      </c>
    </row>
    <row r="51" spans="1:25">
      <c r="A51" s="286">
        <v>44</v>
      </c>
      <c r="B51" s="332"/>
      <c r="C51" s="301"/>
      <c r="D51" s="306"/>
      <c r="E51" s="307"/>
      <c r="F51" s="318"/>
      <c r="G51" s="309"/>
      <c r="I51" s="309"/>
      <c r="J51" s="309"/>
      <c r="K51" s="324"/>
      <c r="L51" s="309"/>
      <c r="M51" s="309"/>
      <c r="N51" s="1104"/>
      <c r="O51" s="309"/>
      <c r="P51" s="309"/>
      <c r="Q51" s="309"/>
      <c r="R51" s="337"/>
      <c r="S51" s="309"/>
      <c r="T51" s="309"/>
      <c r="U51" s="309"/>
      <c r="V51" s="309"/>
      <c r="W51" s="309"/>
      <c r="X51" s="309"/>
      <c r="Y51" s="309"/>
    </row>
    <row r="52" spans="1:25">
      <c r="A52" s="20">
        <v>45</v>
      </c>
      <c r="B52" s="304" t="s">
        <v>187</v>
      </c>
      <c r="C52" s="305" t="s">
        <v>29</v>
      </c>
      <c r="D52" s="338"/>
      <c r="E52" s="339">
        <v>16946340.530000001</v>
      </c>
      <c r="F52" s="340">
        <v>0</v>
      </c>
      <c r="G52" s="341">
        <f>SUM(E52:F52)</f>
        <v>16946340.530000001</v>
      </c>
      <c r="I52" s="341">
        <f>+'Exh KMH-2 Adjustments Pg 2'!G23</f>
        <v>505019.21645480004</v>
      </c>
      <c r="J52" s="341"/>
      <c r="K52" s="342">
        <f>+'Exh KMH-2 Adjustments Pg 2'!I23</f>
        <v>-235953.76791544046</v>
      </c>
      <c r="L52" s="341">
        <f>+'Exh KMH-2 Adjustments Pg 2'!J23</f>
        <v>0</v>
      </c>
      <c r="M52" s="341">
        <f>+'Exh KMH-2 Adjustments Pg 2'!Q23</f>
        <v>0</v>
      </c>
      <c r="N52" s="1105">
        <f>+'Exh KMH-2 Adjustments Pg 2'!R23</f>
        <v>0</v>
      </c>
      <c r="O52" s="341">
        <f>+'Exh KMH-2 Adjustments Pg 2'!T23</f>
        <v>8101.7268279999998</v>
      </c>
      <c r="P52" s="341">
        <v>0</v>
      </c>
      <c r="Q52" s="341">
        <f>+'Exh KMH-2 Adjustments Pg 2'!U23</f>
        <v>0</v>
      </c>
      <c r="R52" s="343">
        <f>+'Exh KMH-2 Adjustments Pg 2'!U23</f>
        <v>0</v>
      </c>
      <c r="S52" s="341">
        <f>+'Exh KMH-2 Adjustments Pg 2'!X23</f>
        <v>-4118.6553999999996</v>
      </c>
      <c r="T52" s="341">
        <f>+'Exh KMH-2 Adjustments Pg 2'!Y23</f>
        <v>0</v>
      </c>
      <c r="U52" s="341">
        <f>+'Exh KMH-2 Adjustments Pg 2'!Z23</f>
        <v>295971.6839753844</v>
      </c>
      <c r="V52" s="341"/>
      <c r="W52" s="341"/>
      <c r="X52" s="310">
        <f>SUM(I52:W52)</f>
        <v>569020.20394274406</v>
      </c>
      <c r="Y52" s="310">
        <f>+G52+X52</f>
        <v>17515360.733942747</v>
      </c>
    </row>
    <row r="53" spans="1:25" ht="16.5" thickBot="1">
      <c r="A53" s="286">
        <v>46</v>
      </c>
      <c r="B53" s="300" t="s">
        <v>188</v>
      </c>
      <c r="C53" s="301"/>
      <c r="D53" s="326"/>
      <c r="E53" s="327">
        <f t="shared" ref="E53:G53" si="24">E27-E36-E52</f>
        <v>84498986.090000004</v>
      </c>
      <c r="F53" s="344">
        <f t="shared" si="24"/>
        <v>91471.09</v>
      </c>
      <c r="G53" s="329">
        <f t="shared" si="24"/>
        <v>84590457.180000007</v>
      </c>
      <c r="I53" s="329">
        <f t="shared" ref="I53:S53" si="25">I27-I36-I52</f>
        <v>3808433.643545201</v>
      </c>
      <c r="J53" s="329">
        <f t="shared" si="25"/>
        <v>0</v>
      </c>
      <c r="K53" s="330">
        <f>K27-K36-K52</f>
        <v>-2460125.554494563</v>
      </c>
      <c r="L53" s="329">
        <f>L27-L36-L52</f>
        <v>0</v>
      </c>
      <c r="M53" s="329">
        <f t="shared" si="25"/>
        <v>0</v>
      </c>
      <c r="N53" s="1103">
        <f t="shared" si="25"/>
        <v>0</v>
      </c>
      <c r="O53" s="329">
        <f t="shared" si="25"/>
        <v>191842.17317199998</v>
      </c>
      <c r="P53" s="329">
        <f t="shared" si="25"/>
        <v>0</v>
      </c>
      <c r="Q53" s="329">
        <f t="shared" ref="Q53" si="26">Q27-Q36-Q52</f>
        <v>0</v>
      </c>
      <c r="R53" s="331">
        <f t="shared" si="25"/>
        <v>0</v>
      </c>
      <c r="S53" s="329">
        <f t="shared" si="25"/>
        <v>-97526.344599999997</v>
      </c>
      <c r="T53" s="329">
        <f t="shared" ref="T53" si="27">T27-T36-T52</f>
        <v>0</v>
      </c>
      <c r="U53" s="329">
        <f>U27-U36-U52</f>
        <v>4924119.3160246154</v>
      </c>
      <c r="V53" s="329">
        <f>V27-V36-V52</f>
        <v>0</v>
      </c>
      <c r="W53" s="329">
        <f>W27-W36-W52</f>
        <v>0</v>
      </c>
      <c r="X53" s="329">
        <f>X27-X36-X52</f>
        <v>6366743.2336472534</v>
      </c>
      <c r="Y53" s="329">
        <f>Y27-Y36-Y52</f>
        <v>90957200.413647264</v>
      </c>
    </row>
    <row r="54" spans="1:25" ht="16.5" thickTop="1">
      <c r="A54" s="20">
        <v>47</v>
      </c>
      <c r="B54" s="332"/>
      <c r="C54" s="301"/>
      <c r="D54" s="306"/>
      <c r="E54" s="307"/>
      <c r="F54" s="318"/>
      <c r="G54" s="309"/>
    </row>
    <row r="55" spans="1:25">
      <c r="A55" s="286">
        <v>48</v>
      </c>
      <c r="B55" s="300" t="s">
        <v>189</v>
      </c>
      <c r="C55" s="301"/>
      <c r="D55" s="306"/>
      <c r="E55" s="307"/>
      <c r="F55" s="318"/>
      <c r="G55" s="309"/>
    </row>
    <row r="56" spans="1:25">
      <c r="A56" s="20">
        <v>49</v>
      </c>
      <c r="B56" s="345">
        <v>813</v>
      </c>
      <c r="C56" s="305" t="s">
        <v>190</v>
      </c>
      <c r="D56" s="306"/>
      <c r="E56" s="322">
        <v>698.22</v>
      </c>
      <c r="F56" s="308">
        <v>518290.52</v>
      </c>
      <c r="G56" s="309">
        <f>SUM(E56:F56)</f>
        <v>518988.74</v>
      </c>
      <c r="N56" s="1108">
        <f>+'k10 Pro Forma Wage Adj'!P20</f>
        <v>7924.4900311199854</v>
      </c>
      <c r="X56" s="310">
        <f>SUM(I56:W56)</f>
        <v>7924.4900311199854</v>
      </c>
      <c r="Y56" s="310">
        <f>+G56+X56</f>
        <v>526913.23003112001</v>
      </c>
    </row>
    <row r="57" spans="1:25">
      <c r="A57" s="286">
        <v>50</v>
      </c>
      <c r="B57" s="345"/>
      <c r="C57" s="305"/>
      <c r="D57" s="306"/>
      <c r="E57" s="322"/>
      <c r="F57" s="308"/>
      <c r="G57" s="309"/>
    </row>
    <row r="58" spans="1:25">
      <c r="A58" s="20">
        <v>51</v>
      </c>
      <c r="B58" s="300" t="s">
        <v>191</v>
      </c>
      <c r="C58" s="301"/>
      <c r="D58" s="306"/>
      <c r="E58" s="307"/>
      <c r="F58" s="318"/>
      <c r="G58" s="309"/>
    </row>
    <row r="59" spans="1:25">
      <c r="A59" s="286">
        <v>52</v>
      </c>
      <c r="B59" s="300" t="s">
        <v>192</v>
      </c>
      <c r="C59" s="301"/>
      <c r="D59" s="306"/>
      <c r="E59" s="307"/>
      <c r="F59" s="318"/>
      <c r="G59" s="309"/>
    </row>
    <row r="60" spans="1:25">
      <c r="A60" s="20">
        <v>53</v>
      </c>
      <c r="B60" s="304" t="s">
        <v>193</v>
      </c>
      <c r="C60" s="305" t="s">
        <v>194</v>
      </c>
      <c r="D60" s="306"/>
      <c r="E60" s="322">
        <v>1265905.44</v>
      </c>
      <c r="F60" s="308">
        <v>182305.89</v>
      </c>
      <c r="G60" s="309">
        <f t="shared" ref="G60:G70" si="28">SUM(E60:F60)</f>
        <v>1448211.33</v>
      </c>
      <c r="N60" s="1108">
        <f>+'k10 Pro Forma Wage Adj'!P21</f>
        <v>49641.017609878676</v>
      </c>
      <c r="Q60" s="75">
        <f>+'Panco Pro Forma Compliance Dept'!L15</f>
        <v>130503.46816</v>
      </c>
      <c r="R60" s="269" t="e">
        <f>#REF!</f>
        <v>#REF!</v>
      </c>
      <c r="X60" s="310" t="e">
        <f t="shared" ref="X60:X70" si="29">SUM(I60:W60)</f>
        <v>#REF!</v>
      </c>
      <c r="Y60" s="310" t="e">
        <f t="shared" ref="Y60:Y70" si="30">+G60+X60</f>
        <v>#REF!</v>
      </c>
    </row>
    <row r="61" spans="1:25">
      <c r="A61" s="286">
        <v>54</v>
      </c>
      <c r="B61" s="304" t="s">
        <v>195</v>
      </c>
      <c r="C61" s="305" t="s">
        <v>196</v>
      </c>
      <c r="D61" s="306"/>
      <c r="E61" s="322">
        <v>90246.86</v>
      </c>
      <c r="F61" s="308">
        <v>395274.34</v>
      </c>
      <c r="G61" s="309">
        <f t="shared" si="28"/>
        <v>485521.2</v>
      </c>
      <c r="N61" s="1098">
        <f>+'k10 Pro Forma Wage Adj'!P22+'k10 Pro Forma Wage Adj'!P39</f>
        <v>16629.825443349728</v>
      </c>
      <c r="X61" s="310">
        <f t="shared" si="29"/>
        <v>16629.825443349728</v>
      </c>
      <c r="Y61" s="310">
        <f t="shared" si="30"/>
        <v>502151.02544334973</v>
      </c>
    </row>
    <row r="62" spans="1:25">
      <c r="A62" s="20">
        <v>55</v>
      </c>
      <c r="B62" s="319" t="s">
        <v>197</v>
      </c>
      <c r="C62" s="305" t="s">
        <v>198</v>
      </c>
      <c r="D62" s="323"/>
      <c r="E62" s="322">
        <v>111564.47</v>
      </c>
      <c r="F62" s="308">
        <v>0</v>
      </c>
      <c r="G62" s="309">
        <f t="shared" si="28"/>
        <v>111564.47</v>
      </c>
      <c r="N62" s="1098">
        <f>+'k10 Pro Forma Wage Adj'!P40</f>
        <v>3088.964866760014</v>
      </c>
      <c r="X62" s="310">
        <f t="shared" si="29"/>
        <v>3088.964866760014</v>
      </c>
      <c r="Y62" s="310">
        <f t="shared" si="30"/>
        <v>114653.43486676001</v>
      </c>
    </row>
    <row r="63" spans="1:25">
      <c r="A63" s="286">
        <v>56</v>
      </c>
      <c r="B63" s="319" t="s">
        <v>199</v>
      </c>
      <c r="C63" s="305" t="s">
        <v>200</v>
      </c>
      <c r="D63" s="306"/>
      <c r="E63" s="322">
        <v>2941525.26</v>
      </c>
      <c r="F63" s="308">
        <v>570246.49</v>
      </c>
      <c r="G63" s="309">
        <f t="shared" si="28"/>
        <v>3511771.75</v>
      </c>
      <c r="N63" s="1098">
        <f>+'k10 Pro Forma Wage Adj'!P23+'k10 Pro Forma Wage Adj'!P41</f>
        <v>94425.607275587274</v>
      </c>
      <c r="V63" s="346"/>
      <c r="X63" s="310">
        <f t="shared" si="29"/>
        <v>94425.607275587274</v>
      </c>
      <c r="Y63" s="310">
        <f t="shared" si="30"/>
        <v>3606197.3572755875</v>
      </c>
    </row>
    <row r="64" spans="1:25">
      <c r="A64" s="20">
        <v>57</v>
      </c>
      <c r="B64" s="304" t="s">
        <v>201</v>
      </c>
      <c r="C64" s="305" t="s">
        <v>202</v>
      </c>
      <c r="D64" s="306"/>
      <c r="E64" s="322">
        <v>492860.69</v>
      </c>
      <c r="F64" s="308">
        <v>97091.34</v>
      </c>
      <c r="G64" s="309">
        <f t="shared" si="28"/>
        <v>589952.03</v>
      </c>
      <c r="N64" s="1098">
        <f>+'k10 Pro Forma Wage Adj'!P42</f>
        <v>11802.350379227468</v>
      </c>
      <c r="X64" s="310">
        <f t="shared" si="29"/>
        <v>11802.350379227468</v>
      </c>
      <c r="Y64" s="310">
        <f t="shared" si="30"/>
        <v>601754.38037922746</v>
      </c>
    </row>
    <row r="65" spans="1:25">
      <c r="A65" s="286">
        <v>58</v>
      </c>
      <c r="B65" s="304" t="s">
        <v>203</v>
      </c>
      <c r="C65" s="305" t="s">
        <v>204</v>
      </c>
      <c r="D65" s="306"/>
      <c r="E65" s="322">
        <v>111243.52</v>
      </c>
      <c r="F65" s="308">
        <v>40900.660000000003</v>
      </c>
      <c r="G65" s="309">
        <f t="shared" si="28"/>
        <v>152144.18</v>
      </c>
      <c r="N65" s="1098">
        <f>+'k10 Pro Forma Wage Adj'!P43</f>
        <v>2828.308311192322</v>
      </c>
      <c r="X65" s="310">
        <f t="shared" si="29"/>
        <v>2828.308311192322</v>
      </c>
      <c r="Y65" s="310">
        <f t="shared" si="30"/>
        <v>154972.48831119231</v>
      </c>
    </row>
    <row r="66" spans="1:25">
      <c r="A66" s="20">
        <v>59</v>
      </c>
      <c r="B66" s="304" t="s">
        <v>205</v>
      </c>
      <c r="C66" s="305" t="s">
        <v>206</v>
      </c>
      <c r="D66" s="306"/>
      <c r="E66" s="322">
        <v>1321461.1100000001</v>
      </c>
      <c r="F66" s="308">
        <v>0</v>
      </c>
      <c r="G66" s="309">
        <f t="shared" si="28"/>
        <v>1321461.1100000001</v>
      </c>
      <c r="N66" s="1098">
        <f>+'k10 Pro Forma Wage Adj'!P24+'k10 Pro Forma Wage Adj'!P44</f>
        <v>44826.63596906051</v>
      </c>
      <c r="X66" s="310">
        <f t="shared" si="29"/>
        <v>44826.63596906051</v>
      </c>
      <c r="Y66" s="310">
        <f t="shared" si="30"/>
        <v>1366287.7459690606</v>
      </c>
    </row>
    <row r="67" spans="1:25">
      <c r="A67" s="286">
        <v>60</v>
      </c>
      <c r="B67" s="304" t="s">
        <v>207</v>
      </c>
      <c r="C67" s="305" t="s">
        <v>208</v>
      </c>
      <c r="D67" s="306"/>
      <c r="E67" s="322">
        <v>1049257.67</v>
      </c>
      <c r="F67" s="308">
        <v>0</v>
      </c>
      <c r="G67" s="309">
        <f t="shared" si="28"/>
        <v>1049257.67</v>
      </c>
      <c r="N67" s="1098">
        <f>+'k10 Pro Forma Wage Adj'!P45</f>
        <v>37527.199058849576</v>
      </c>
      <c r="X67" s="310">
        <f t="shared" si="29"/>
        <v>37527.199058849576</v>
      </c>
      <c r="Y67" s="310">
        <f t="shared" si="30"/>
        <v>1086784.8690588495</v>
      </c>
    </row>
    <row r="68" spans="1:25">
      <c r="A68" s="20">
        <v>61</v>
      </c>
      <c r="B68" s="304" t="s">
        <v>209</v>
      </c>
      <c r="C68" s="305" t="s">
        <v>210</v>
      </c>
      <c r="D68" s="306"/>
      <c r="E68" s="322">
        <v>2478406.37</v>
      </c>
      <c r="F68" s="308">
        <v>809791.83</v>
      </c>
      <c r="G68" s="309">
        <f t="shared" si="28"/>
        <v>3288198.2</v>
      </c>
      <c r="N68" s="1098">
        <f>+'k10 Pro Forma Wage Adj'!P25+'k10 Pro Forma Wage Adj'!P46</f>
        <v>58346.081927754225</v>
      </c>
      <c r="X68" s="310">
        <f t="shared" si="29"/>
        <v>58346.081927754225</v>
      </c>
      <c r="Y68" s="310">
        <f t="shared" si="30"/>
        <v>3346544.2819277546</v>
      </c>
    </row>
    <row r="69" spans="1:25">
      <c r="A69" s="286">
        <v>62</v>
      </c>
      <c r="B69" s="304" t="s">
        <v>211</v>
      </c>
      <c r="C69" s="305" t="s">
        <v>212</v>
      </c>
      <c r="D69" s="306"/>
      <c r="E69" s="322">
        <v>148018.69</v>
      </c>
      <c r="F69" s="308">
        <v>1881.99</v>
      </c>
      <c r="G69" s="309">
        <f t="shared" si="28"/>
        <v>149900.68</v>
      </c>
      <c r="X69" s="310">
        <f t="shared" si="29"/>
        <v>0</v>
      </c>
      <c r="Y69" s="310">
        <f t="shared" si="30"/>
        <v>149900.68</v>
      </c>
    </row>
    <row r="70" spans="1:25">
      <c r="A70" s="20">
        <v>63</v>
      </c>
      <c r="B70" s="304" t="s">
        <v>213</v>
      </c>
      <c r="C70" s="305" t="s">
        <v>214</v>
      </c>
      <c r="D70" s="323"/>
      <c r="E70" s="322">
        <v>0</v>
      </c>
      <c r="F70" s="308">
        <v>0</v>
      </c>
      <c r="G70" s="309">
        <f t="shared" si="28"/>
        <v>0</v>
      </c>
      <c r="X70" s="310">
        <f t="shared" si="29"/>
        <v>0</v>
      </c>
      <c r="Y70" s="310">
        <f t="shared" si="30"/>
        <v>0</v>
      </c>
    </row>
    <row r="71" spans="1:25">
      <c r="A71" s="286">
        <v>64</v>
      </c>
      <c r="B71" s="332"/>
      <c r="C71" s="347" t="s">
        <v>215</v>
      </c>
      <c r="D71" s="311"/>
      <c r="E71" s="312">
        <f t="shared" ref="E71:S71" si="31">SUM(E60:E70)</f>
        <v>10010490.08</v>
      </c>
      <c r="F71" s="325">
        <f t="shared" si="31"/>
        <v>2097492.54</v>
      </c>
      <c r="G71" s="314">
        <f t="shared" si="31"/>
        <v>12107982.620000001</v>
      </c>
      <c r="I71" s="314">
        <f t="shared" si="31"/>
        <v>0</v>
      </c>
      <c r="J71" s="314">
        <f t="shared" si="31"/>
        <v>0</v>
      </c>
      <c r="K71" s="315">
        <f>SUM(K60:K70)</f>
        <v>0</v>
      </c>
      <c r="L71" s="314">
        <f t="shared" si="31"/>
        <v>0</v>
      </c>
      <c r="M71" s="314">
        <f t="shared" si="31"/>
        <v>0</v>
      </c>
      <c r="N71" s="1102">
        <f t="shared" si="31"/>
        <v>319115.99084165978</v>
      </c>
      <c r="O71" s="314">
        <f t="shared" si="31"/>
        <v>0</v>
      </c>
      <c r="P71" s="314">
        <f t="shared" si="31"/>
        <v>0</v>
      </c>
      <c r="Q71" s="314">
        <f t="shared" ref="Q71" si="32">SUM(Q60:Q70)</f>
        <v>130503.46816</v>
      </c>
      <c r="R71" s="316" t="e">
        <f t="shared" si="31"/>
        <v>#REF!</v>
      </c>
      <c r="S71" s="314">
        <f t="shared" si="31"/>
        <v>0</v>
      </c>
      <c r="T71" s="314">
        <f t="shared" ref="T71" si="33">SUM(T60:T70)</f>
        <v>0</v>
      </c>
      <c r="U71" s="314">
        <f>SUM(U60:U70)</f>
        <v>0</v>
      </c>
      <c r="V71" s="314">
        <f>SUM(V60:V70)</f>
        <v>0</v>
      </c>
      <c r="W71" s="314">
        <f>SUM(W60:W70)</f>
        <v>0</v>
      </c>
      <c r="X71" s="314" t="e">
        <f>SUM(X60:X70)</f>
        <v>#REF!</v>
      </c>
      <c r="Y71" s="314" t="e">
        <f>SUM(Y60:Y70)</f>
        <v>#REF!</v>
      </c>
    </row>
    <row r="72" spans="1:25">
      <c r="A72" s="20">
        <v>65</v>
      </c>
      <c r="B72" s="332"/>
      <c r="C72" s="301"/>
      <c r="D72" s="306"/>
      <c r="E72" s="307"/>
      <c r="F72" s="318"/>
      <c r="G72" s="309"/>
    </row>
    <row r="73" spans="1:25">
      <c r="A73" s="286">
        <v>66</v>
      </c>
      <c r="B73" s="300" t="s">
        <v>216</v>
      </c>
      <c r="C73" s="301"/>
      <c r="D73" s="306"/>
      <c r="E73" s="307"/>
      <c r="F73" s="318"/>
      <c r="G73" s="309"/>
    </row>
    <row r="74" spans="1:25">
      <c r="A74" s="20">
        <v>67</v>
      </c>
      <c r="B74" s="304" t="s">
        <v>217</v>
      </c>
      <c r="C74" s="305" t="s">
        <v>218</v>
      </c>
      <c r="D74" s="323"/>
      <c r="E74" s="322">
        <v>113684.28</v>
      </c>
      <c r="F74" s="308">
        <v>20136.150000000001</v>
      </c>
      <c r="G74" s="324">
        <f t="shared" ref="G74:G82" si="34">SUM(E74:F74)</f>
        <v>133820.43</v>
      </c>
      <c r="N74" s="1098">
        <f>+'k10 Pro Forma Wage Adj'!P26</f>
        <v>4825.4728660400206</v>
      </c>
      <c r="X74" s="310">
        <f t="shared" ref="X74:X82" si="35">SUM(I74:W74)</f>
        <v>4825.4728660400206</v>
      </c>
      <c r="Y74" s="310">
        <f t="shared" ref="Y74:Y82" si="36">+G74+X74</f>
        <v>138645.90286604001</v>
      </c>
    </row>
    <row r="75" spans="1:25">
      <c r="A75" s="286">
        <v>68</v>
      </c>
      <c r="B75" s="304" t="s">
        <v>219</v>
      </c>
      <c r="C75" s="305" t="s">
        <v>220</v>
      </c>
      <c r="D75" s="306"/>
      <c r="E75" s="322">
        <v>15119.07</v>
      </c>
      <c r="F75" s="308">
        <v>715.76</v>
      </c>
      <c r="G75" s="321">
        <f t="shared" si="34"/>
        <v>15834.83</v>
      </c>
      <c r="N75" s="1098">
        <f>+'k10 Pro Forma Wage Adj'!P47</f>
        <v>2.2915200000000002</v>
      </c>
      <c r="X75" s="310">
        <f t="shared" si="35"/>
        <v>2.2915200000000002</v>
      </c>
      <c r="Y75" s="310">
        <f t="shared" si="36"/>
        <v>15837.121520000001</v>
      </c>
    </row>
    <row r="76" spans="1:25">
      <c r="A76" s="20">
        <v>69</v>
      </c>
      <c r="B76" s="304" t="s">
        <v>221</v>
      </c>
      <c r="C76" s="305" t="s">
        <v>222</v>
      </c>
      <c r="D76" s="306"/>
      <c r="E76" s="322">
        <v>1231030.56</v>
      </c>
      <c r="F76" s="308">
        <v>23066.04</v>
      </c>
      <c r="G76" s="321">
        <f t="shared" si="34"/>
        <v>1254096.6000000001</v>
      </c>
      <c r="N76" s="1098">
        <f>+'k10 Pro Forma Wage Adj'!P27+'k10 Pro Forma Wage Adj'!P48</f>
        <v>23434.676296774549</v>
      </c>
      <c r="X76" s="310">
        <f t="shared" si="35"/>
        <v>23434.676296774549</v>
      </c>
      <c r="Y76" s="310">
        <f t="shared" si="36"/>
        <v>1277531.2762967746</v>
      </c>
    </row>
    <row r="77" spans="1:25">
      <c r="A77" s="286">
        <v>70</v>
      </c>
      <c r="B77" s="319" t="s">
        <v>223</v>
      </c>
      <c r="C77" s="305" t="s">
        <v>198</v>
      </c>
      <c r="D77" s="323"/>
      <c r="E77" s="322">
        <v>39409.83</v>
      </c>
      <c r="F77" s="308">
        <v>3825.97</v>
      </c>
      <c r="G77" s="324">
        <f t="shared" si="34"/>
        <v>43235.8</v>
      </c>
      <c r="N77" s="1098">
        <f>+'k10 Pro Forma Wage Adj'!P49</f>
        <v>684.13096789999975</v>
      </c>
      <c r="X77" s="310">
        <f t="shared" si="35"/>
        <v>684.13096789999975</v>
      </c>
      <c r="Y77" s="310">
        <f t="shared" si="36"/>
        <v>43919.9309679</v>
      </c>
    </row>
    <row r="78" spans="1:25">
      <c r="A78" s="20">
        <v>71</v>
      </c>
      <c r="B78" s="304" t="s">
        <v>224</v>
      </c>
      <c r="C78" s="305" t="s">
        <v>225</v>
      </c>
      <c r="D78" s="306"/>
      <c r="E78" s="322">
        <v>330076.05</v>
      </c>
      <c r="F78" s="348">
        <v>3175.64</v>
      </c>
      <c r="G78" s="321">
        <f t="shared" si="34"/>
        <v>333251.69</v>
      </c>
      <c r="N78" s="1098">
        <f>+'k10 Pro Forma Wage Adj'!P50</f>
        <v>8587.609778337981</v>
      </c>
      <c r="X78" s="310">
        <f t="shared" si="35"/>
        <v>8587.609778337981</v>
      </c>
      <c r="Y78" s="310">
        <f t="shared" si="36"/>
        <v>341839.299778338</v>
      </c>
    </row>
    <row r="79" spans="1:25">
      <c r="A79" s="286">
        <v>72</v>
      </c>
      <c r="B79" s="304" t="s">
        <v>226</v>
      </c>
      <c r="C79" s="305" t="s">
        <v>227</v>
      </c>
      <c r="D79" s="306"/>
      <c r="E79" s="322">
        <v>21279.35</v>
      </c>
      <c r="F79" s="348" t="s">
        <v>982</v>
      </c>
      <c r="G79" s="321">
        <f t="shared" si="34"/>
        <v>21279.35</v>
      </c>
      <c r="N79" s="1098">
        <f>+'k10 Pro Forma Wage Adj'!P51</f>
        <v>435.76911481999986</v>
      </c>
      <c r="X79" s="310">
        <f t="shared" si="35"/>
        <v>435.76911481999986</v>
      </c>
      <c r="Y79" s="310">
        <f t="shared" si="36"/>
        <v>21715.119114819998</v>
      </c>
    </row>
    <row r="80" spans="1:25">
      <c r="A80" s="20">
        <v>73</v>
      </c>
      <c r="B80" s="304" t="s">
        <v>228</v>
      </c>
      <c r="C80" s="305" t="s">
        <v>108</v>
      </c>
      <c r="D80" s="306"/>
      <c r="E80" s="322">
        <v>1172841.0900000001</v>
      </c>
      <c r="F80" s="348">
        <v>4184.87</v>
      </c>
      <c r="G80" s="321">
        <f t="shared" si="34"/>
        <v>1177025.9600000002</v>
      </c>
      <c r="N80" s="1098">
        <f>+'k10 Pro Forma Wage Adj'!P28+'k10 Pro Forma Wage Adj'!P52</f>
        <v>32713.301491046703</v>
      </c>
      <c r="X80" s="310">
        <f t="shared" si="35"/>
        <v>32713.301491046703</v>
      </c>
      <c r="Y80" s="310">
        <f t="shared" si="36"/>
        <v>1209739.261491047</v>
      </c>
    </row>
    <row r="81" spans="1:25">
      <c r="A81" s="286">
        <v>74</v>
      </c>
      <c r="B81" s="304" t="s">
        <v>229</v>
      </c>
      <c r="C81" s="305" t="s">
        <v>230</v>
      </c>
      <c r="D81" s="306"/>
      <c r="E81" s="322">
        <v>888408.89</v>
      </c>
      <c r="F81" s="348">
        <v>204765.56</v>
      </c>
      <c r="G81" s="321">
        <f t="shared" si="34"/>
        <v>1093174.45</v>
      </c>
      <c r="N81" s="1098">
        <f>+'k10 Pro Forma Wage Adj'!P29+'k10 Pro Forma Wage Adj'!P53</f>
        <v>35999.558869618428</v>
      </c>
      <c r="X81" s="310">
        <f t="shared" si="35"/>
        <v>35999.558869618428</v>
      </c>
      <c r="Y81" s="310">
        <f t="shared" si="36"/>
        <v>1129174.0088696184</v>
      </c>
    </row>
    <row r="82" spans="1:25">
      <c r="A82" s="20">
        <v>75</v>
      </c>
      <c r="B82" s="304" t="s">
        <v>231</v>
      </c>
      <c r="C82" s="305" t="s">
        <v>232</v>
      </c>
      <c r="D82" s="306"/>
      <c r="E82" s="322">
        <v>144620.75</v>
      </c>
      <c r="F82" s="348">
        <v>1954.91</v>
      </c>
      <c r="G82" s="321">
        <f t="shared" si="34"/>
        <v>146575.66</v>
      </c>
      <c r="N82" s="1098">
        <f>+'k10 Pro Forma Wage Adj'!P54</f>
        <v>2521.3486447500045</v>
      </c>
      <c r="X82" s="310">
        <f t="shared" si="35"/>
        <v>2521.3486447500045</v>
      </c>
      <c r="Y82" s="310">
        <f t="shared" si="36"/>
        <v>149097.00864475002</v>
      </c>
    </row>
    <row r="83" spans="1:25">
      <c r="A83" s="286">
        <v>76</v>
      </c>
      <c r="B83" s="332"/>
      <c r="C83" s="347" t="s">
        <v>233</v>
      </c>
      <c r="D83" s="311"/>
      <c r="E83" s="312">
        <f t="shared" ref="E83:G83" si="37">SUM(E74:E82)</f>
        <v>3956469.8700000006</v>
      </c>
      <c r="F83" s="325">
        <f t="shared" si="37"/>
        <v>261824.9</v>
      </c>
      <c r="G83" s="314">
        <f t="shared" si="37"/>
        <v>4218294.7700000005</v>
      </c>
      <c r="I83" s="314">
        <f t="shared" ref="I83:S83" si="38">SUM(I74:I82)</f>
        <v>0</v>
      </c>
      <c r="J83" s="314">
        <f t="shared" si="38"/>
        <v>0</v>
      </c>
      <c r="K83" s="315">
        <f>SUM(K74:K82)</f>
        <v>0</v>
      </c>
      <c r="L83" s="314">
        <f>SUM(L74:L82)</f>
        <v>0</v>
      </c>
      <c r="M83" s="314">
        <f t="shared" si="38"/>
        <v>0</v>
      </c>
      <c r="N83" s="1102">
        <f t="shared" si="38"/>
        <v>109204.15954928768</v>
      </c>
      <c r="O83" s="314">
        <f t="shared" si="38"/>
        <v>0</v>
      </c>
      <c r="P83" s="314">
        <f t="shared" si="38"/>
        <v>0</v>
      </c>
      <c r="Q83" s="314">
        <f t="shared" ref="Q83" si="39">SUM(Q74:Q82)</f>
        <v>0</v>
      </c>
      <c r="R83" s="316">
        <f>SUM(R74:R82)</f>
        <v>0</v>
      </c>
      <c r="S83" s="314">
        <f t="shared" si="38"/>
        <v>0</v>
      </c>
      <c r="T83" s="314">
        <f t="shared" ref="T83" si="40">SUM(T74:T82)</f>
        <v>0</v>
      </c>
      <c r="U83" s="314">
        <f>SUM(U74:U82)</f>
        <v>0</v>
      </c>
      <c r="V83" s="314">
        <f>SUM(V74:V82)</f>
        <v>0</v>
      </c>
      <c r="W83" s="314">
        <f>SUM(W74:W82)</f>
        <v>0</v>
      </c>
      <c r="X83" s="314">
        <f>SUM(X74:X82)</f>
        <v>109204.15954928768</v>
      </c>
      <c r="Y83" s="314">
        <f>SUM(Y74:Y82)</f>
        <v>4327498.929549288</v>
      </c>
    </row>
    <row r="84" spans="1:25">
      <c r="A84" s="20">
        <v>77</v>
      </c>
      <c r="B84" s="300" t="s">
        <v>234</v>
      </c>
      <c r="C84" s="301"/>
      <c r="D84" s="338"/>
      <c r="E84" s="339">
        <f t="shared" ref="E84:G84" si="41">E71+E83</f>
        <v>13966959.950000001</v>
      </c>
      <c r="F84" s="349">
        <f t="shared" si="41"/>
        <v>2359317.44</v>
      </c>
      <c r="G84" s="341">
        <f t="shared" si="41"/>
        <v>16326277.390000001</v>
      </c>
      <c r="I84" s="341">
        <f t="shared" ref="I84:S84" si="42">I71+I83</f>
        <v>0</v>
      </c>
      <c r="J84" s="341">
        <f t="shared" si="42"/>
        <v>0</v>
      </c>
      <c r="K84" s="342">
        <f>K71+K83</f>
        <v>0</v>
      </c>
      <c r="L84" s="341">
        <f>L71+L83</f>
        <v>0</v>
      </c>
      <c r="M84" s="341">
        <f t="shared" si="42"/>
        <v>0</v>
      </c>
      <c r="N84" s="1105">
        <f t="shared" si="42"/>
        <v>428320.15039094747</v>
      </c>
      <c r="O84" s="341">
        <f t="shared" si="42"/>
        <v>0</v>
      </c>
      <c r="P84" s="341">
        <f t="shared" si="42"/>
        <v>0</v>
      </c>
      <c r="Q84" s="341">
        <f t="shared" ref="Q84" si="43">Q71+Q83</f>
        <v>130503.46816</v>
      </c>
      <c r="R84" s="343" t="e">
        <f>R71+R83</f>
        <v>#REF!</v>
      </c>
      <c r="S84" s="341">
        <f t="shared" si="42"/>
        <v>0</v>
      </c>
      <c r="T84" s="341">
        <f t="shared" ref="T84" si="44">T71+T83</f>
        <v>0</v>
      </c>
      <c r="U84" s="341">
        <f>U71+U83</f>
        <v>0</v>
      </c>
      <c r="V84" s="341">
        <f>V71+V83</f>
        <v>0</v>
      </c>
      <c r="W84" s="341">
        <f>W71+W83</f>
        <v>0</v>
      </c>
      <c r="X84" s="341" t="e">
        <f>X71+X83</f>
        <v>#REF!</v>
      </c>
      <c r="Y84" s="341" t="e">
        <f>Y71+Y83</f>
        <v>#REF!</v>
      </c>
    </row>
    <row r="85" spans="1:25">
      <c r="A85" s="286">
        <v>78</v>
      </c>
      <c r="B85" s="332"/>
      <c r="C85" s="301"/>
      <c r="D85" s="306"/>
      <c r="E85" s="307"/>
      <c r="F85" s="318"/>
      <c r="G85" s="309"/>
    </row>
    <row r="86" spans="1:25">
      <c r="A86" s="20">
        <v>79</v>
      </c>
      <c r="B86" s="300" t="s">
        <v>235</v>
      </c>
      <c r="C86" s="301"/>
      <c r="D86" s="306"/>
      <c r="E86" s="307"/>
      <c r="F86" s="318"/>
      <c r="G86" s="309"/>
    </row>
    <row r="87" spans="1:25">
      <c r="A87" s="286">
        <v>80</v>
      </c>
      <c r="B87" s="304" t="s">
        <v>236</v>
      </c>
      <c r="C87" s="305" t="s">
        <v>237</v>
      </c>
      <c r="D87" s="306"/>
      <c r="E87" s="322">
        <v>-2718</v>
      </c>
      <c r="F87" s="348">
        <v>-9.7899999999999991</v>
      </c>
      <c r="G87" s="321">
        <f>SUM(E87:F87)</f>
        <v>-2727.79</v>
      </c>
      <c r="X87" s="310">
        <f>SUM(I87:W87)</f>
        <v>0</v>
      </c>
      <c r="Y87" s="310">
        <f>+G87+X87</f>
        <v>-2727.79</v>
      </c>
    </row>
    <row r="88" spans="1:25">
      <c r="A88" s="20">
        <v>81</v>
      </c>
      <c r="B88" s="304" t="s">
        <v>238</v>
      </c>
      <c r="C88" s="305" t="s">
        <v>239</v>
      </c>
      <c r="D88" s="306"/>
      <c r="E88" s="322">
        <v>424648.59</v>
      </c>
      <c r="F88" s="348">
        <v>98249.5</v>
      </c>
      <c r="G88" s="321">
        <f>SUM(E88:F88)</f>
        <v>522898.09</v>
      </c>
      <c r="N88" s="1098">
        <f>+'k10 Pro Forma Wage Adj'!P55</f>
        <v>14433.665410310074</v>
      </c>
      <c r="X88" s="310">
        <f>SUM(I88:W88)</f>
        <v>14433.665410310074</v>
      </c>
      <c r="Y88" s="310">
        <f>+G88+X88</f>
        <v>537331.75541031011</v>
      </c>
    </row>
    <row r="89" spans="1:25">
      <c r="A89" s="286">
        <v>82</v>
      </c>
      <c r="B89" s="304" t="s">
        <v>240</v>
      </c>
      <c r="C89" s="305" t="s">
        <v>241</v>
      </c>
      <c r="D89" s="306"/>
      <c r="E89" s="322">
        <v>523112.58</v>
      </c>
      <c r="F89" s="348">
        <v>4560961.6900000004</v>
      </c>
      <c r="G89" s="321">
        <f>SUM(E89:F89)</f>
        <v>5084074.2700000005</v>
      </c>
      <c r="N89" s="1098">
        <f>+'k10 Pro Forma Wage Adj'!P30+'k10 Pro Forma Wage Adj'!P56+'k10 Pro Forma Wage Adj'!P31</f>
        <v>30260.338588035775</v>
      </c>
      <c r="X89" s="310">
        <f>SUM(I89:W89)</f>
        <v>30260.338588035775</v>
      </c>
      <c r="Y89" s="310">
        <f>+G89+X89</f>
        <v>5114334.6085880361</v>
      </c>
    </row>
    <row r="90" spans="1:25">
      <c r="A90" s="20">
        <v>83</v>
      </c>
      <c r="B90" s="304" t="s">
        <v>242</v>
      </c>
      <c r="C90" s="305" t="s">
        <v>18</v>
      </c>
      <c r="D90" s="306"/>
      <c r="E90" s="322">
        <v>765092.15</v>
      </c>
      <c r="F90" s="348">
        <v>12975.59</v>
      </c>
      <c r="G90" s="321">
        <f>SUM(E90:F90)</f>
        <v>778067.74</v>
      </c>
      <c r="I90" s="75">
        <f>+'Exh KMH-2 Adjustments Pg 2'!G26</f>
        <v>47274.32037840251</v>
      </c>
      <c r="K90" s="270">
        <f>+'Exh KMH-2 Adjustments Pg 2'!I26</f>
        <v>-22087.385302345447</v>
      </c>
      <c r="O90" s="100">
        <f>+'Exh KMH-2 Adjustments Pg 2'!T26</f>
        <v>758.39417037203009</v>
      </c>
      <c r="S90" s="75">
        <f>'Exh KMH-2 Adjustments Pg 2'!X26</f>
        <v>-385.54302205501142</v>
      </c>
      <c r="U90" s="75">
        <f>+'Exh KMH-2 Adjustments Pg 2'!Z26</f>
        <v>27705.599619375902</v>
      </c>
      <c r="X90" s="310">
        <f>SUM(I90:W90)</f>
        <v>53265.385843749988</v>
      </c>
      <c r="Y90" s="310">
        <f>+G90+X90</f>
        <v>831333.12584374996</v>
      </c>
    </row>
    <row r="91" spans="1:25">
      <c r="A91" s="286">
        <v>84</v>
      </c>
      <c r="B91" s="304" t="s">
        <v>243</v>
      </c>
      <c r="C91" s="305" t="s">
        <v>244</v>
      </c>
      <c r="D91" s="306"/>
      <c r="E91" s="322">
        <v>0</v>
      </c>
      <c r="F91" s="348">
        <v>795.98</v>
      </c>
      <c r="G91" s="321">
        <f>SUM(E91:F91)</f>
        <v>795.98</v>
      </c>
      <c r="X91" s="310">
        <f>SUM(I91:W91)</f>
        <v>0</v>
      </c>
      <c r="Y91" s="310">
        <f>+G91+X91</f>
        <v>795.98</v>
      </c>
    </row>
    <row r="92" spans="1:25">
      <c r="A92" s="20">
        <v>85</v>
      </c>
      <c r="B92" s="300" t="s">
        <v>245</v>
      </c>
      <c r="C92" s="301"/>
      <c r="D92" s="311"/>
      <c r="E92" s="312">
        <f t="shared" ref="E92:S92" si="45">SUM(E87:E91)</f>
        <v>1710135.32</v>
      </c>
      <c r="F92" s="325">
        <f t="shared" si="45"/>
        <v>4672972.9700000007</v>
      </c>
      <c r="G92" s="314">
        <f t="shared" si="45"/>
        <v>6383108.290000001</v>
      </c>
      <c r="I92" s="314">
        <f t="shared" si="45"/>
        <v>47274.32037840251</v>
      </c>
      <c r="J92" s="314">
        <f t="shared" si="45"/>
        <v>0</v>
      </c>
      <c r="K92" s="315">
        <f>SUM(K87:K91)</f>
        <v>-22087.385302345447</v>
      </c>
      <c r="L92" s="314">
        <f t="shared" si="45"/>
        <v>0</v>
      </c>
      <c r="M92" s="314">
        <f t="shared" si="45"/>
        <v>0</v>
      </c>
      <c r="N92" s="1102">
        <f t="shared" si="45"/>
        <v>44694.003998345848</v>
      </c>
      <c r="O92" s="314">
        <f t="shared" si="45"/>
        <v>758.39417037203009</v>
      </c>
      <c r="P92" s="314">
        <f t="shared" si="45"/>
        <v>0</v>
      </c>
      <c r="Q92" s="314">
        <f t="shared" ref="Q92" si="46">SUM(Q87:Q91)</f>
        <v>0</v>
      </c>
      <c r="R92" s="316">
        <f t="shared" si="45"/>
        <v>0</v>
      </c>
      <c r="S92" s="314">
        <f t="shared" si="45"/>
        <v>-385.54302205501142</v>
      </c>
      <c r="T92" s="314">
        <f t="shared" ref="T92" si="47">SUM(T87:T91)</f>
        <v>0</v>
      </c>
      <c r="U92" s="314">
        <f>SUM(U87:U91)</f>
        <v>27705.599619375902</v>
      </c>
      <c r="V92" s="314">
        <f>SUM(V87:V91)</f>
        <v>0</v>
      </c>
      <c r="W92" s="314">
        <f>SUM(W87:W91)</f>
        <v>0</v>
      </c>
      <c r="X92" s="314">
        <f>SUM(X87:X91)</f>
        <v>97959.389842095843</v>
      </c>
      <c r="Y92" s="314">
        <f>SUM(Y87:Y91)</f>
        <v>6481067.6798420968</v>
      </c>
    </row>
    <row r="93" spans="1:25">
      <c r="A93" s="286">
        <v>86</v>
      </c>
      <c r="B93" s="332"/>
      <c r="C93" s="301"/>
      <c r="D93" s="306"/>
      <c r="E93" s="307"/>
      <c r="F93" s="318"/>
      <c r="G93" s="309"/>
    </row>
    <row r="94" spans="1:25">
      <c r="A94" s="20">
        <v>87</v>
      </c>
      <c r="B94" s="300" t="s">
        <v>246</v>
      </c>
      <c r="C94" s="301"/>
      <c r="D94" s="306"/>
      <c r="E94" s="307"/>
      <c r="F94" s="318"/>
      <c r="G94" s="309"/>
    </row>
    <row r="95" spans="1:25">
      <c r="A95" s="286">
        <v>88</v>
      </c>
      <c r="B95" s="304" t="s">
        <v>247</v>
      </c>
      <c r="C95" s="305" t="s">
        <v>237</v>
      </c>
      <c r="D95" s="306"/>
      <c r="E95" s="322">
        <v>0</v>
      </c>
      <c r="F95" s="348" t="s">
        <v>982</v>
      </c>
      <c r="G95" s="321">
        <f>SUM(E95:F95)</f>
        <v>0</v>
      </c>
      <c r="X95" s="310">
        <f>SUM(I95:W95)</f>
        <v>0</v>
      </c>
      <c r="Y95" s="310">
        <f>+G95+X95</f>
        <v>0</v>
      </c>
    </row>
    <row r="96" spans="1:25">
      <c r="A96" s="20">
        <v>89</v>
      </c>
      <c r="B96" s="304" t="s">
        <v>248</v>
      </c>
      <c r="C96" s="305" t="s">
        <v>249</v>
      </c>
      <c r="D96" s="306"/>
      <c r="E96" s="322">
        <v>533408.34</v>
      </c>
      <c r="F96" s="348">
        <v>250785.94</v>
      </c>
      <c r="G96" s="321">
        <f>SUM(E96:F96)</f>
        <v>784194.28</v>
      </c>
      <c r="L96" s="350">
        <f>-'Low-Income Bill Assistance'!F20</f>
        <v>-533333.36</v>
      </c>
      <c r="X96" s="310">
        <f>SUM(I96:W96)</f>
        <v>-533333.36</v>
      </c>
      <c r="Y96" s="310">
        <f>+G96+X96</f>
        <v>250860.92000000004</v>
      </c>
    </row>
    <row r="97" spans="1:25">
      <c r="A97" s="286">
        <v>90</v>
      </c>
      <c r="B97" s="304" t="s">
        <v>250</v>
      </c>
      <c r="C97" s="305" t="s">
        <v>251</v>
      </c>
      <c r="D97" s="306"/>
      <c r="E97" s="322">
        <v>9245.2199999999993</v>
      </c>
      <c r="F97" s="348">
        <v>30656.14</v>
      </c>
      <c r="G97" s="321">
        <f>SUM(E97:F97)</f>
        <v>39901.360000000001</v>
      </c>
      <c r="Y97" s="310">
        <f>+G97+X97</f>
        <v>39901.360000000001</v>
      </c>
    </row>
    <row r="98" spans="1:25">
      <c r="A98" s="20">
        <v>91</v>
      </c>
      <c r="B98" s="351" t="s">
        <v>252</v>
      </c>
      <c r="C98" s="305" t="s">
        <v>253</v>
      </c>
      <c r="D98" s="323"/>
      <c r="E98" s="322">
        <v>0</v>
      </c>
      <c r="F98" s="348" t="s">
        <v>982</v>
      </c>
      <c r="G98" s="324">
        <f>SUM(E98:F98)</f>
        <v>0</v>
      </c>
      <c r="Y98" s="310">
        <f>+G98+X98</f>
        <v>0</v>
      </c>
    </row>
    <row r="99" spans="1:25">
      <c r="A99" s="286">
        <v>92</v>
      </c>
      <c r="B99" s="317" t="s">
        <v>254</v>
      </c>
      <c r="C99" s="301"/>
      <c r="D99" s="311"/>
      <c r="E99" s="312">
        <f t="shared" ref="E99:S99" si="48">SUM(E95:E98)</f>
        <v>542653.55999999994</v>
      </c>
      <c r="F99" s="325">
        <f t="shared" si="48"/>
        <v>281442.08</v>
      </c>
      <c r="G99" s="314">
        <f t="shared" si="48"/>
        <v>824095.64</v>
      </c>
      <c r="I99" s="314">
        <f t="shared" si="48"/>
        <v>0</v>
      </c>
      <c r="J99" s="314">
        <f t="shared" si="48"/>
        <v>0</v>
      </c>
      <c r="K99" s="315">
        <f>SUM(K95:K98)</f>
        <v>0</v>
      </c>
      <c r="L99" s="314">
        <f t="shared" si="48"/>
        <v>-533333.36</v>
      </c>
      <c r="M99" s="314">
        <f t="shared" si="48"/>
        <v>0</v>
      </c>
      <c r="N99" s="1102">
        <f t="shared" si="48"/>
        <v>0</v>
      </c>
      <c r="O99" s="314">
        <f t="shared" si="48"/>
        <v>0</v>
      </c>
      <c r="P99" s="314">
        <f t="shared" si="48"/>
        <v>0</v>
      </c>
      <c r="Q99" s="314">
        <f t="shared" ref="Q99" si="49">SUM(Q95:Q98)</f>
        <v>0</v>
      </c>
      <c r="R99" s="316">
        <f t="shared" si="48"/>
        <v>0</v>
      </c>
      <c r="S99" s="314">
        <f t="shared" si="48"/>
        <v>0</v>
      </c>
      <c r="T99" s="314">
        <f t="shared" ref="T99" si="50">SUM(T95:T98)</f>
        <v>0</v>
      </c>
      <c r="U99" s="314">
        <f>SUM(U95:U98)</f>
        <v>0</v>
      </c>
      <c r="V99" s="314">
        <f>SUM(V95:V98)</f>
        <v>0</v>
      </c>
      <c r="W99" s="314">
        <f>SUM(W95:W98)</f>
        <v>0</v>
      </c>
      <c r="X99" s="314">
        <f>SUM(X95:X98)</f>
        <v>-533333.36</v>
      </c>
      <c r="Y99" s="314">
        <f>SUM(Y95:Y98)</f>
        <v>290762.28000000003</v>
      </c>
    </row>
    <row r="100" spans="1:25">
      <c r="A100" s="20">
        <v>93</v>
      </c>
      <c r="B100" s="332"/>
      <c r="C100" s="301"/>
      <c r="D100" s="306"/>
      <c r="E100" s="307"/>
      <c r="F100" s="318"/>
      <c r="G100" s="309"/>
    </row>
    <row r="101" spans="1:25">
      <c r="A101" s="286">
        <v>94</v>
      </c>
      <c r="B101" s="300" t="s">
        <v>255</v>
      </c>
      <c r="C101" s="301"/>
      <c r="D101" s="306"/>
      <c r="E101" s="307"/>
      <c r="F101" s="318"/>
      <c r="G101" s="309"/>
    </row>
    <row r="102" spans="1:25">
      <c r="A102" s="20">
        <v>95</v>
      </c>
      <c r="B102" s="304" t="s">
        <v>256</v>
      </c>
      <c r="C102" s="305" t="s">
        <v>237</v>
      </c>
      <c r="D102" s="323"/>
      <c r="E102" s="322">
        <v>0</v>
      </c>
      <c r="F102" s="308">
        <v>0</v>
      </c>
      <c r="G102" s="324">
        <f>SUM(E102:F102)</f>
        <v>0</v>
      </c>
      <c r="X102" s="310">
        <f>SUM(I102:W102)</f>
        <v>0</v>
      </c>
      <c r="Y102" s="310">
        <f>+G102+X102</f>
        <v>0</v>
      </c>
    </row>
    <row r="103" spans="1:25">
      <c r="A103" s="286">
        <v>96</v>
      </c>
      <c r="B103" s="304" t="s">
        <v>257</v>
      </c>
      <c r="C103" s="305" t="s">
        <v>258</v>
      </c>
      <c r="D103" s="323"/>
      <c r="E103" s="322">
        <v>0</v>
      </c>
      <c r="F103" s="308">
        <v>0</v>
      </c>
      <c r="G103" s="324">
        <f>SUM(E103:F103)</f>
        <v>0</v>
      </c>
      <c r="X103" s="310">
        <f>SUM(I103:W103)</f>
        <v>0</v>
      </c>
      <c r="Y103" s="310">
        <f>+G103+X103</f>
        <v>0</v>
      </c>
    </row>
    <row r="104" spans="1:25">
      <c r="A104" s="20">
        <v>97</v>
      </c>
      <c r="B104" s="304" t="s">
        <v>259</v>
      </c>
      <c r="C104" s="305" t="s">
        <v>53</v>
      </c>
      <c r="D104" s="323"/>
      <c r="E104" s="322">
        <v>20.25</v>
      </c>
      <c r="F104" s="308">
        <v>4896.34</v>
      </c>
      <c r="G104" s="324">
        <f>SUM(E104:F104)</f>
        <v>4916.59</v>
      </c>
      <c r="J104" s="75">
        <f>-'Advertising Adj'!F29</f>
        <v>-4916.5899999999992</v>
      </c>
      <c r="X104" s="310">
        <f>SUM(I104:W104)</f>
        <v>-4916.5899999999992</v>
      </c>
      <c r="Y104" s="310">
        <f>+G104+X104</f>
        <v>0</v>
      </c>
    </row>
    <row r="105" spans="1:25">
      <c r="A105" s="286">
        <v>98</v>
      </c>
      <c r="B105" s="304" t="s">
        <v>260</v>
      </c>
      <c r="C105" s="305" t="s">
        <v>261</v>
      </c>
      <c r="D105" s="323"/>
      <c r="E105" s="322">
        <v>0</v>
      </c>
      <c r="F105" s="308">
        <v>0</v>
      </c>
      <c r="G105" s="324">
        <f>SUM(E105:F105)</f>
        <v>0</v>
      </c>
      <c r="X105" s="310">
        <f>SUM(I105:W105)</f>
        <v>0</v>
      </c>
      <c r="Y105" s="310">
        <f>+G105+X105</f>
        <v>0</v>
      </c>
    </row>
    <row r="106" spans="1:25">
      <c r="A106" s="20">
        <v>99</v>
      </c>
      <c r="B106" s="300" t="s">
        <v>262</v>
      </c>
      <c r="C106" s="301"/>
      <c r="D106" s="335"/>
      <c r="E106" s="336">
        <f t="shared" ref="E106:S106" si="51">SUM(E102:E105)</f>
        <v>20.25</v>
      </c>
      <c r="F106" s="313">
        <f t="shared" si="51"/>
        <v>4896.34</v>
      </c>
      <c r="G106" s="315">
        <f t="shared" si="51"/>
        <v>4916.59</v>
      </c>
      <c r="I106" s="314">
        <f t="shared" si="51"/>
        <v>0</v>
      </c>
      <c r="J106" s="314">
        <f t="shared" si="51"/>
        <v>-4916.5899999999992</v>
      </c>
      <c r="K106" s="315">
        <f>SUM(K102:K105)</f>
        <v>0</v>
      </c>
      <c r="L106" s="314">
        <f t="shared" si="51"/>
        <v>0</v>
      </c>
      <c r="M106" s="314">
        <f t="shared" si="51"/>
        <v>0</v>
      </c>
      <c r="N106" s="1102">
        <f t="shared" si="51"/>
        <v>0</v>
      </c>
      <c r="O106" s="314">
        <f t="shared" si="51"/>
        <v>0</v>
      </c>
      <c r="P106" s="314">
        <f t="shared" si="51"/>
        <v>0</v>
      </c>
      <c r="Q106" s="314">
        <f t="shared" ref="Q106" si="52">SUM(Q102:Q105)</f>
        <v>0</v>
      </c>
      <c r="R106" s="316">
        <f t="shared" si="51"/>
        <v>0</v>
      </c>
      <c r="S106" s="314">
        <f t="shared" si="51"/>
        <v>0</v>
      </c>
      <c r="T106" s="314">
        <f t="shared" ref="T106" si="53">SUM(T102:T105)</f>
        <v>0</v>
      </c>
      <c r="U106" s="314">
        <f>SUM(U102:U105)</f>
        <v>0</v>
      </c>
      <c r="V106" s="315">
        <f>SUM(V102:V105)</f>
        <v>0</v>
      </c>
      <c r="W106" s="315">
        <f>SUM(W102:W105)</f>
        <v>0</v>
      </c>
      <c r="X106" s="315">
        <f>SUM(X102:X105)</f>
        <v>-4916.5899999999992</v>
      </c>
      <c r="Y106" s="315">
        <f>SUM(Y102:Y105)</f>
        <v>0</v>
      </c>
    </row>
    <row r="107" spans="1:25">
      <c r="A107" s="286">
        <v>100</v>
      </c>
      <c r="B107" s="332"/>
      <c r="C107" s="301"/>
      <c r="D107" s="306"/>
      <c r="E107" s="307"/>
      <c r="F107" s="318"/>
      <c r="G107" s="309"/>
    </row>
    <row r="108" spans="1:25">
      <c r="A108" s="20">
        <v>101</v>
      </c>
      <c r="B108" s="300" t="s">
        <v>263</v>
      </c>
      <c r="C108" s="301"/>
      <c r="D108" s="306"/>
      <c r="E108" s="307"/>
      <c r="F108" s="318"/>
      <c r="G108" s="309"/>
    </row>
    <row r="109" spans="1:25">
      <c r="A109" s="286">
        <v>102</v>
      </c>
      <c r="B109" s="304" t="s">
        <v>264</v>
      </c>
      <c r="C109" s="305" t="s">
        <v>265</v>
      </c>
      <c r="D109" s="306"/>
      <c r="E109" s="320" t="s">
        <v>983</v>
      </c>
      <c r="F109" s="348">
        <v>5584155.7800000003</v>
      </c>
      <c r="G109" s="321">
        <f t="shared" ref="G109:G119" si="54">SUM(E109:F109)</f>
        <v>5584155.7800000003</v>
      </c>
      <c r="N109" s="1106">
        <f>+'k10 Pro Forma Wage Adj'!P32+'k10 Pro Forma Wage Adj'!P57+'k10 Pro Forma Wage Adj'!P33+'k10 Pro Forma Wage Adj'!P85</f>
        <v>219388.77287553734</v>
      </c>
      <c r="X109" s="310">
        <f t="shared" ref="X109:X119" si="55">SUM(I109:W109)</f>
        <v>219388.77287553734</v>
      </c>
      <c r="Y109" s="310">
        <f t="shared" ref="Y109:Y119" si="56">+G109+X109</f>
        <v>5803544.5528755374</v>
      </c>
    </row>
    <row r="110" spans="1:25">
      <c r="A110" s="20">
        <v>103</v>
      </c>
      <c r="B110" s="304" t="s">
        <v>266</v>
      </c>
      <c r="C110" s="305" t="s">
        <v>267</v>
      </c>
      <c r="D110" s="306"/>
      <c r="E110" s="320">
        <v>24131.68</v>
      </c>
      <c r="F110" s="348">
        <v>2433731.15</v>
      </c>
      <c r="G110" s="321">
        <f t="shared" si="54"/>
        <v>2457862.83</v>
      </c>
      <c r="N110" s="1098">
        <f>+'k10 Pro Forma Wage Adj'!P58</f>
        <v>12.015922152000002</v>
      </c>
      <c r="X110" s="310">
        <f t="shared" si="55"/>
        <v>12.015922152000002</v>
      </c>
      <c r="Y110" s="310">
        <f t="shared" si="56"/>
        <v>2457874.845922152</v>
      </c>
    </row>
    <row r="111" spans="1:25">
      <c r="A111" s="286">
        <v>104</v>
      </c>
      <c r="B111" s="304" t="s">
        <v>268</v>
      </c>
      <c r="C111" s="305" t="s">
        <v>269</v>
      </c>
      <c r="D111" s="306"/>
      <c r="E111" s="320">
        <v>162799.32999999999</v>
      </c>
      <c r="F111" s="348">
        <v>834905.63</v>
      </c>
      <c r="G111" s="321">
        <f t="shared" si="54"/>
        <v>997704.96</v>
      </c>
      <c r="P111" s="75">
        <f>+'Panco Rate Case Costs'!G15</f>
        <v>0</v>
      </c>
      <c r="X111" s="310">
        <f t="shared" si="55"/>
        <v>0</v>
      </c>
      <c r="Y111" s="310">
        <f t="shared" si="56"/>
        <v>997704.96</v>
      </c>
    </row>
    <row r="112" spans="1:25">
      <c r="A112" s="20">
        <v>105</v>
      </c>
      <c r="B112" s="304" t="s">
        <v>270</v>
      </c>
      <c r="C112" s="305" t="s">
        <v>271</v>
      </c>
      <c r="D112" s="306"/>
      <c r="E112" s="322">
        <v>0</v>
      </c>
      <c r="F112" s="348">
        <v>60387.9</v>
      </c>
      <c r="G112" s="321">
        <f t="shared" si="54"/>
        <v>60387.9</v>
      </c>
      <c r="X112" s="310">
        <f t="shared" si="55"/>
        <v>0</v>
      </c>
      <c r="Y112" s="310">
        <f t="shared" si="56"/>
        <v>60387.9</v>
      </c>
    </row>
    <row r="113" spans="1:25">
      <c r="A113" s="286">
        <v>106</v>
      </c>
      <c r="B113" s="304" t="s">
        <v>272</v>
      </c>
      <c r="C113" s="305" t="s">
        <v>273</v>
      </c>
      <c r="D113" s="306"/>
      <c r="E113" s="320">
        <v>59991.79</v>
      </c>
      <c r="F113" s="348">
        <v>1013781.81</v>
      </c>
      <c r="G113" s="321">
        <f t="shared" si="54"/>
        <v>1073773.6000000001</v>
      </c>
      <c r="X113" s="310">
        <f t="shared" si="55"/>
        <v>0</v>
      </c>
      <c r="Y113" s="310">
        <f t="shared" si="56"/>
        <v>1073773.6000000001</v>
      </c>
    </row>
    <row r="114" spans="1:25">
      <c r="A114" s="20">
        <v>107</v>
      </c>
      <c r="B114" s="304" t="s">
        <v>274</v>
      </c>
      <c r="C114" s="305" t="s">
        <v>275</v>
      </c>
      <c r="D114" s="306"/>
      <c r="E114" s="320">
        <v>2462662.3199999998</v>
      </c>
      <c r="F114" s="348">
        <v>2012160.5</v>
      </c>
      <c r="G114" s="321">
        <f t="shared" si="54"/>
        <v>4474822.82</v>
      </c>
      <c r="N114" s="1098">
        <f>+'k10 Pro Forma Wage Adj'!P59+'k10 Pro Forma Wage Adj'!P34</f>
        <v>1415.0708741129997</v>
      </c>
      <c r="Q114" s="75">
        <f>+'Panco Pro Forma Compliance Dept'!L16</f>
        <v>58726.560672</v>
      </c>
      <c r="X114" s="310">
        <f t="shared" si="55"/>
        <v>60141.631546113</v>
      </c>
      <c r="Y114" s="310">
        <f t="shared" si="56"/>
        <v>4534964.451546113</v>
      </c>
    </row>
    <row r="115" spans="1:25">
      <c r="A115" s="286">
        <v>108</v>
      </c>
      <c r="B115" s="304" t="s">
        <v>276</v>
      </c>
      <c r="C115" s="305" t="s">
        <v>277</v>
      </c>
      <c r="D115" s="323"/>
      <c r="E115" s="322">
        <v>0</v>
      </c>
      <c r="F115" s="348">
        <v>0</v>
      </c>
      <c r="G115" s="324">
        <f t="shared" si="54"/>
        <v>0</v>
      </c>
      <c r="X115" s="310">
        <f t="shared" si="55"/>
        <v>0</v>
      </c>
      <c r="Y115" s="310">
        <f t="shared" si="56"/>
        <v>0</v>
      </c>
    </row>
    <row r="116" spans="1:25">
      <c r="A116" s="20">
        <v>109</v>
      </c>
      <c r="B116" s="304" t="s">
        <v>278</v>
      </c>
      <c r="C116" s="305" t="s">
        <v>279</v>
      </c>
      <c r="D116" s="323"/>
      <c r="E116" s="320">
        <v>8395</v>
      </c>
      <c r="F116" s="348">
        <v>41405.449999999997</v>
      </c>
      <c r="G116" s="324">
        <f t="shared" si="54"/>
        <v>49800.45</v>
      </c>
      <c r="J116" s="75">
        <f>-'Advertising Adj'!F75</f>
        <v>-49800.45</v>
      </c>
      <c r="X116" s="310">
        <f t="shared" si="55"/>
        <v>-49800.45</v>
      </c>
      <c r="Y116" s="310">
        <f t="shared" si="56"/>
        <v>0</v>
      </c>
    </row>
    <row r="117" spans="1:25">
      <c r="A117" s="286">
        <v>110</v>
      </c>
      <c r="B117" s="304" t="s">
        <v>280</v>
      </c>
      <c r="C117" s="305" t="s">
        <v>281</v>
      </c>
      <c r="D117" s="306"/>
      <c r="E117" s="322">
        <v>11518.5</v>
      </c>
      <c r="F117" s="348">
        <v>763380.09</v>
      </c>
      <c r="G117" s="321">
        <f t="shared" si="54"/>
        <v>774898.59</v>
      </c>
      <c r="X117" s="310">
        <f t="shared" si="55"/>
        <v>0</v>
      </c>
      <c r="Y117" s="310">
        <f t="shared" si="56"/>
        <v>774898.59</v>
      </c>
    </row>
    <row r="118" spans="1:25">
      <c r="A118" s="20">
        <v>111</v>
      </c>
      <c r="B118" s="304" t="s">
        <v>282</v>
      </c>
      <c r="C118" s="305" t="s">
        <v>212</v>
      </c>
      <c r="D118" s="306"/>
      <c r="E118" s="320">
        <v>494.56</v>
      </c>
      <c r="F118" s="348">
        <v>1238178.95</v>
      </c>
      <c r="G118" s="321">
        <f t="shared" si="54"/>
        <v>1238673.51</v>
      </c>
      <c r="X118" s="310">
        <f t="shared" si="55"/>
        <v>0</v>
      </c>
      <c r="Y118" s="310">
        <f t="shared" si="56"/>
        <v>1238673.51</v>
      </c>
    </row>
    <row r="119" spans="1:25">
      <c r="A119" s="286">
        <v>112</v>
      </c>
      <c r="B119" s="304" t="s">
        <v>283</v>
      </c>
      <c r="C119" s="305" t="s">
        <v>284</v>
      </c>
      <c r="D119" s="338"/>
      <c r="E119" s="352">
        <v>23669.53</v>
      </c>
      <c r="F119" s="353">
        <v>9173.67</v>
      </c>
      <c r="G119" s="354">
        <f t="shared" si="54"/>
        <v>32843.199999999997</v>
      </c>
      <c r="N119" s="1098">
        <f>+'k10 Pro Forma Wage Adj'!P60</f>
        <v>149.98542171</v>
      </c>
      <c r="X119" s="310">
        <f t="shared" si="55"/>
        <v>149.98542171</v>
      </c>
      <c r="Y119" s="310">
        <f t="shared" si="56"/>
        <v>32993.185421709997</v>
      </c>
    </row>
    <row r="120" spans="1:25">
      <c r="A120" s="20">
        <v>113</v>
      </c>
      <c r="B120" s="332"/>
      <c r="C120" s="301"/>
      <c r="D120" s="306"/>
      <c r="E120" s="307">
        <f t="shared" ref="E120:S120" si="57">SUM(E109:E119)</f>
        <v>2753662.7099999995</v>
      </c>
      <c r="F120" s="318">
        <f t="shared" si="57"/>
        <v>13991260.93</v>
      </c>
      <c r="G120" s="309">
        <f t="shared" si="57"/>
        <v>16744923.639999999</v>
      </c>
      <c r="I120" s="309">
        <f t="shared" si="57"/>
        <v>0</v>
      </c>
      <c r="J120" s="309">
        <f t="shared" si="57"/>
        <v>-49800.45</v>
      </c>
      <c r="K120" s="324">
        <f>SUM(K109:K119)</f>
        <v>0</v>
      </c>
      <c r="L120" s="309">
        <f t="shared" si="57"/>
        <v>0</v>
      </c>
      <c r="M120" s="309">
        <f t="shared" si="57"/>
        <v>0</v>
      </c>
      <c r="N120" s="1104">
        <f t="shared" si="57"/>
        <v>220965.84509351235</v>
      </c>
      <c r="O120" s="309">
        <f t="shared" si="57"/>
        <v>0</v>
      </c>
      <c r="P120" s="309">
        <f t="shared" si="57"/>
        <v>0</v>
      </c>
      <c r="Q120" s="309">
        <f t="shared" ref="Q120" si="58">SUM(Q109:Q119)</f>
        <v>58726.560672</v>
      </c>
      <c r="R120" s="337"/>
      <c r="S120" s="309">
        <f t="shared" si="57"/>
        <v>0</v>
      </c>
      <c r="T120" s="309">
        <f t="shared" ref="T120" si="59">SUM(T109:T119)</f>
        <v>0</v>
      </c>
      <c r="U120" s="309">
        <f>SUM(U109:U119)</f>
        <v>0</v>
      </c>
      <c r="V120" s="309">
        <f>SUM(V109:V119)</f>
        <v>0</v>
      </c>
      <c r="W120" s="309">
        <f>SUM(W109:W119)</f>
        <v>0</v>
      </c>
      <c r="X120" s="309">
        <f>SUM(X109:X119)</f>
        <v>229891.95576551231</v>
      </c>
      <c r="Y120" s="309">
        <f>SUM(Y109:Y119)</f>
        <v>16974815.595765512</v>
      </c>
    </row>
    <row r="121" spans="1:25">
      <c r="A121" s="286">
        <v>114</v>
      </c>
      <c r="B121" s="304" t="s">
        <v>285</v>
      </c>
      <c r="C121" s="305" t="s">
        <v>286</v>
      </c>
      <c r="D121" s="306"/>
      <c r="E121" s="320">
        <v>-89655.76</v>
      </c>
      <c r="F121" s="348">
        <v>-195309.92</v>
      </c>
      <c r="G121" s="321">
        <f>SUM(E121:F121)</f>
        <v>-284965.68</v>
      </c>
      <c r="X121" s="310">
        <f>SUM(I121:W121)</f>
        <v>0</v>
      </c>
      <c r="Y121" s="310">
        <f>+G121+X121</f>
        <v>-284965.68</v>
      </c>
    </row>
    <row r="122" spans="1:25">
      <c r="A122" s="20">
        <v>115</v>
      </c>
      <c r="B122" s="300" t="s">
        <v>287</v>
      </c>
      <c r="C122" s="301"/>
      <c r="D122" s="311"/>
      <c r="E122" s="312">
        <f t="shared" ref="E122:S122" si="60">E120+E121</f>
        <v>2664006.9499999997</v>
      </c>
      <c r="F122" s="325">
        <f t="shared" si="60"/>
        <v>13795951.01</v>
      </c>
      <c r="G122" s="314">
        <f t="shared" si="60"/>
        <v>16459957.959999999</v>
      </c>
      <c r="I122" s="314">
        <f t="shared" si="60"/>
        <v>0</v>
      </c>
      <c r="J122" s="314">
        <f t="shared" si="60"/>
        <v>-49800.45</v>
      </c>
      <c r="K122" s="315">
        <f>K120+K121</f>
        <v>0</v>
      </c>
      <c r="L122" s="314">
        <f t="shared" si="60"/>
        <v>0</v>
      </c>
      <c r="M122" s="314">
        <f t="shared" si="60"/>
        <v>0</v>
      </c>
      <c r="N122" s="1102">
        <f t="shared" si="60"/>
        <v>220965.84509351235</v>
      </c>
      <c r="O122" s="314">
        <f t="shared" si="60"/>
        <v>0</v>
      </c>
      <c r="P122" s="314">
        <f t="shared" si="60"/>
        <v>0</v>
      </c>
      <c r="Q122" s="314">
        <f t="shared" ref="Q122" si="61">Q120+Q121</f>
        <v>58726.560672</v>
      </c>
      <c r="R122" s="316"/>
      <c r="S122" s="314">
        <f t="shared" si="60"/>
        <v>0</v>
      </c>
      <c r="T122" s="314">
        <f t="shared" ref="T122" si="62">T120+T121</f>
        <v>0</v>
      </c>
      <c r="U122" s="314">
        <f>U120+U121</f>
        <v>0</v>
      </c>
      <c r="V122" s="314">
        <f>V120+V121</f>
        <v>0</v>
      </c>
      <c r="W122" s="314">
        <f>W120+W121</f>
        <v>0</v>
      </c>
      <c r="X122" s="314">
        <f>X120+X121</f>
        <v>229891.95576551231</v>
      </c>
      <c r="Y122" s="314">
        <f>Y120+Y121</f>
        <v>16689849.915765513</v>
      </c>
    </row>
    <row r="123" spans="1:25">
      <c r="A123" s="286">
        <v>116</v>
      </c>
      <c r="B123" s="332"/>
      <c r="C123" s="301"/>
      <c r="D123" s="306"/>
      <c r="E123" s="307"/>
      <c r="F123" s="318"/>
      <c r="G123" s="309"/>
    </row>
    <row r="124" spans="1:25" ht="16.5" thickBot="1">
      <c r="A124" s="20">
        <v>117</v>
      </c>
      <c r="B124" s="1308" t="s">
        <v>288</v>
      </c>
      <c r="C124" s="1309"/>
      <c r="D124" s="326">
        <f t="shared" ref="D124:G124" si="63">D84+D92+D99+D106+D122+D56</f>
        <v>0</v>
      </c>
      <c r="E124" s="327">
        <f t="shared" si="63"/>
        <v>18884474.25</v>
      </c>
      <c r="F124" s="328">
        <f t="shared" si="63"/>
        <v>21632870.359999999</v>
      </c>
      <c r="G124" s="329">
        <f t="shared" si="63"/>
        <v>40517344.609999999</v>
      </c>
    </row>
    <row r="125" spans="1:25" ht="16.5" thickTop="1">
      <c r="A125" s="286">
        <v>118</v>
      </c>
      <c r="B125" s="355"/>
      <c r="C125" s="356"/>
      <c r="D125" s="306"/>
      <c r="E125" s="320"/>
      <c r="F125" s="318"/>
      <c r="G125" s="309"/>
    </row>
    <row r="126" spans="1:25">
      <c r="A126" s="20">
        <v>119</v>
      </c>
      <c r="B126" s="300" t="s">
        <v>289</v>
      </c>
      <c r="C126" s="301"/>
      <c r="D126" s="306"/>
      <c r="E126" s="307"/>
      <c r="F126" s="318"/>
      <c r="G126" s="309"/>
    </row>
    <row r="127" spans="1:25">
      <c r="A127" s="286">
        <v>120</v>
      </c>
      <c r="B127" s="304" t="s">
        <v>290</v>
      </c>
      <c r="C127" s="305" t="s">
        <v>291</v>
      </c>
      <c r="D127" s="306"/>
      <c r="E127" s="320">
        <v>0</v>
      </c>
      <c r="F127" s="348">
        <v>19218442.350000001</v>
      </c>
      <c r="G127" s="321">
        <f t="shared" ref="G127:G133" si="64">SUM(E127:F127)</f>
        <v>19218442.350000001</v>
      </c>
      <c r="O127" s="75">
        <f>+'Panco Pro Forma Plant Additions'!E18</f>
        <v>152302.92623499999</v>
      </c>
      <c r="T127" s="75">
        <f>+'CRM Adjustment (a)'!E16</f>
        <v>78010.890174750049</v>
      </c>
      <c r="X127" s="310">
        <f t="shared" ref="X127:X133" si="65">SUM(I127:W127)</f>
        <v>230313.81640975003</v>
      </c>
      <c r="Y127" s="310">
        <f t="shared" ref="Y127:Y133" si="66">+G127+X127</f>
        <v>19448756.166409753</v>
      </c>
    </row>
    <row r="128" spans="1:25">
      <c r="A128" s="20">
        <v>121</v>
      </c>
      <c r="B128" s="332"/>
      <c r="C128" s="305" t="s">
        <v>292</v>
      </c>
      <c r="D128" s="323"/>
      <c r="E128" s="320">
        <v>0</v>
      </c>
      <c r="F128" s="348">
        <v>0</v>
      </c>
      <c r="G128" s="357">
        <f t="shared" si="64"/>
        <v>0</v>
      </c>
      <c r="X128" s="310">
        <f t="shared" si="65"/>
        <v>0</v>
      </c>
      <c r="Y128" s="310">
        <f t="shared" si="66"/>
        <v>0</v>
      </c>
    </row>
    <row r="129" spans="1:25">
      <c r="A129" s="286">
        <v>122</v>
      </c>
      <c r="B129" s="332"/>
      <c r="C129" s="305" t="s">
        <v>293</v>
      </c>
      <c r="D129" s="323"/>
      <c r="E129" s="320">
        <v>0</v>
      </c>
      <c r="F129" s="348">
        <v>0</v>
      </c>
      <c r="G129" s="357">
        <f t="shared" si="64"/>
        <v>0</v>
      </c>
      <c r="X129" s="310">
        <f t="shared" si="65"/>
        <v>0</v>
      </c>
      <c r="Y129" s="310">
        <f t="shared" si="66"/>
        <v>0</v>
      </c>
    </row>
    <row r="130" spans="1:25">
      <c r="A130" s="20">
        <v>123</v>
      </c>
      <c r="B130" s="332"/>
      <c r="C130" s="305" t="s">
        <v>294</v>
      </c>
      <c r="D130" s="306"/>
      <c r="E130" s="358">
        <v>0</v>
      </c>
      <c r="F130" s="348">
        <v>0</v>
      </c>
      <c r="G130" s="321">
        <f t="shared" si="64"/>
        <v>0</v>
      </c>
      <c r="X130" s="310">
        <f t="shared" si="65"/>
        <v>0</v>
      </c>
      <c r="Y130" s="310">
        <f t="shared" si="66"/>
        <v>0</v>
      </c>
    </row>
    <row r="131" spans="1:25">
      <c r="A131" s="286">
        <v>124</v>
      </c>
      <c r="B131" s="332"/>
      <c r="C131" s="305" t="s">
        <v>295</v>
      </c>
      <c r="D131" s="323"/>
      <c r="E131" s="320">
        <v>0</v>
      </c>
      <c r="F131" s="348">
        <v>0</v>
      </c>
      <c r="G131" s="357">
        <f t="shared" si="64"/>
        <v>0</v>
      </c>
      <c r="X131" s="310">
        <f t="shared" si="65"/>
        <v>0</v>
      </c>
      <c r="Y131" s="310">
        <f t="shared" si="66"/>
        <v>0</v>
      </c>
    </row>
    <row r="132" spans="1:25">
      <c r="A132" s="20">
        <v>125</v>
      </c>
      <c r="B132" s="332"/>
      <c r="C132" s="305" t="s">
        <v>296</v>
      </c>
      <c r="D132" s="323"/>
      <c r="E132" s="320">
        <v>0</v>
      </c>
      <c r="F132" s="348">
        <v>0</v>
      </c>
      <c r="G132" s="357">
        <f t="shared" si="64"/>
        <v>0</v>
      </c>
      <c r="X132" s="310">
        <f t="shared" si="65"/>
        <v>0</v>
      </c>
      <c r="Y132" s="310">
        <f t="shared" si="66"/>
        <v>0</v>
      </c>
    </row>
    <row r="133" spans="1:25">
      <c r="A133" s="286">
        <v>126</v>
      </c>
      <c r="B133" s="304" t="s">
        <v>297</v>
      </c>
      <c r="C133" s="305" t="s">
        <v>298</v>
      </c>
      <c r="D133" s="323"/>
      <c r="E133" s="320">
        <v>0</v>
      </c>
      <c r="F133" s="348">
        <v>0</v>
      </c>
      <c r="G133" s="357">
        <f t="shared" si="64"/>
        <v>0</v>
      </c>
      <c r="X133" s="310">
        <f t="shared" si="65"/>
        <v>0</v>
      </c>
      <c r="Y133" s="310">
        <f t="shared" si="66"/>
        <v>0</v>
      </c>
    </row>
    <row r="134" spans="1:25">
      <c r="A134" s="20">
        <v>127</v>
      </c>
      <c r="B134" s="300" t="s">
        <v>299</v>
      </c>
      <c r="C134" s="301"/>
      <c r="D134" s="311"/>
      <c r="E134" s="312">
        <f t="shared" ref="E134:T134" si="67">SUM(E127:E133)</f>
        <v>0</v>
      </c>
      <c r="F134" s="325">
        <f t="shared" si="67"/>
        <v>19218442.350000001</v>
      </c>
      <c r="G134" s="314">
        <f t="shared" si="67"/>
        <v>19218442.350000001</v>
      </c>
      <c r="I134" s="314">
        <f t="shared" si="67"/>
        <v>0</v>
      </c>
      <c r="J134" s="314">
        <f t="shared" si="67"/>
        <v>0</v>
      </c>
      <c r="K134" s="315">
        <f>SUM(K127:K133)</f>
        <v>0</v>
      </c>
      <c r="L134" s="314">
        <f t="shared" si="67"/>
        <v>0</v>
      </c>
      <c r="M134" s="314">
        <f t="shared" si="67"/>
        <v>0</v>
      </c>
      <c r="N134" s="1102">
        <f t="shared" si="67"/>
        <v>0</v>
      </c>
      <c r="O134" s="314">
        <f t="shared" si="67"/>
        <v>152302.92623499999</v>
      </c>
      <c r="P134" s="314">
        <f t="shared" si="67"/>
        <v>0</v>
      </c>
      <c r="Q134" s="314"/>
      <c r="R134" s="316">
        <f t="shared" si="67"/>
        <v>0</v>
      </c>
      <c r="S134" s="314">
        <f t="shared" si="67"/>
        <v>0</v>
      </c>
      <c r="T134" s="314">
        <f t="shared" si="67"/>
        <v>78010.890174750049</v>
      </c>
      <c r="U134" s="314">
        <f>SUM(U127:U133)</f>
        <v>0</v>
      </c>
      <c r="V134" s="314">
        <f>SUM(V127:V133)</f>
        <v>0</v>
      </c>
      <c r="W134" s="314">
        <f>SUM(W127:W133)</f>
        <v>0</v>
      </c>
      <c r="X134" s="314">
        <f>SUM(X127:X133)</f>
        <v>230313.81640975003</v>
      </c>
      <c r="Y134" s="314">
        <f>SUM(Y127:Y133)</f>
        <v>19448756.166409753</v>
      </c>
    </row>
    <row r="135" spans="1:25">
      <c r="A135" s="286">
        <v>128</v>
      </c>
      <c r="B135" s="332"/>
      <c r="C135" s="301"/>
      <c r="D135" s="306"/>
      <c r="E135" s="307"/>
      <c r="F135" s="318"/>
      <c r="G135" s="309"/>
    </row>
    <row r="136" spans="1:25">
      <c r="A136" s="20">
        <v>129</v>
      </c>
      <c r="B136" s="319" t="s">
        <v>300</v>
      </c>
      <c r="C136" s="301" t="s">
        <v>33</v>
      </c>
      <c r="D136" s="323"/>
      <c r="E136" s="322">
        <v>0</v>
      </c>
      <c r="F136" s="308">
        <v>0</v>
      </c>
      <c r="G136" s="324">
        <f>SUM(E136:F136)</f>
        <v>0</v>
      </c>
    </row>
    <row r="137" spans="1:25">
      <c r="A137" s="286">
        <v>130</v>
      </c>
      <c r="B137" s="332"/>
      <c r="C137" s="301"/>
      <c r="D137" s="306"/>
      <c r="E137" s="307"/>
      <c r="F137" s="318"/>
      <c r="G137" s="309"/>
      <c r="X137" s="310">
        <f>SUM(I137:W137)</f>
        <v>0</v>
      </c>
      <c r="Y137" s="310">
        <f>+G137+X137</f>
        <v>0</v>
      </c>
    </row>
    <row r="138" spans="1:25">
      <c r="A138" s="20">
        <v>131</v>
      </c>
      <c r="B138" s="300" t="s">
        <v>301</v>
      </c>
      <c r="C138" s="301"/>
      <c r="D138" s="306"/>
      <c r="E138" s="307"/>
      <c r="F138" s="318"/>
      <c r="G138" s="309"/>
    </row>
    <row r="139" spans="1:25">
      <c r="A139" s="286">
        <v>132</v>
      </c>
      <c r="B139" s="304" t="s">
        <v>302</v>
      </c>
      <c r="C139" s="305" t="s">
        <v>303</v>
      </c>
      <c r="D139" s="338"/>
      <c r="E139" s="339">
        <v>3209664.98</v>
      </c>
      <c r="F139" s="349">
        <v>885968.83</v>
      </c>
      <c r="G139" s="341">
        <f>SUM(E139:F139)</f>
        <v>4095633.81</v>
      </c>
      <c r="N139" s="1098">
        <f>+'k10 Pro Forma Wage Adj'!P17</f>
        <v>43534.709100615306</v>
      </c>
      <c r="O139" s="75">
        <f>+'Panco Pro Forma Plant Additions'!E12</f>
        <v>87903.501650929014</v>
      </c>
      <c r="Q139" s="75">
        <f>+'Panco Pro Forma Compliance Dept'!L17</f>
        <v>9983.5153142399995</v>
      </c>
      <c r="X139" s="310">
        <f>SUM(I139:W139)</f>
        <v>141421.72606578434</v>
      </c>
      <c r="Y139" s="310">
        <f>+G139+X139</f>
        <v>4237055.5360657843</v>
      </c>
    </row>
    <row r="140" spans="1:25">
      <c r="A140" s="20">
        <v>133</v>
      </c>
      <c r="B140" s="332"/>
      <c r="C140" s="301"/>
      <c r="D140" s="306"/>
      <c r="E140" s="307"/>
      <c r="F140" s="318"/>
      <c r="G140" s="309"/>
    </row>
    <row r="141" spans="1:25">
      <c r="A141" s="286">
        <v>134</v>
      </c>
      <c r="B141" s="300" t="s">
        <v>304</v>
      </c>
      <c r="C141" s="301"/>
      <c r="D141" s="306"/>
      <c r="E141" s="307"/>
      <c r="F141" s="318"/>
      <c r="G141" s="309"/>
    </row>
    <row r="142" spans="1:25">
      <c r="A142" s="20">
        <v>135</v>
      </c>
      <c r="B142" s="359" t="s">
        <v>305</v>
      </c>
      <c r="C142" s="360" t="s">
        <v>306</v>
      </c>
      <c r="D142" s="323"/>
      <c r="E142" s="322">
        <v>3159842.45</v>
      </c>
      <c r="F142" s="308">
        <v>0</v>
      </c>
      <c r="G142" s="324">
        <f t="shared" ref="G142:G147" si="68">SUM(E142:F142)</f>
        <v>3159842.45</v>
      </c>
      <c r="I142" s="75">
        <f>+'Exh KMH-2 Adjustments Pg 2'!G33</f>
        <v>1316405.7631083794</v>
      </c>
      <c r="J142" s="75">
        <f>+'Exh KMH-2 Adjustments Pg 2'!H33</f>
        <v>19151.463999999996</v>
      </c>
      <c r="K142" s="270">
        <f>+'Exh KMH-2 Adjustments Pg 2'!I33</f>
        <v>-838661.52984188625</v>
      </c>
      <c r="L142" s="75">
        <f>+'Exh KMH-2 Adjustments Pg 2'!J33</f>
        <v>186666.67599999998</v>
      </c>
      <c r="M142" s="75">
        <f>+'Exh KMH-2 Adjustments Pg 2'!R33</f>
        <v>352988.15360074444</v>
      </c>
      <c r="N142" s="1098">
        <f>+'Exh KMH-2 Adjustments Pg 2'!S33</f>
        <v>-233944.11138413457</v>
      </c>
      <c r="O142" s="75">
        <f>+'Exh KMH-2 Adjustments Pg 2'!T33</f>
        <v>-17192.927109505363</v>
      </c>
      <c r="P142" s="75">
        <f>+'Exh KMH-2 Adjustments Pg 2'!U33</f>
        <v>-43050</v>
      </c>
      <c r="Q142" s="75">
        <f>+'Exh KMH-2 Adjustments Pg 2'!V33</f>
        <v>-69724.740451184</v>
      </c>
      <c r="R142" s="269">
        <f>+'Exh KMH-2 Adjustments Pg 2'!W33</f>
        <v>-148297.83499999999</v>
      </c>
      <c r="S142" s="75">
        <f>+'Exh KMH-2 Adjustments Pg 2'!X33</f>
        <v>-33999.280552280747</v>
      </c>
      <c r="T142" s="75">
        <f>+'Exh KMH-2 Adjustments Pg 2'!Y33</f>
        <v>-27303.811561162514</v>
      </c>
      <c r="U142" s="75">
        <f>+'Exh KMH-2 Adjustments Pg 2'!Z33</f>
        <v>2443230.4579329626</v>
      </c>
      <c r="V142" s="134"/>
      <c r="X142" s="310">
        <f t="shared" ref="X142:X147" si="69">SUM(I142:W142)</f>
        <v>2906268.2787419329</v>
      </c>
      <c r="Y142" s="310">
        <f t="shared" ref="Y142:Y147" si="70">+G142+X142</f>
        <v>6066110.7287419327</v>
      </c>
    </row>
    <row r="143" spans="1:25">
      <c r="A143" s="286">
        <v>136</v>
      </c>
      <c r="B143" s="359" t="s">
        <v>305</v>
      </c>
      <c r="C143" s="360" t="s">
        <v>307</v>
      </c>
      <c r="D143" s="323"/>
      <c r="E143" s="322">
        <v>0</v>
      </c>
      <c r="F143" s="308">
        <v>0</v>
      </c>
      <c r="G143" s="324">
        <f t="shared" si="68"/>
        <v>0</v>
      </c>
      <c r="X143" s="310">
        <f t="shared" si="69"/>
        <v>0</v>
      </c>
      <c r="Y143" s="310">
        <f t="shared" si="70"/>
        <v>0</v>
      </c>
    </row>
    <row r="144" spans="1:25">
      <c r="A144" s="20">
        <v>137</v>
      </c>
      <c r="B144" s="359" t="s">
        <v>308</v>
      </c>
      <c r="C144" s="360" t="s">
        <v>309</v>
      </c>
      <c r="D144" s="323"/>
      <c r="E144" s="322">
        <v>1031914.19</v>
      </c>
      <c r="F144" s="308">
        <v>0</v>
      </c>
      <c r="G144" s="324">
        <f t="shared" si="68"/>
        <v>1031914.19</v>
      </c>
      <c r="X144" s="310">
        <f t="shared" si="69"/>
        <v>0</v>
      </c>
      <c r="Y144" s="310">
        <f t="shared" si="70"/>
        <v>1031914.19</v>
      </c>
    </row>
    <row r="145" spans="1:25">
      <c r="A145" s="286">
        <v>138</v>
      </c>
      <c r="B145" s="359" t="s">
        <v>308</v>
      </c>
      <c r="C145" s="360" t="s">
        <v>310</v>
      </c>
      <c r="D145" s="323"/>
      <c r="E145" s="322">
        <v>0</v>
      </c>
      <c r="F145" s="308">
        <v>0</v>
      </c>
      <c r="G145" s="324">
        <f t="shared" si="68"/>
        <v>0</v>
      </c>
      <c r="X145" s="310">
        <f t="shared" si="69"/>
        <v>0</v>
      </c>
      <c r="Y145" s="310">
        <f t="shared" si="70"/>
        <v>0</v>
      </c>
    </row>
    <row r="146" spans="1:25">
      <c r="A146" s="20">
        <v>139</v>
      </c>
      <c r="B146" s="359" t="s">
        <v>311</v>
      </c>
      <c r="C146" s="360" t="s">
        <v>312</v>
      </c>
      <c r="D146" s="323"/>
      <c r="E146" s="322">
        <v>0</v>
      </c>
      <c r="F146" s="308">
        <v>0</v>
      </c>
      <c r="G146" s="324">
        <f t="shared" si="68"/>
        <v>0</v>
      </c>
      <c r="X146" s="310">
        <f t="shared" si="69"/>
        <v>0</v>
      </c>
      <c r="Y146" s="310">
        <f t="shared" si="70"/>
        <v>0</v>
      </c>
    </row>
    <row r="147" spans="1:25">
      <c r="A147" s="286">
        <v>140</v>
      </c>
      <c r="B147" s="359" t="s">
        <v>313</v>
      </c>
      <c r="C147" s="360" t="s">
        <v>314</v>
      </c>
      <c r="D147" s="306"/>
      <c r="E147" s="322">
        <v>0</v>
      </c>
      <c r="F147" s="308">
        <v>-37382.410000000003</v>
      </c>
      <c r="G147" s="321">
        <f t="shared" si="68"/>
        <v>-37382.410000000003</v>
      </c>
      <c r="X147" s="310">
        <f t="shared" si="69"/>
        <v>0</v>
      </c>
      <c r="Y147" s="310">
        <f t="shared" si="70"/>
        <v>-37382.410000000003</v>
      </c>
    </row>
    <row r="148" spans="1:25">
      <c r="A148" s="20">
        <v>141</v>
      </c>
      <c r="B148" s="300" t="s">
        <v>315</v>
      </c>
      <c r="C148" s="301"/>
      <c r="D148" s="311"/>
      <c r="E148" s="312">
        <f t="shared" ref="E148:G148" si="71">SUM(E142:E147)</f>
        <v>4191756.64</v>
      </c>
      <c r="F148" s="325">
        <f t="shared" si="71"/>
        <v>-37382.410000000003</v>
      </c>
      <c r="G148" s="314">
        <f t="shared" si="71"/>
        <v>4154374.23</v>
      </c>
      <c r="I148" s="314">
        <f t="shared" ref="I148:P148" si="72">SUM(I142:I147)</f>
        <v>1316405.7631083794</v>
      </c>
      <c r="J148" s="314">
        <f t="shared" si="72"/>
        <v>19151.463999999996</v>
      </c>
      <c r="K148" s="315">
        <f>SUM(K142:K147)</f>
        <v>-838661.52984188625</v>
      </c>
      <c r="L148" s="314">
        <f>SUM(L142:L147)</f>
        <v>186666.67599999998</v>
      </c>
      <c r="M148" s="314">
        <f t="shared" si="72"/>
        <v>352988.15360074444</v>
      </c>
      <c r="N148" s="1102">
        <f t="shared" si="72"/>
        <v>-233944.11138413457</v>
      </c>
      <c r="O148" s="314">
        <f t="shared" si="72"/>
        <v>-17192.927109505363</v>
      </c>
      <c r="P148" s="314">
        <f t="shared" si="72"/>
        <v>-43050</v>
      </c>
      <c r="Q148" s="314">
        <f t="shared" ref="Q148" si="73">SUM(Q142:Q147)</f>
        <v>-69724.740451184</v>
      </c>
      <c r="R148" s="316">
        <f t="shared" ref="R148:Y148" si="74">SUM(R142:R147)</f>
        <v>-148297.83499999999</v>
      </c>
      <c r="S148" s="314">
        <f t="shared" si="74"/>
        <v>-33999.280552280747</v>
      </c>
      <c r="T148" s="314">
        <f t="shared" ref="T148" si="75">SUM(T142:T147)</f>
        <v>-27303.811561162514</v>
      </c>
      <c r="U148" s="314">
        <f t="shared" si="74"/>
        <v>2443230.4579329626</v>
      </c>
      <c r="V148" s="314">
        <f t="shared" si="74"/>
        <v>0</v>
      </c>
      <c r="W148" s="314">
        <f t="shared" si="74"/>
        <v>0</v>
      </c>
      <c r="X148" s="314">
        <f t="shared" si="74"/>
        <v>2906268.2787419329</v>
      </c>
      <c r="Y148" s="314">
        <f t="shared" si="74"/>
        <v>7060642.508741932</v>
      </c>
    </row>
    <row r="149" spans="1:25">
      <c r="A149" s="286">
        <v>142</v>
      </c>
      <c r="B149" s="300" t="s">
        <v>316</v>
      </c>
      <c r="C149" s="301"/>
      <c r="D149" s="306"/>
      <c r="E149" s="307">
        <f t="shared" ref="E149:G149" si="76">E84+E92+E99+E106+E122+E134+E136+E139+E148+E56</f>
        <v>26285895.870000001</v>
      </c>
      <c r="F149" s="318">
        <f t="shared" si="76"/>
        <v>41699899.130000003</v>
      </c>
      <c r="G149" s="309">
        <f t="shared" si="76"/>
        <v>67985795</v>
      </c>
      <c r="I149" s="309">
        <f t="shared" ref="I149:P149" si="77">I84+I92+I99+I106+I122+I134+I136+I139+I148+I56</f>
        <v>1363680.0834867819</v>
      </c>
      <c r="J149" s="309">
        <f t="shared" si="77"/>
        <v>-35565.576000000001</v>
      </c>
      <c r="K149" s="324">
        <f>K84+K92+K99+K106+K122+K134+K136+K139+K148+K56</f>
        <v>-860748.91514423175</v>
      </c>
      <c r="L149" s="309">
        <f>L84+L92+L99+L106+L122+L134+L136+L139+L148+L56</f>
        <v>-346666.68400000001</v>
      </c>
      <c r="M149" s="309">
        <f t="shared" si="77"/>
        <v>352988.15360074444</v>
      </c>
      <c r="N149" s="1104">
        <f t="shared" si="77"/>
        <v>511495.08723040647</v>
      </c>
      <c r="O149" s="309">
        <f t="shared" si="77"/>
        <v>223771.89494679566</v>
      </c>
      <c r="P149" s="309">
        <f t="shared" si="77"/>
        <v>-43050</v>
      </c>
      <c r="Q149" s="309">
        <f t="shared" ref="Q149" si="78">Q84+Q92+Q99+Q106+Q122+Q134+Q136+Q139+Q148+Q56</f>
        <v>129488.80369505602</v>
      </c>
      <c r="R149" s="337" t="e">
        <f t="shared" ref="R149:Y149" si="79">R84+R92+R99+R106+R122+R134+R136+R139+R148+R56</f>
        <v>#REF!</v>
      </c>
      <c r="S149" s="309">
        <f t="shared" si="79"/>
        <v>-34384.823574335758</v>
      </c>
      <c r="T149" s="309">
        <f t="shared" ref="T149" si="80">T84+T92+T99+T106+T122+T134+T136+T139+T148+T56</f>
        <v>50707.078613587539</v>
      </c>
      <c r="U149" s="309">
        <f t="shared" si="79"/>
        <v>2470936.0575523386</v>
      </c>
      <c r="V149" s="309">
        <f t="shared" si="79"/>
        <v>0</v>
      </c>
      <c r="W149" s="309">
        <f t="shared" si="79"/>
        <v>0</v>
      </c>
      <c r="X149" s="309" t="e">
        <f t="shared" si="79"/>
        <v>#REF!</v>
      </c>
      <c r="Y149" s="309" t="e">
        <f t="shared" si="79"/>
        <v>#REF!</v>
      </c>
    </row>
    <row r="150" spans="1:25" ht="16.5" thickBot="1">
      <c r="A150" s="20">
        <v>143</v>
      </c>
      <c r="B150" s="300" t="s">
        <v>317</v>
      </c>
      <c r="C150" s="301"/>
      <c r="D150" s="361">
        <f t="shared" ref="D150:G150" si="81">D53-D149</f>
        <v>0</v>
      </c>
      <c r="E150" s="362">
        <f t="shared" si="81"/>
        <v>58213090.219999999</v>
      </c>
      <c r="F150" s="363">
        <f t="shared" si="81"/>
        <v>-41608428.039999999</v>
      </c>
      <c r="G150" s="364">
        <f t="shared" si="81"/>
        <v>16604662.180000007</v>
      </c>
      <c r="I150" s="364">
        <f t="shared" ref="I150:P150" si="82">I53-I149</f>
        <v>2444753.5600584191</v>
      </c>
      <c r="J150" s="364">
        <f t="shared" si="82"/>
        <v>35565.576000000001</v>
      </c>
      <c r="K150" s="365">
        <f>K53-K149</f>
        <v>-1599376.6393503314</v>
      </c>
      <c r="L150" s="364">
        <f>L53-L149</f>
        <v>346666.68400000001</v>
      </c>
      <c r="M150" s="364">
        <f t="shared" si="82"/>
        <v>-352988.15360074444</v>
      </c>
      <c r="N150" s="1107">
        <f t="shared" si="82"/>
        <v>-511495.08723040647</v>
      </c>
      <c r="O150" s="364">
        <f t="shared" si="82"/>
        <v>-31929.721774795675</v>
      </c>
      <c r="P150" s="364">
        <f t="shared" si="82"/>
        <v>43050</v>
      </c>
      <c r="Q150" s="364">
        <f t="shared" ref="Q150" si="83">Q53-Q149</f>
        <v>-129488.80369505602</v>
      </c>
      <c r="R150" s="366" t="e">
        <f t="shared" ref="R150:Y150" si="84">R53-R149</f>
        <v>#REF!</v>
      </c>
      <c r="S150" s="364">
        <f t="shared" si="84"/>
        <v>-63141.521025664239</v>
      </c>
      <c r="T150" s="364">
        <f t="shared" ref="T150" si="85">T53-T149</f>
        <v>-50707.078613587539</v>
      </c>
      <c r="U150" s="364">
        <f t="shared" si="84"/>
        <v>2453183.2584722769</v>
      </c>
      <c r="V150" s="364">
        <f t="shared" si="84"/>
        <v>0</v>
      </c>
      <c r="W150" s="364">
        <f t="shared" si="84"/>
        <v>0</v>
      </c>
      <c r="X150" s="364" t="e">
        <f t="shared" si="84"/>
        <v>#REF!</v>
      </c>
      <c r="Y150" s="364" t="e">
        <f t="shared" si="84"/>
        <v>#REF!</v>
      </c>
    </row>
    <row r="151" spans="1:25" ht="16.5" thickTop="1">
      <c r="A151" s="286">
        <v>144</v>
      </c>
      <c r="B151" s="332"/>
      <c r="C151" s="301"/>
      <c r="D151" s="306"/>
      <c r="E151" s="307"/>
      <c r="F151" s="318"/>
      <c r="G151" s="309"/>
      <c r="Y151" s="367"/>
    </row>
    <row r="152" spans="1:25">
      <c r="A152" s="20">
        <v>145</v>
      </c>
      <c r="B152" s="300" t="s">
        <v>318</v>
      </c>
      <c r="C152" s="301"/>
      <c r="D152" s="306"/>
      <c r="E152" s="307"/>
      <c r="F152" s="318"/>
      <c r="G152" s="309"/>
    </row>
    <row r="153" spans="1:25">
      <c r="A153" s="286">
        <v>146</v>
      </c>
      <c r="B153" s="304" t="s">
        <v>83</v>
      </c>
      <c r="C153" s="305" t="s">
        <v>319</v>
      </c>
      <c r="D153" s="306"/>
      <c r="E153" s="358">
        <v>0</v>
      </c>
      <c r="F153" s="348">
        <v>8531170.2699999996</v>
      </c>
      <c r="G153" s="321">
        <f t="shared" ref="G153:G158" si="86">SUM(E153:F153)</f>
        <v>8531170.2699999996</v>
      </c>
    </row>
    <row r="154" spans="1:25">
      <c r="A154" s="20">
        <v>147</v>
      </c>
      <c r="B154" s="304" t="s">
        <v>84</v>
      </c>
      <c r="C154" s="305" t="s">
        <v>85</v>
      </c>
      <c r="D154" s="306"/>
      <c r="E154" s="358">
        <v>0</v>
      </c>
      <c r="F154" s="348">
        <v>131614.6</v>
      </c>
      <c r="G154" s="321">
        <f t="shared" si="86"/>
        <v>131614.6</v>
      </c>
    </row>
    <row r="155" spans="1:25">
      <c r="A155" s="286">
        <v>148</v>
      </c>
      <c r="B155" s="304" t="s">
        <v>86</v>
      </c>
      <c r="C155" s="305" t="s">
        <v>87</v>
      </c>
      <c r="D155" s="306"/>
      <c r="E155" s="358">
        <v>0</v>
      </c>
      <c r="F155" s="348">
        <v>31363.08</v>
      </c>
      <c r="G155" s="321">
        <f t="shared" si="86"/>
        <v>31363.08</v>
      </c>
    </row>
    <row r="156" spans="1:25">
      <c r="A156" s="20">
        <v>149</v>
      </c>
      <c r="B156" s="304" t="s">
        <v>320</v>
      </c>
      <c r="C156" s="305" t="s">
        <v>321</v>
      </c>
      <c r="D156" s="306"/>
      <c r="E156" s="320">
        <v>228343.44</v>
      </c>
      <c r="F156" s="368">
        <v>0</v>
      </c>
      <c r="G156" s="321">
        <f t="shared" si="86"/>
        <v>228343.44</v>
      </c>
    </row>
    <row r="157" spans="1:25">
      <c r="A157" s="286">
        <v>150</v>
      </c>
      <c r="B157" s="304" t="s">
        <v>322</v>
      </c>
      <c r="C157" s="305" t="s">
        <v>323</v>
      </c>
      <c r="D157" s="306"/>
      <c r="E157" s="358">
        <v>0</v>
      </c>
      <c r="F157" s="348">
        <v>48641.16</v>
      </c>
      <c r="G157" s="321">
        <f t="shared" si="86"/>
        <v>48641.16</v>
      </c>
    </row>
    <row r="158" spans="1:25">
      <c r="A158" s="20">
        <v>151</v>
      </c>
      <c r="B158" s="304" t="s">
        <v>324</v>
      </c>
      <c r="C158" s="305" t="s">
        <v>325</v>
      </c>
      <c r="D158" s="306"/>
      <c r="E158" s="320">
        <v>-170469.52</v>
      </c>
      <c r="F158" s="368">
        <v>-48651.29</v>
      </c>
      <c r="G158" s="321">
        <f t="shared" si="86"/>
        <v>-219120.81</v>
      </c>
    </row>
    <row r="159" spans="1:25">
      <c r="A159" s="286">
        <v>152</v>
      </c>
      <c r="B159" s="300" t="s">
        <v>326</v>
      </c>
      <c r="C159" s="301"/>
      <c r="D159" s="311"/>
      <c r="E159" s="312">
        <f t="shared" ref="E159:G159" si="87">SUM(E153:E158)</f>
        <v>57873.920000000013</v>
      </c>
      <c r="F159" s="325">
        <f t="shared" si="87"/>
        <v>8694137.8200000003</v>
      </c>
      <c r="G159" s="314">
        <f t="shared" si="87"/>
        <v>8752011.7399999984</v>
      </c>
    </row>
    <row r="160" spans="1:25">
      <c r="A160" s="20">
        <v>153</v>
      </c>
      <c r="B160" s="332"/>
      <c r="C160" s="301"/>
      <c r="D160" s="306"/>
      <c r="E160" s="307"/>
      <c r="F160" s="318"/>
      <c r="G160" s="309"/>
    </row>
    <row r="161" spans="1:7">
      <c r="A161" s="286">
        <v>154</v>
      </c>
      <c r="B161" s="300" t="s">
        <v>327</v>
      </c>
      <c r="C161" s="301"/>
      <c r="D161" s="306"/>
      <c r="E161" s="307"/>
      <c r="F161" s="318"/>
      <c r="G161" s="309"/>
    </row>
    <row r="162" spans="1:7">
      <c r="A162" s="20">
        <v>155</v>
      </c>
      <c r="B162" s="304" t="s">
        <v>328</v>
      </c>
      <c r="C162" s="305" t="s">
        <v>329</v>
      </c>
      <c r="D162" s="323"/>
      <c r="E162" s="322">
        <v>0</v>
      </c>
      <c r="F162" s="308">
        <v>0</v>
      </c>
      <c r="G162" s="324">
        <f t="shared" ref="G162:G171" si="88">SUM(E162:F162)</f>
        <v>0</v>
      </c>
    </row>
    <row r="163" spans="1:7">
      <c r="A163" s="286">
        <v>156</v>
      </c>
      <c r="B163" s="304" t="s">
        <v>330</v>
      </c>
      <c r="C163" s="305" t="s">
        <v>331</v>
      </c>
      <c r="D163" s="323"/>
      <c r="E163" s="322">
        <v>0</v>
      </c>
      <c r="F163" s="308">
        <v>0</v>
      </c>
      <c r="G163" s="324">
        <f t="shared" si="88"/>
        <v>0</v>
      </c>
    </row>
    <row r="164" spans="1:7">
      <c r="A164" s="20">
        <v>157</v>
      </c>
      <c r="B164" s="304" t="s">
        <v>332</v>
      </c>
      <c r="C164" s="305" t="s">
        <v>333</v>
      </c>
      <c r="D164" s="306"/>
      <c r="E164" s="322">
        <v>0</v>
      </c>
      <c r="F164" s="308">
        <v>4723.75</v>
      </c>
      <c r="G164" s="321">
        <f t="shared" si="88"/>
        <v>4723.75</v>
      </c>
    </row>
    <row r="165" spans="1:7">
      <c r="A165" s="286">
        <v>158</v>
      </c>
      <c r="B165" s="304" t="s">
        <v>334</v>
      </c>
      <c r="C165" s="305" t="s">
        <v>335</v>
      </c>
      <c r="D165" s="323"/>
      <c r="E165" s="322">
        <v>0</v>
      </c>
      <c r="F165" s="308">
        <v>0</v>
      </c>
      <c r="G165" s="357">
        <f t="shared" si="88"/>
        <v>0</v>
      </c>
    </row>
    <row r="166" spans="1:7">
      <c r="A166" s="20">
        <v>159</v>
      </c>
      <c r="B166" s="304" t="s">
        <v>336</v>
      </c>
      <c r="C166" s="305" t="s">
        <v>337</v>
      </c>
      <c r="D166" s="323"/>
      <c r="E166" s="322">
        <v>0</v>
      </c>
      <c r="F166" s="308">
        <v>0</v>
      </c>
      <c r="G166" s="357">
        <f t="shared" si="88"/>
        <v>0</v>
      </c>
    </row>
    <row r="167" spans="1:7">
      <c r="A167" s="286">
        <v>160</v>
      </c>
      <c r="B167" s="304" t="s">
        <v>338</v>
      </c>
      <c r="C167" s="305" t="s">
        <v>339</v>
      </c>
      <c r="D167" s="306"/>
      <c r="E167" s="322">
        <v>410490.43</v>
      </c>
      <c r="F167" s="308">
        <v>64724.44</v>
      </c>
      <c r="G167" s="321">
        <f t="shared" si="88"/>
        <v>475214.87</v>
      </c>
    </row>
    <row r="168" spans="1:7">
      <c r="A168" s="20">
        <v>161</v>
      </c>
      <c r="B168" s="304" t="s">
        <v>340</v>
      </c>
      <c r="C168" s="305" t="s">
        <v>341</v>
      </c>
      <c r="D168" s="323"/>
      <c r="E168" s="322">
        <v>215722.3</v>
      </c>
      <c r="F168" s="308">
        <v>61602.75</v>
      </c>
      <c r="G168" s="357">
        <f t="shared" si="88"/>
        <v>277325.05</v>
      </c>
    </row>
    <row r="169" spans="1:7">
      <c r="A169" s="286">
        <v>162</v>
      </c>
      <c r="B169" s="369">
        <v>408.2</v>
      </c>
      <c r="C169" s="305" t="s">
        <v>342</v>
      </c>
      <c r="D169" s="323"/>
      <c r="E169" s="322">
        <v>-3164.36</v>
      </c>
      <c r="F169" s="308">
        <v>0</v>
      </c>
      <c r="G169" s="357">
        <f t="shared" si="88"/>
        <v>-3164.36</v>
      </c>
    </row>
    <row r="170" spans="1:7">
      <c r="A170" s="20">
        <v>163</v>
      </c>
      <c r="B170" s="304" t="s">
        <v>343</v>
      </c>
      <c r="C170" s="305" t="s">
        <v>344</v>
      </c>
      <c r="D170" s="306"/>
      <c r="E170" s="322">
        <v>0</v>
      </c>
      <c r="F170" s="308">
        <v>13297.52</v>
      </c>
      <c r="G170" s="321">
        <f t="shared" si="88"/>
        <v>13297.52</v>
      </c>
    </row>
    <row r="171" spans="1:7">
      <c r="A171" s="286">
        <v>164</v>
      </c>
      <c r="B171" s="304" t="s">
        <v>345</v>
      </c>
      <c r="C171" s="305" t="s">
        <v>650</v>
      </c>
      <c r="D171" s="306"/>
      <c r="E171" s="322">
        <v>0</v>
      </c>
      <c r="F171" s="308">
        <v>0</v>
      </c>
      <c r="G171" s="321">
        <f t="shared" si="88"/>
        <v>0</v>
      </c>
    </row>
    <row r="172" spans="1:7">
      <c r="A172" s="20">
        <v>165</v>
      </c>
      <c r="B172" s="300" t="s">
        <v>346</v>
      </c>
      <c r="C172" s="301"/>
      <c r="D172" s="311"/>
      <c r="E172" s="312">
        <f t="shared" ref="E172:G172" si="89">SUM(E162:E171)</f>
        <v>623048.37</v>
      </c>
      <c r="F172" s="325">
        <f t="shared" si="89"/>
        <v>144348.46</v>
      </c>
      <c r="G172" s="314">
        <f t="shared" si="89"/>
        <v>767396.83</v>
      </c>
    </row>
    <row r="173" spans="1:7">
      <c r="A173" s="286">
        <v>166</v>
      </c>
      <c r="B173" s="332"/>
      <c r="C173" s="301"/>
      <c r="D173" s="306"/>
      <c r="E173" s="307"/>
      <c r="F173" s="318"/>
      <c r="G173" s="309"/>
    </row>
    <row r="174" spans="1:7">
      <c r="A174" s="20">
        <v>167</v>
      </c>
      <c r="B174" s="370" t="s">
        <v>347</v>
      </c>
      <c r="C174" s="356"/>
      <c r="D174" s="306"/>
      <c r="E174" s="307"/>
      <c r="F174" s="318"/>
      <c r="G174" s="309"/>
    </row>
    <row r="175" spans="1:7">
      <c r="A175" s="286">
        <v>168</v>
      </c>
      <c r="B175" s="371" t="s">
        <v>348</v>
      </c>
      <c r="C175" s="372" t="s">
        <v>349</v>
      </c>
      <c r="D175" s="306"/>
      <c r="E175" s="320">
        <v>0</v>
      </c>
      <c r="F175" s="348">
        <v>-142375.35</v>
      </c>
      <c r="G175" s="321">
        <f t="shared" ref="G175:G184" si="90">SUM(E175:F175)</f>
        <v>-142375.35</v>
      </c>
    </row>
    <row r="176" spans="1:7">
      <c r="A176" s="20">
        <v>169</v>
      </c>
      <c r="B176" s="371" t="s">
        <v>348</v>
      </c>
      <c r="C176" s="372" t="s">
        <v>350</v>
      </c>
      <c r="D176" s="323"/>
      <c r="E176" s="322">
        <v>0</v>
      </c>
      <c r="F176" s="348">
        <v>0</v>
      </c>
      <c r="G176" s="324">
        <f t="shared" si="90"/>
        <v>0</v>
      </c>
    </row>
    <row r="177" spans="1:7">
      <c r="A177" s="286">
        <v>170</v>
      </c>
      <c r="B177" s="371" t="s">
        <v>351</v>
      </c>
      <c r="C177" s="372" t="s">
        <v>352</v>
      </c>
      <c r="D177" s="323"/>
      <c r="E177" s="322">
        <v>0</v>
      </c>
      <c r="F177" s="348">
        <v>0</v>
      </c>
      <c r="G177" s="324">
        <f t="shared" si="90"/>
        <v>0</v>
      </c>
    </row>
    <row r="178" spans="1:7">
      <c r="A178" s="20">
        <v>171</v>
      </c>
      <c r="B178" s="371" t="s">
        <v>353</v>
      </c>
      <c r="C178" s="372" t="s">
        <v>354</v>
      </c>
      <c r="D178" s="323"/>
      <c r="E178" s="322">
        <v>0</v>
      </c>
      <c r="F178" s="348">
        <v>0</v>
      </c>
      <c r="G178" s="324">
        <f t="shared" si="90"/>
        <v>0</v>
      </c>
    </row>
    <row r="179" spans="1:7">
      <c r="A179" s="286">
        <v>172</v>
      </c>
      <c r="B179" s="304" t="s">
        <v>355</v>
      </c>
      <c r="C179" s="305" t="s">
        <v>356</v>
      </c>
      <c r="D179" s="323"/>
      <c r="E179" s="322">
        <v>0</v>
      </c>
      <c r="F179" s="348">
        <v>0</v>
      </c>
      <c r="G179" s="324">
        <f t="shared" si="90"/>
        <v>0</v>
      </c>
    </row>
    <row r="180" spans="1:7">
      <c r="A180" s="20">
        <v>173</v>
      </c>
      <c r="B180" s="304" t="s">
        <v>357</v>
      </c>
      <c r="C180" s="305" t="s">
        <v>358</v>
      </c>
      <c r="D180" s="306"/>
      <c r="E180" s="320">
        <v>20309.150000000001</v>
      </c>
      <c r="F180" s="348">
        <v>146508.03</v>
      </c>
      <c r="G180" s="321">
        <f t="shared" si="90"/>
        <v>166817.18</v>
      </c>
    </row>
    <row r="181" spans="1:7">
      <c r="A181" s="286">
        <v>174</v>
      </c>
      <c r="B181" s="304" t="s">
        <v>359</v>
      </c>
      <c r="C181" s="305" t="s">
        <v>360</v>
      </c>
      <c r="D181" s="323"/>
      <c r="E181" s="322">
        <v>0</v>
      </c>
      <c r="F181" s="348">
        <v>0</v>
      </c>
      <c r="G181" s="324">
        <f t="shared" si="90"/>
        <v>0</v>
      </c>
    </row>
    <row r="182" spans="1:7">
      <c r="A182" s="20">
        <v>175</v>
      </c>
      <c r="B182" s="304" t="s">
        <v>361</v>
      </c>
      <c r="C182" s="305" t="s">
        <v>362</v>
      </c>
      <c r="D182" s="323"/>
      <c r="E182" s="322">
        <v>1000000</v>
      </c>
      <c r="F182" s="348">
        <v>891.05</v>
      </c>
      <c r="G182" s="324">
        <f t="shared" si="90"/>
        <v>1000891.05</v>
      </c>
    </row>
    <row r="183" spans="1:7">
      <c r="A183" s="286">
        <v>176</v>
      </c>
      <c r="B183" s="304" t="s">
        <v>363</v>
      </c>
      <c r="C183" s="305" t="s">
        <v>364</v>
      </c>
      <c r="D183" s="306"/>
      <c r="E183" s="320">
        <v>0</v>
      </c>
      <c r="F183" s="348">
        <v>96498.880000000005</v>
      </c>
      <c r="G183" s="321">
        <f t="shared" si="90"/>
        <v>96498.880000000005</v>
      </c>
    </row>
    <row r="184" spans="1:7">
      <c r="A184" s="20">
        <v>177</v>
      </c>
      <c r="B184" s="304" t="s">
        <v>365</v>
      </c>
      <c r="C184" s="305" t="s">
        <v>366</v>
      </c>
      <c r="D184" s="323"/>
      <c r="E184" s="322">
        <v>805</v>
      </c>
      <c r="F184" s="348">
        <v>475.5</v>
      </c>
      <c r="G184" s="324">
        <f t="shared" si="90"/>
        <v>1280.5</v>
      </c>
    </row>
    <row r="185" spans="1:7">
      <c r="A185" s="286">
        <v>178</v>
      </c>
      <c r="B185" s="300" t="s">
        <v>367</v>
      </c>
      <c r="C185" s="301"/>
      <c r="D185" s="311"/>
      <c r="E185" s="312">
        <f t="shared" ref="E185:G185" si="91">SUM(E175:E184)</f>
        <v>1021114.15</v>
      </c>
      <c r="F185" s="325">
        <f t="shared" si="91"/>
        <v>101998.11</v>
      </c>
      <c r="G185" s="314">
        <f t="shared" si="91"/>
        <v>1123112.26</v>
      </c>
    </row>
    <row r="186" spans="1:7" ht="16.5" thickBot="1">
      <c r="A186" s="20">
        <v>179</v>
      </c>
      <c r="B186" s="373" t="s">
        <v>368</v>
      </c>
      <c r="C186" s="374"/>
      <c r="D186" s="361">
        <f>D150-D159-D172-D185</f>
        <v>0</v>
      </c>
      <c r="E186" s="362">
        <f>E150-E159+E172-E185</f>
        <v>57757150.519999996</v>
      </c>
      <c r="F186" s="363">
        <f t="shared" ref="F186:G186" si="92">F150-F159+F172-F185</f>
        <v>-50260215.509999998</v>
      </c>
      <c r="G186" s="364">
        <f t="shared" si="92"/>
        <v>7496935.0100000091</v>
      </c>
    </row>
    <row r="187" spans="1:7" ht="16.5" thickTop="1"/>
  </sheetData>
  <mergeCells count="20">
    <mergeCell ref="S1:W1"/>
    <mergeCell ref="S2:W2"/>
    <mergeCell ref="S3:W3"/>
    <mergeCell ref="S4:W4"/>
    <mergeCell ref="S5:W5"/>
    <mergeCell ref="K1:O1"/>
    <mergeCell ref="K2:O2"/>
    <mergeCell ref="K3:O3"/>
    <mergeCell ref="K4:O4"/>
    <mergeCell ref="K5:O5"/>
    <mergeCell ref="C1:G1"/>
    <mergeCell ref="C2:G2"/>
    <mergeCell ref="C3:G3"/>
    <mergeCell ref="C4:G4"/>
    <mergeCell ref="C5:G5"/>
    <mergeCell ref="B13:C13"/>
    <mergeCell ref="B124:C124"/>
    <mergeCell ref="B11:C12"/>
    <mergeCell ref="E11:G11"/>
    <mergeCell ref="E12:G12"/>
  </mergeCells>
  <printOptions horizontalCentered="1"/>
  <pageMargins left="0.2" right="0.2"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187"/>
  <sheetViews>
    <sheetView topLeftCell="A99" workbookViewId="0">
      <selection activeCell="E109" sqref="E109"/>
    </sheetView>
  </sheetViews>
  <sheetFormatPr defaultColWidth="9.140625" defaultRowHeight="15.75"/>
  <cols>
    <col min="1" max="1" width="9.28515625" style="1069" bestFit="1" customWidth="1"/>
    <col min="2" max="2" width="9.28515625" style="5" bestFit="1" customWidth="1"/>
    <col min="3" max="3" width="34.7109375" style="5" bestFit="1" customWidth="1"/>
    <col min="4" max="4" width="2.7109375" style="5" customWidth="1"/>
    <col min="5" max="5" width="13.5703125" style="1115" bestFit="1" customWidth="1"/>
    <col min="6" max="6" width="2.42578125" style="5" customWidth="1"/>
    <col min="7" max="7" width="14.140625" style="1125" customWidth="1"/>
    <col min="8" max="8" width="2.5703125" style="5" customWidth="1"/>
    <col min="9" max="9" width="13.28515625" style="5" bestFit="1" customWidth="1"/>
    <col min="10" max="16384" width="9.140625" style="5"/>
  </cols>
  <sheetData>
    <row r="1" spans="1:9">
      <c r="C1" s="1287" t="s">
        <v>56</v>
      </c>
      <c r="D1" s="1287"/>
      <c r="E1" s="1113"/>
    </row>
    <row r="2" spans="1:9">
      <c r="C2" s="1287" t="s">
        <v>1609</v>
      </c>
      <c r="D2" s="1287"/>
      <c r="E2" s="1113"/>
    </row>
    <row r="3" spans="1:9">
      <c r="C3" s="1287" t="s">
        <v>1610</v>
      </c>
      <c r="D3" s="1287"/>
      <c r="E3" s="1113"/>
    </row>
    <row r="4" spans="1:9">
      <c r="C4" s="1287" t="s">
        <v>2012</v>
      </c>
      <c r="D4" s="1287"/>
      <c r="E4" s="1113"/>
    </row>
    <row r="5" spans="1:9">
      <c r="C5" s="1287" t="s">
        <v>980</v>
      </c>
      <c r="D5" s="1287"/>
      <c r="E5" s="1113"/>
    </row>
    <row r="7" spans="1:9" s="1069" customFormat="1">
      <c r="A7" s="1069" t="s">
        <v>1917</v>
      </c>
      <c r="B7" s="1069" t="s">
        <v>1623</v>
      </c>
      <c r="C7" s="1069" t="s">
        <v>1621</v>
      </c>
      <c r="E7" s="1114" t="s">
        <v>1641</v>
      </c>
      <c r="G7" s="1126"/>
    </row>
    <row r="8" spans="1:9">
      <c r="A8" s="1069">
        <v>1</v>
      </c>
      <c r="B8" s="268" t="s">
        <v>1362</v>
      </c>
      <c r="C8" s="274"/>
      <c r="D8" s="275"/>
    </row>
    <row r="9" spans="1:9">
      <c r="A9" s="1069">
        <v>2</v>
      </c>
      <c r="B9" s="127" t="s">
        <v>981</v>
      </c>
      <c r="C9" s="125"/>
      <c r="D9" s="275"/>
    </row>
    <row r="10" spans="1:9">
      <c r="A10" s="1069">
        <v>3</v>
      </c>
      <c r="B10" s="127"/>
      <c r="C10" s="125"/>
      <c r="D10" s="275"/>
      <c r="E10" s="1116" t="s">
        <v>925</v>
      </c>
      <c r="G10" s="1127" t="s">
        <v>2064</v>
      </c>
      <c r="I10" s="7" t="s">
        <v>54</v>
      </c>
    </row>
    <row r="11" spans="1:9">
      <c r="A11" s="286">
        <v>4</v>
      </c>
      <c r="B11" s="1310" t="s">
        <v>121</v>
      </c>
      <c r="C11" s="1311"/>
      <c r="D11" s="275"/>
      <c r="E11" s="1117" t="s">
        <v>929</v>
      </c>
      <c r="G11" s="1127" t="s">
        <v>2085</v>
      </c>
    </row>
    <row r="12" spans="1:9">
      <c r="A12" s="1069">
        <v>5</v>
      </c>
      <c r="B12" s="1312"/>
      <c r="C12" s="1313"/>
      <c r="D12" s="291"/>
      <c r="E12" s="1117" t="s">
        <v>58</v>
      </c>
      <c r="G12" s="1127" t="s">
        <v>2086</v>
      </c>
    </row>
    <row r="13" spans="1:9">
      <c r="A13" s="1069">
        <v>6</v>
      </c>
      <c r="B13" s="1306" t="s">
        <v>124</v>
      </c>
      <c r="C13" s="1307"/>
      <c r="D13" s="292"/>
      <c r="E13" s="1118" t="s">
        <v>920</v>
      </c>
    </row>
    <row r="14" spans="1:9">
      <c r="A14" s="286">
        <v>7</v>
      </c>
      <c r="B14" s="300" t="s">
        <v>128</v>
      </c>
      <c r="C14" s="301"/>
      <c r="D14" s="302"/>
    </row>
    <row r="15" spans="1:9">
      <c r="A15" s="1069">
        <v>8</v>
      </c>
      <c r="B15" s="304" t="s">
        <v>129</v>
      </c>
      <c r="C15" s="305" t="s">
        <v>130</v>
      </c>
      <c r="D15" s="306"/>
    </row>
    <row r="16" spans="1:9">
      <c r="A16" s="1069">
        <v>9</v>
      </c>
      <c r="B16" s="304" t="s">
        <v>131</v>
      </c>
      <c r="C16" s="305" t="s">
        <v>132</v>
      </c>
      <c r="D16" s="306"/>
    </row>
    <row r="17" spans="1:5">
      <c r="A17" s="286">
        <v>10</v>
      </c>
      <c r="B17" s="300" t="s">
        <v>133</v>
      </c>
      <c r="C17" s="301"/>
      <c r="D17" s="311"/>
      <c r="E17" s="1119">
        <f t="shared" ref="E17" si="0">SUM(E15:E16)</f>
        <v>0</v>
      </c>
    </row>
    <row r="18" spans="1:5">
      <c r="A18" s="1069">
        <v>11</v>
      </c>
      <c r="B18" s="317"/>
      <c r="C18" s="301"/>
      <c r="D18" s="306"/>
    </row>
    <row r="19" spans="1:5">
      <c r="A19" s="286">
        <v>12</v>
      </c>
      <c r="B19" s="300" t="s">
        <v>134</v>
      </c>
      <c r="C19" s="301"/>
      <c r="D19" s="306"/>
    </row>
    <row r="20" spans="1:5">
      <c r="A20" s="1069">
        <v>13</v>
      </c>
      <c r="B20" s="304" t="s">
        <v>135</v>
      </c>
      <c r="C20" s="305" t="s">
        <v>136</v>
      </c>
      <c r="D20" s="306"/>
    </row>
    <row r="21" spans="1:5">
      <c r="A21" s="286">
        <v>14</v>
      </c>
      <c r="B21" s="319" t="s">
        <v>137</v>
      </c>
      <c r="C21" s="305" t="s">
        <v>138</v>
      </c>
      <c r="D21" s="306"/>
    </row>
    <row r="22" spans="1:5">
      <c r="A22" s="1069">
        <v>15</v>
      </c>
      <c r="B22" s="319" t="s">
        <v>139</v>
      </c>
      <c r="C22" s="305" t="s">
        <v>140</v>
      </c>
      <c r="D22" s="306"/>
    </row>
    <row r="23" spans="1:5">
      <c r="A23" s="286">
        <v>16</v>
      </c>
      <c r="B23" s="319" t="s">
        <v>141</v>
      </c>
      <c r="C23" s="305" t="s">
        <v>142</v>
      </c>
      <c r="D23" s="306"/>
    </row>
    <row r="24" spans="1:5">
      <c r="A24" s="1069">
        <v>17</v>
      </c>
      <c r="B24" s="319" t="s">
        <v>143</v>
      </c>
      <c r="C24" s="305" t="s">
        <v>144</v>
      </c>
      <c r="D24" s="306"/>
    </row>
    <row r="25" spans="1:5">
      <c r="A25" s="286">
        <v>18</v>
      </c>
      <c r="B25" s="304" t="s">
        <v>145</v>
      </c>
      <c r="C25" s="305" t="s">
        <v>146</v>
      </c>
      <c r="D25" s="323"/>
    </row>
    <row r="26" spans="1:5">
      <c r="A26" s="1069">
        <v>19</v>
      </c>
      <c r="B26" s="300" t="s">
        <v>147</v>
      </c>
      <c r="C26" s="301"/>
      <c r="D26" s="311"/>
      <c r="E26" s="1119">
        <f t="shared" ref="E26" si="1">SUM(E20:E25)</f>
        <v>0</v>
      </c>
    </row>
    <row r="27" spans="1:5" ht="16.5" thickBot="1">
      <c r="A27" s="286">
        <v>20</v>
      </c>
      <c r="B27" s="300" t="s">
        <v>148</v>
      </c>
      <c r="C27" s="301"/>
      <c r="D27" s="326"/>
      <c r="E27" s="1120">
        <f t="shared" ref="E27" si="2">E17+E26</f>
        <v>0</v>
      </c>
    </row>
    <row r="28" spans="1:5" ht="16.5" thickTop="1">
      <c r="A28" s="1069">
        <v>21</v>
      </c>
      <c r="B28" s="332" t="s">
        <v>52</v>
      </c>
      <c r="C28" s="301" t="s">
        <v>52</v>
      </c>
      <c r="D28" s="306"/>
    </row>
    <row r="29" spans="1:5">
      <c r="A29" s="286">
        <v>22</v>
      </c>
      <c r="B29" s="300" t="s">
        <v>149</v>
      </c>
      <c r="C29" s="301"/>
      <c r="D29" s="306"/>
    </row>
    <row r="30" spans="1:5">
      <c r="A30" s="1069">
        <v>23</v>
      </c>
      <c r="B30" s="304" t="s">
        <v>150</v>
      </c>
      <c r="C30" s="305" t="s">
        <v>151</v>
      </c>
      <c r="D30" s="306"/>
    </row>
    <row r="31" spans="1:5">
      <c r="A31" s="286">
        <v>24</v>
      </c>
      <c r="B31" s="304" t="s">
        <v>152</v>
      </c>
      <c r="C31" s="305" t="s">
        <v>153</v>
      </c>
      <c r="D31" s="323"/>
    </row>
    <row r="32" spans="1:5">
      <c r="A32" s="1069">
        <v>25</v>
      </c>
      <c r="B32" s="304" t="s">
        <v>154</v>
      </c>
      <c r="C32" s="305" t="s">
        <v>155</v>
      </c>
      <c r="D32" s="306"/>
    </row>
    <row r="33" spans="1:5">
      <c r="A33" s="286">
        <v>26</v>
      </c>
      <c r="B33" s="304" t="s">
        <v>156</v>
      </c>
      <c r="C33" s="305" t="s">
        <v>157</v>
      </c>
      <c r="D33" s="306"/>
    </row>
    <row r="34" spans="1:5">
      <c r="A34" s="1069">
        <v>27</v>
      </c>
      <c r="B34" s="304" t="s">
        <v>158</v>
      </c>
      <c r="C34" s="305" t="s">
        <v>159</v>
      </c>
      <c r="D34" s="306"/>
    </row>
    <row r="35" spans="1:5">
      <c r="A35" s="286">
        <v>28</v>
      </c>
      <c r="B35" s="304" t="s">
        <v>160</v>
      </c>
      <c r="C35" s="305" t="s">
        <v>161</v>
      </c>
      <c r="D35" s="306"/>
    </row>
    <row r="36" spans="1:5">
      <c r="A36" s="1069">
        <v>29</v>
      </c>
      <c r="B36" s="300" t="s">
        <v>162</v>
      </c>
      <c r="C36" s="301"/>
      <c r="D36" s="311"/>
      <c r="E36" s="1119">
        <f t="shared" ref="E36" si="3">SUM(E30:E35)</f>
        <v>0</v>
      </c>
    </row>
    <row r="37" spans="1:5">
      <c r="A37" s="286">
        <v>30</v>
      </c>
      <c r="B37" s="332"/>
      <c r="C37" s="301"/>
      <c r="D37" s="306"/>
    </row>
    <row r="38" spans="1:5">
      <c r="A38" s="1069">
        <v>31</v>
      </c>
      <c r="B38" s="300" t="s">
        <v>163</v>
      </c>
      <c r="C38" s="301"/>
      <c r="D38" s="306"/>
    </row>
    <row r="39" spans="1:5">
      <c r="A39" s="286">
        <v>32</v>
      </c>
      <c r="B39" s="304" t="s">
        <v>164</v>
      </c>
      <c r="C39" s="305" t="s">
        <v>165</v>
      </c>
      <c r="D39" s="323"/>
    </row>
    <row r="40" spans="1:5">
      <c r="A40" s="1069">
        <v>33</v>
      </c>
      <c r="B40" s="304" t="s">
        <v>166</v>
      </c>
      <c r="C40" s="305" t="s">
        <v>167</v>
      </c>
      <c r="D40" s="323"/>
    </row>
    <row r="41" spans="1:5">
      <c r="A41" s="286">
        <v>34</v>
      </c>
      <c r="B41" s="304" t="s">
        <v>168</v>
      </c>
      <c r="C41" s="305" t="s">
        <v>169</v>
      </c>
      <c r="D41" s="323"/>
    </row>
    <row r="42" spans="1:5">
      <c r="A42" s="1069">
        <v>35</v>
      </c>
      <c r="B42" s="304" t="s">
        <v>170</v>
      </c>
      <c r="C42" s="305" t="s">
        <v>171</v>
      </c>
      <c r="D42" s="323"/>
    </row>
    <row r="43" spans="1:5">
      <c r="A43" s="286">
        <v>36</v>
      </c>
      <c r="B43" s="304" t="s">
        <v>172</v>
      </c>
      <c r="C43" s="305" t="s">
        <v>173</v>
      </c>
      <c r="D43" s="323"/>
    </row>
    <row r="44" spans="1:5">
      <c r="A44" s="1069">
        <v>37</v>
      </c>
      <c r="B44" s="304" t="s">
        <v>174</v>
      </c>
      <c r="C44" s="305" t="s">
        <v>175</v>
      </c>
      <c r="D44" s="323"/>
    </row>
    <row r="45" spans="1:5">
      <c r="A45" s="286">
        <v>38</v>
      </c>
      <c r="B45" s="304" t="s">
        <v>176</v>
      </c>
      <c r="C45" s="305" t="s">
        <v>177</v>
      </c>
      <c r="D45" s="323"/>
    </row>
    <row r="46" spans="1:5">
      <c r="A46" s="1069">
        <v>39</v>
      </c>
      <c r="B46" s="304" t="s">
        <v>178</v>
      </c>
      <c r="C46" s="305" t="s">
        <v>179</v>
      </c>
      <c r="D46" s="323"/>
    </row>
    <row r="47" spans="1:5">
      <c r="A47" s="286">
        <v>40</v>
      </c>
      <c r="B47" s="304" t="s">
        <v>180</v>
      </c>
      <c r="C47" s="305" t="s">
        <v>181</v>
      </c>
      <c r="D47" s="323"/>
    </row>
    <row r="48" spans="1:5">
      <c r="A48" s="1069">
        <v>41</v>
      </c>
      <c r="B48" s="304" t="s">
        <v>182</v>
      </c>
      <c r="C48" s="305" t="s">
        <v>183</v>
      </c>
      <c r="D48" s="323"/>
    </row>
    <row r="49" spans="1:9">
      <c r="A49" s="286">
        <v>42</v>
      </c>
      <c r="B49" s="304" t="s">
        <v>184</v>
      </c>
      <c r="C49" s="305" t="s">
        <v>185</v>
      </c>
      <c r="D49" s="323"/>
    </row>
    <row r="50" spans="1:9">
      <c r="A50" s="1069">
        <v>43</v>
      </c>
      <c r="B50" s="300" t="s">
        <v>186</v>
      </c>
      <c r="C50" s="334"/>
      <c r="D50" s="335"/>
      <c r="E50" s="1119">
        <f t="shared" ref="E50" si="4">SUM(E39:E49)</f>
        <v>0</v>
      </c>
    </row>
    <row r="51" spans="1:9">
      <c r="A51" s="286">
        <v>44</v>
      </c>
      <c r="B51" s="332"/>
      <c r="C51" s="301"/>
      <c r="D51" s="306"/>
      <c r="E51" s="1121"/>
    </row>
    <row r="52" spans="1:9">
      <c r="A52" s="1069">
        <v>45</v>
      </c>
      <c r="B52" s="304" t="s">
        <v>187</v>
      </c>
      <c r="C52" s="305" t="s">
        <v>29</v>
      </c>
      <c r="D52" s="338"/>
      <c r="E52" s="1122">
        <f>+'Exh KMH-2 Adjustments Pg 2'!R23</f>
        <v>0</v>
      </c>
    </row>
    <row r="53" spans="1:9" ht="16.5" thickBot="1">
      <c r="A53" s="286">
        <v>46</v>
      </c>
      <c r="B53" s="300" t="s">
        <v>188</v>
      </c>
      <c r="C53" s="301"/>
      <c r="D53" s="326"/>
      <c r="E53" s="1120">
        <f t="shared" ref="E53" si="5">E27-E36-E52</f>
        <v>0</v>
      </c>
    </row>
    <row r="54" spans="1:9" ht="16.5" thickTop="1">
      <c r="A54" s="1069">
        <v>47</v>
      </c>
      <c r="B54" s="332"/>
      <c r="C54" s="301"/>
      <c r="D54" s="306"/>
    </row>
    <row r="55" spans="1:9">
      <c r="A55" s="286">
        <v>48</v>
      </c>
      <c r="B55" s="300" t="s">
        <v>189</v>
      </c>
      <c r="C55" s="301"/>
      <c r="D55" s="306"/>
    </row>
    <row r="56" spans="1:9" ht="18">
      <c r="A56" s="1069">
        <v>49</v>
      </c>
      <c r="B56" s="345">
        <v>813</v>
      </c>
      <c r="C56" s="305" t="s">
        <v>190</v>
      </c>
      <c r="D56" s="306"/>
      <c r="E56" s="1131">
        <f>+'k10 Pro Forma Wage Adj'!P20</f>
        <v>7924.4900311199854</v>
      </c>
      <c r="F56" s="1132"/>
      <c r="G56" s="1133">
        <v>0</v>
      </c>
      <c r="H56" s="1132"/>
      <c r="I56" s="1134">
        <f>SUM(E56:G56)</f>
        <v>7924.4900311199854</v>
      </c>
    </row>
    <row r="57" spans="1:9">
      <c r="A57" s="286">
        <v>50</v>
      </c>
      <c r="B57" s="345"/>
      <c r="C57" s="305"/>
      <c r="D57" s="306"/>
    </row>
    <row r="58" spans="1:9">
      <c r="A58" s="1069">
        <v>51</v>
      </c>
      <c r="B58" s="300" t="s">
        <v>191</v>
      </c>
      <c r="C58" s="301"/>
      <c r="D58" s="306"/>
    </row>
    <row r="59" spans="1:9">
      <c r="A59" s="286">
        <v>52</v>
      </c>
      <c r="B59" s="300" t="s">
        <v>192</v>
      </c>
      <c r="C59" s="301"/>
      <c r="D59" s="306"/>
    </row>
    <row r="60" spans="1:9">
      <c r="A60" s="1069">
        <v>53</v>
      </c>
      <c r="B60" s="304" t="s">
        <v>193</v>
      </c>
      <c r="C60" s="305" t="s">
        <v>194</v>
      </c>
      <c r="D60" s="306"/>
      <c r="E60" s="1115">
        <f>+'k10 Pro Forma Wage Adj'!P21</f>
        <v>49641.017609878676</v>
      </c>
      <c r="G60" s="1125">
        <v>0</v>
      </c>
      <c r="I60" s="75">
        <f t="shared" ref="I60:I68" si="6">SUM(E60:G60)</f>
        <v>49641.017609878676</v>
      </c>
    </row>
    <row r="61" spans="1:9">
      <c r="A61" s="286">
        <v>54</v>
      </c>
      <c r="B61" s="304" t="s">
        <v>195</v>
      </c>
      <c r="C61" s="305" t="s">
        <v>196</v>
      </c>
      <c r="D61" s="306"/>
      <c r="E61" s="1110">
        <f>'k10 wage adj separated wp'!P22+'k10 wage adj separated wp'!P39</f>
        <v>16130.979290197729</v>
      </c>
      <c r="G61" s="1109">
        <f>'k10 wage adj separated wp'!H39</f>
        <v>498.84615315200006</v>
      </c>
      <c r="I61" s="346">
        <f t="shared" si="6"/>
        <v>16629.825443349728</v>
      </c>
    </row>
    <row r="62" spans="1:9">
      <c r="A62" s="1069">
        <v>55</v>
      </c>
      <c r="B62" s="319" t="s">
        <v>197</v>
      </c>
      <c r="C62" s="305" t="s">
        <v>198</v>
      </c>
      <c r="D62" s="323"/>
      <c r="E62" s="1110">
        <f>'k10 wage adj separated wp'!P40</f>
        <v>2439.1069067600138</v>
      </c>
      <c r="G62" s="1109">
        <f>'k10 wage adj separated wp'!H40</f>
        <v>649.85796000000016</v>
      </c>
      <c r="I62" s="346">
        <f t="shared" si="6"/>
        <v>3088.964866760014</v>
      </c>
    </row>
    <row r="63" spans="1:9">
      <c r="A63" s="286">
        <v>56</v>
      </c>
      <c r="B63" s="319" t="s">
        <v>199</v>
      </c>
      <c r="C63" s="305" t="s">
        <v>200</v>
      </c>
      <c r="D63" s="306"/>
      <c r="E63" s="1110">
        <f>'k10 wage adj separated wp'!P23+'k10 wage adj separated wp'!P41</f>
        <v>79014.995228406289</v>
      </c>
      <c r="G63" s="1109">
        <f>'k10 wage adj separated wp'!H41</f>
        <v>15410.612047180972</v>
      </c>
      <c r="I63" s="346">
        <f t="shared" si="6"/>
        <v>94425.607275587259</v>
      </c>
    </row>
    <row r="64" spans="1:9">
      <c r="A64" s="1069">
        <v>57</v>
      </c>
      <c r="B64" s="304" t="s">
        <v>201</v>
      </c>
      <c r="C64" s="305" t="s">
        <v>202</v>
      </c>
      <c r="D64" s="306"/>
      <c r="E64" s="1110">
        <f>'k10 wage adj separated wp'!P42</f>
        <v>9511.1502821464637</v>
      </c>
      <c r="G64" s="1109">
        <f>'k10 wage adj separated wp'!H42</f>
        <v>2291.2000970810036</v>
      </c>
      <c r="I64" s="346">
        <f t="shared" si="6"/>
        <v>11802.350379227468</v>
      </c>
    </row>
    <row r="65" spans="1:9">
      <c r="A65" s="286">
        <v>58</v>
      </c>
      <c r="B65" s="304" t="s">
        <v>203</v>
      </c>
      <c r="C65" s="305" t="s">
        <v>204</v>
      </c>
      <c r="D65" s="306"/>
      <c r="E65" s="1110">
        <f>'k10 wage adj separated wp'!P43</f>
        <v>2152.1674672463218</v>
      </c>
      <c r="G65" s="1109">
        <f>'k10 wage adj separated wp'!H43</f>
        <v>676.14084394600002</v>
      </c>
      <c r="I65" s="346">
        <f t="shared" si="6"/>
        <v>2828.308311192322</v>
      </c>
    </row>
    <row r="66" spans="1:9">
      <c r="A66" s="1069">
        <v>59</v>
      </c>
      <c r="B66" s="304" t="s">
        <v>205</v>
      </c>
      <c r="C66" s="305" t="s">
        <v>206</v>
      </c>
      <c r="D66" s="306"/>
      <c r="E66" s="1110">
        <f>'k10 wage adj separated wp'!P24+'k10 wage adj separated wp'!P44</f>
        <v>36238.164709060475</v>
      </c>
      <c r="G66" s="1109">
        <f>'k10 wage adj separated wp'!H44</f>
        <v>8588.471260000033</v>
      </c>
      <c r="I66" s="346">
        <f t="shared" si="6"/>
        <v>44826.63596906051</v>
      </c>
    </row>
    <row r="67" spans="1:9">
      <c r="A67" s="286">
        <v>60</v>
      </c>
      <c r="B67" s="304" t="s">
        <v>207</v>
      </c>
      <c r="C67" s="305" t="s">
        <v>208</v>
      </c>
      <c r="D67" s="306"/>
      <c r="E67" s="1110">
        <f>'k10 wage adj separated wp'!P45</f>
        <v>29548.3307088496</v>
      </c>
      <c r="G67" s="1109">
        <f>'k10 wage adj separated wp'!H45</f>
        <v>7978.8683499999734</v>
      </c>
      <c r="I67" s="346">
        <f t="shared" si="6"/>
        <v>37527.199058849576</v>
      </c>
    </row>
    <row r="68" spans="1:9">
      <c r="A68" s="1069">
        <v>61</v>
      </c>
      <c r="B68" s="304" t="s">
        <v>209</v>
      </c>
      <c r="C68" s="305" t="s">
        <v>210</v>
      </c>
      <c r="D68" s="306"/>
      <c r="E68" s="1123">
        <f>'k10 wage adj separated wp'!P25+'k10 wage adj separated wp'!P46</f>
        <v>48237.054584655249</v>
      </c>
      <c r="F68" s="1112"/>
      <c r="G68" s="1129">
        <f>'k10 wage adj separated wp'!H46</f>
        <v>10109.027343098976</v>
      </c>
      <c r="H68" s="1112"/>
      <c r="I68" s="1111">
        <f t="shared" si="6"/>
        <v>58346.081927754225</v>
      </c>
    </row>
    <row r="69" spans="1:9">
      <c r="A69" s="286">
        <v>62</v>
      </c>
      <c r="B69" s="304" t="s">
        <v>211</v>
      </c>
      <c r="C69" s="305" t="s">
        <v>212</v>
      </c>
      <c r="D69" s="306"/>
    </row>
    <row r="70" spans="1:9">
      <c r="A70" s="1069">
        <v>63</v>
      </c>
      <c r="B70" s="304" t="s">
        <v>213</v>
      </c>
      <c r="C70" s="305" t="s">
        <v>214</v>
      </c>
      <c r="D70" s="323"/>
    </row>
    <row r="71" spans="1:9">
      <c r="A71" s="286">
        <v>64</v>
      </c>
      <c r="B71" s="332"/>
      <c r="C71" s="347" t="s">
        <v>215</v>
      </c>
      <c r="D71" s="311"/>
      <c r="E71" s="1119">
        <f t="shared" ref="E71" si="7">SUM(E60:E70)</f>
        <v>272912.96678720083</v>
      </c>
      <c r="G71" s="1128">
        <f>SUM(G60:G70)</f>
        <v>46203.024054458961</v>
      </c>
      <c r="I71" s="75">
        <f>SUM(I60:I70)</f>
        <v>319115.99084165978</v>
      </c>
    </row>
    <row r="72" spans="1:9">
      <c r="A72" s="1069">
        <v>65</v>
      </c>
      <c r="B72" s="332"/>
      <c r="C72" s="301"/>
      <c r="D72" s="306"/>
    </row>
    <row r="73" spans="1:9">
      <c r="A73" s="286">
        <v>66</v>
      </c>
      <c r="B73" s="300" t="s">
        <v>216</v>
      </c>
      <c r="C73" s="301"/>
      <c r="D73" s="306"/>
    </row>
    <row r="74" spans="1:9">
      <c r="A74" s="1069">
        <v>67</v>
      </c>
      <c r="B74" s="304" t="s">
        <v>217</v>
      </c>
      <c r="C74" s="305" t="s">
        <v>218</v>
      </c>
      <c r="D74" s="323"/>
      <c r="E74" s="1110">
        <f>'k10 wage adj separated wp'!P26</f>
        <v>4825.4728660400206</v>
      </c>
      <c r="I74" s="346">
        <f>SUM(E74:H74)</f>
        <v>4825.4728660400206</v>
      </c>
    </row>
    <row r="75" spans="1:9">
      <c r="A75" s="286">
        <v>68</v>
      </c>
      <c r="B75" s="304" t="s">
        <v>219</v>
      </c>
      <c r="C75" s="305" t="s">
        <v>220</v>
      </c>
      <c r="D75" s="306"/>
      <c r="E75" s="1110">
        <f>'k10 wage adj separated wp'!P47</f>
        <v>2.2915200000000002</v>
      </c>
      <c r="I75" s="346">
        <f t="shared" ref="I75:I82" si="8">SUM(E75:H75)</f>
        <v>2.2915200000000002</v>
      </c>
    </row>
    <row r="76" spans="1:9">
      <c r="A76" s="1069">
        <v>69</v>
      </c>
      <c r="B76" s="304" t="s">
        <v>221</v>
      </c>
      <c r="C76" s="305" t="s">
        <v>222</v>
      </c>
      <c r="D76" s="306"/>
      <c r="E76" s="1110">
        <f>'k10 wage adj separated wp'!P27+'k10 wage adj separated wp'!P48</f>
        <v>18962.658344213552</v>
      </c>
      <c r="G76" s="1109">
        <f>'k10 wage adj separated wp'!H48</f>
        <v>4472.0179525609974</v>
      </c>
      <c r="I76" s="346">
        <f t="shared" si="8"/>
        <v>23434.676296774549</v>
      </c>
    </row>
    <row r="77" spans="1:9">
      <c r="A77" s="286">
        <v>70</v>
      </c>
      <c r="B77" s="319" t="s">
        <v>223</v>
      </c>
      <c r="C77" s="305" t="s">
        <v>198</v>
      </c>
      <c r="D77" s="323"/>
      <c r="E77" s="1110">
        <f>'k10 wage adj separated wp'!P49</f>
        <v>577.99006789999976</v>
      </c>
      <c r="G77" s="1109">
        <f>'k10 wage adj separated wp'!H49</f>
        <v>106.14089999999997</v>
      </c>
      <c r="I77" s="346">
        <f t="shared" si="8"/>
        <v>684.13096789999975</v>
      </c>
    </row>
    <row r="78" spans="1:9">
      <c r="A78" s="1069">
        <v>71</v>
      </c>
      <c r="B78" s="304" t="s">
        <v>224</v>
      </c>
      <c r="C78" s="305" t="s">
        <v>225</v>
      </c>
      <c r="D78" s="306"/>
      <c r="E78" s="1110">
        <f>'k10 wage adj separated wp'!P50</f>
        <v>6759.5772493709801</v>
      </c>
      <c r="G78" s="1109">
        <f>'k10 wage adj separated wp'!H50</f>
        <v>1828.0325289670018</v>
      </c>
      <c r="I78" s="346">
        <f t="shared" si="8"/>
        <v>8587.609778337981</v>
      </c>
    </row>
    <row r="79" spans="1:9">
      <c r="A79" s="286">
        <v>72</v>
      </c>
      <c r="B79" s="304" t="s">
        <v>226</v>
      </c>
      <c r="C79" s="305" t="s">
        <v>227</v>
      </c>
      <c r="D79" s="306"/>
      <c r="E79" s="1110">
        <f>'k10 wage adj separated wp'!P51</f>
        <v>293.49089481999982</v>
      </c>
      <c r="G79" s="1109">
        <f>'k10 wage adj separated wp'!H51</f>
        <v>142.27822000000003</v>
      </c>
      <c r="I79" s="346">
        <f t="shared" si="8"/>
        <v>435.76911481999986</v>
      </c>
    </row>
    <row r="80" spans="1:9">
      <c r="A80" s="1069">
        <v>73</v>
      </c>
      <c r="B80" s="304" t="s">
        <v>228</v>
      </c>
      <c r="C80" s="305" t="s">
        <v>108</v>
      </c>
      <c r="D80" s="306"/>
      <c r="E80" s="1110">
        <f>'k10 wage adj separated wp'!P28+'k10 wage adj separated wp'!P52</f>
        <v>26411.854481621704</v>
      </c>
      <c r="G80" s="1109">
        <f>'k10 wage adj separated wp'!H52</f>
        <v>6301.4470094249982</v>
      </c>
      <c r="I80" s="346">
        <f t="shared" si="8"/>
        <v>32713.301491046703</v>
      </c>
    </row>
    <row r="81" spans="1:9">
      <c r="A81" s="286">
        <v>74</v>
      </c>
      <c r="B81" s="304" t="s">
        <v>229</v>
      </c>
      <c r="C81" s="305" t="s">
        <v>230</v>
      </c>
      <c r="D81" s="306"/>
      <c r="E81" s="1110">
        <f>'k10 wage adj separated wp'!P29+'k10 wage adj separated wp'!P53</f>
        <v>27970.612840401442</v>
      </c>
      <c r="G81" s="1109">
        <f>'k10 wage adj separated wp'!H53</f>
        <v>8028.9460292169806</v>
      </c>
      <c r="I81" s="346">
        <f t="shared" si="8"/>
        <v>35999.55886961842</v>
      </c>
    </row>
    <row r="82" spans="1:9">
      <c r="A82" s="1069">
        <v>75</v>
      </c>
      <c r="B82" s="304" t="s">
        <v>231</v>
      </c>
      <c r="C82" s="305" t="s">
        <v>232</v>
      </c>
      <c r="D82" s="306"/>
      <c r="E82" s="1110">
        <f>'k10 wage adj separated wp'!P54</f>
        <v>1916.3913947500057</v>
      </c>
      <c r="G82" s="1129">
        <f>'k10 wage adj separated wp'!H54</f>
        <v>604.95724999999891</v>
      </c>
      <c r="H82" s="1112"/>
      <c r="I82" s="1111">
        <f t="shared" si="8"/>
        <v>2521.3486447500045</v>
      </c>
    </row>
    <row r="83" spans="1:9">
      <c r="A83" s="286">
        <v>76</v>
      </c>
      <c r="B83" s="332"/>
      <c r="C83" s="347" t="s">
        <v>233</v>
      </c>
      <c r="D83" s="311"/>
      <c r="E83" s="1119">
        <f t="shared" ref="E83" si="9">SUM(E74:E82)</f>
        <v>87720.339659117715</v>
      </c>
      <c r="G83" s="1129">
        <f>SUM(G76:G82)</f>
        <v>21483.81989016998</v>
      </c>
      <c r="I83" s="1111">
        <f>SUM(I74:I82)</f>
        <v>109204.15954928768</v>
      </c>
    </row>
    <row r="84" spans="1:9">
      <c r="A84" s="1069">
        <v>77</v>
      </c>
      <c r="B84" s="300" t="s">
        <v>234</v>
      </c>
      <c r="C84" s="301"/>
      <c r="D84" s="338"/>
      <c r="E84" s="1122">
        <f t="shared" ref="E84" si="10">E71+E83</f>
        <v>360633.30644631851</v>
      </c>
      <c r="G84" s="1109">
        <f>SUM(G83+G71)</f>
        <v>67686.843944628941</v>
      </c>
      <c r="I84" s="1130">
        <f>I83+I71</f>
        <v>428320.15039094747</v>
      </c>
    </row>
    <row r="85" spans="1:9">
      <c r="A85" s="286">
        <v>78</v>
      </c>
      <c r="B85" s="332"/>
      <c r="C85" s="301"/>
      <c r="D85" s="306"/>
    </row>
    <row r="86" spans="1:9">
      <c r="A86" s="1069">
        <v>79</v>
      </c>
      <c r="B86" s="300" t="s">
        <v>235</v>
      </c>
      <c r="C86" s="301"/>
      <c r="D86" s="306"/>
    </row>
    <row r="87" spans="1:9">
      <c r="A87" s="286">
        <v>80</v>
      </c>
      <c r="B87" s="304" t="s">
        <v>236</v>
      </c>
      <c r="C87" s="305" t="s">
        <v>237</v>
      </c>
      <c r="D87" s="306"/>
    </row>
    <row r="88" spans="1:9">
      <c r="A88" s="1069">
        <v>81</v>
      </c>
      <c r="B88" s="304" t="s">
        <v>238</v>
      </c>
      <c r="C88" s="305" t="s">
        <v>239</v>
      </c>
      <c r="D88" s="306"/>
      <c r="E88" s="1110">
        <f>'k10 wage adj separated wp'!P55</f>
        <v>11234.505400310074</v>
      </c>
      <c r="G88" s="1109">
        <f>'k10 wage adj separated wp'!H55</f>
        <v>3199.1600099999996</v>
      </c>
      <c r="I88" s="346">
        <f>SUM(E88:G88)</f>
        <v>14433.665410310074</v>
      </c>
    </row>
    <row r="89" spans="1:9">
      <c r="A89" s="286">
        <v>82</v>
      </c>
      <c r="B89" s="304" t="s">
        <v>240</v>
      </c>
      <c r="C89" s="305" t="s">
        <v>241</v>
      </c>
      <c r="D89" s="306"/>
      <c r="E89" s="1110">
        <f>'k10 wage adj separated wp'!P30+'k10 wage adj separated wp'!P31+'k10 wage adj separated wp'!P56</f>
        <v>29655.939958035775</v>
      </c>
      <c r="G89" s="1129">
        <f>'k10 wage adj separated wp'!H56</f>
        <v>604.39863000000128</v>
      </c>
      <c r="H89" s="1112"/>
      <c r="I89" s="1111">
        <f>SUM(E89:G89)</f>
        <v>30260.338588035775</v>
      </c>
    </row>
    <row r="90" spans="1:9">
      <c r="A90" s="1069">
        <v>83</v>
      </c>
      <c r="B90" s="304" t="s">
        <v>242</v>
      </c>
      <c r="C90" s="305" t="s">
        <v>18</v>
      </c>
      <c r="D90" s="306"/>
    </row>
    <row r="91" spans="1:9">
      <c r="A91" s="286">
        <v>84</v>
      </c>
      <c r="B91" s="304" t="s">
        <v>243</v>
      </c>
      <c r="C91" s="305" t="s">
        <v>244</v>
      </c>
      <c r="D91" s="306"/>
    </row>
    <row r="92" spans="1:9" ht="18">
      <c r="A92" s="1069">
        <v>85</v>
      </c>
      <c r="B92" s="300" t="s">
        <v>245</v>
      </c>
      <c r="C92" s="301"/>
      <c r="D92" s="311"/>
      <c r="E92" s="1135">
        <f t="shared" ref="E92" si="11">SUM(E87:E91)</f>
        <v>40890.445358345853</v>
      </c>
      <c r="F92" s="1132"/>
      <c r="G92" s="1136">
        <f>SUM(G88:G91)</f>
        <v>3803.5586400000011</v>
      </c>
      <c r="H92" s="1132"/>
      <c r="I92" s="1137">
        <f>SUM(I88:I91)</f>
        <v>44694.003998345848</v>
      </c>
    </row>
    <row r="93" spans="1:9">
      <c r="A93" s="286">
        <v>86</v>
      </c>
      <c r="B93" s="332"/>
      <c r="C93" s="301"/>
      <c r="D93" s="306"/>
    </row>
    <row r="94" spans="1:9">
      <c r="A94" s="1069">
        <v>87</v>
      </c>
      <c r="B94" s="300" t="s">
        <v>246</v>
      </c>
      <c r="C94" s="301"/>
      <c r="D94" s="306"/>
    </row>
    <row r="95" spans="1:9">
      <c r="A95" s="286">
        <v>88</v>
      </c>
      <c r="B95" s="304" t="s">
        <v>247</v>
      </c>
      <c r="C95" s="305" t="s">
        <v>237</v>
      </c>
      <c r="D95" s="306"/>
    </row>
    <row r="96" spans="1:9">
      <c r="A96" s="1069">
        <v>89</v>
      </c>
      <c r="B96" s="304" t="s">
        <v>248</v>
      </c>
      <c r="C96" s="305" t="s">
        <v>249</v>
      </c>
      <c r="D96" s="306"/>
    </row>
    <row r="97" spans="1:9">
      <c r="A97" s="286">
        <v>90</v>
      </c>
      <c r="B97" s="304" t="s">
        <v>250</v>
      </c>
      <c r="C97" s="305" t="s">
        <v>251</v>
      </c>
      <c r="D97" s="306"/>
    </row>
    <row r="98" spans="1:9">
      <c r="A98" s="1069">
        <v>91</v>
      </c>
      <c r="B98" s="351" t="s">
        <v>252</v>
      </c>
      <c r="C98" s="305" t="s">
        <v>253</v>
      </c>
      <c r="D98" s="323"/>
    </row>
    <row r="99" spans="1:9">
      <c r="A99" s="286">
        <v>92</v>
      </c>
      <c r="B99" s="317" t="s">
        <v>254</v>
      </c>
      <c r="C99" s="301"/>
      <c r="D99" s="311"/>
      <c r="E99" s="1119">
        <f t="shared" ref="E99" si="12">SUM(E95:E98)</f>
        <v>0</v>
      </c>
    </row>
    <row r="100" spans="1:9">
      <c r="A100" s="1069">
        <v>93</v>
      </c>
      <c r="B100" s="332"/>
      <c r="C100" s="301"/>
      <c r="D100" s="306"/>
    </row>
    <row r="101" spans="1:9">
      <c r="A101" s="286">
        <v>94</v>
      </c>
      <c r="B101" s="300" t="s">
        <v>255</v>
      </c>
      <c r="C101" s="301"/>
      <c r="D101" s="306"/>
    </row>
    <row r="102" spans="1:9">
      <c r="A102" s="1069">
        <v>95</v>
      </c>
      <c r="B102" s="304" t="s">
        <v>256</v>
      </c>
      <c r="C102" s="305" t="s">
        <v>237</v>
      </c>
      <c r="D102" s="323"/>
    </row>
    <row r="103" spans="1:9">
      <c r="A103" s="286">
        <v>96</v>
      </c>
      <c r="B103" s="304" t="s">
        <v>257</v>
      </c>
      <c r="C103" s="305" t="s">
        <v>258</v>
      </c>
      <c r="D103" s="323"/>
    </row>
    <row r="104" spans="1:9">
      <c r="A104" s="1069">
        <v>97</v>
      </c>
      <c r="B104" s="304" t="s">
        <v>259</v>
      </c>
      <c r="C104" s="305" t="s">
        <v>53</v>
      </c>
      <c r="D104" s="323"/>
    </row>
    <row r="105" spans="1:9">
      <c r="A105" s="286">
        <v>98</v>
      </c>
      <c r="B105" s="304" t="s">
        <v>260</v>
      </c>
      <c r="C105" s="305" t="s">
        <v>261</v>
      </c>
      <c r="D105" s="323"/>
    </row>
    <row r="106" spans="1:9">
      <c r="A106" s="1069">
        <v>99</v>
      </c>
      <c r="B106" s="300" t="s">
        <v>262</v>
      </c>
      <c r="C106" s="301"/>
      <c r="D106" s="335"/>
      <c r="E106" s="1119">
        <f t="shared" ref="E106" si="13">SUM(E102:E105)</f>
        <v>0</v>
      </c>
    </row>
    <row r="107" spans="1:9">
      <c r="A107" s="286">
        <v>100</v>
      </c>
      <c r="B107" s="332"/>
      <c r="C107" s="301"/>
      <c r="D107" s="306"/>
    </row>
    <row r="108" spans="1:9">
      <c r="A108" s="1069">
        <v>101</v>
      </c>
      <c r="B108" s="300" t="s">
        <v>263</v>
      </c>
      <c r="C108" s="301"/>
      <c r="D108" s="306"/>
    </row>
    <row r="109" spans="1:9">
      <c r="A109" s="286">
        <v>102</v>
      </c>
      <c r="B109" s="304" t="s">
        <v>264</v>
      </c>
      <c r="C109" s="305" t="s">
        <v>265</v>
      </c>
      <c r="D109" s="306"/>
      <c r="E109" s="1110">
        <f>'k10 wage adj separated wp'!P32+'k10 wage adj separated wp'!P33+'k10 wage adj separated wp'!P57+'k10 wage adj separated wp'!P85</f>
        <v>219381.87356712134</v>
      </c>
      <c r="G109" s="1109">
        <f>'k10 wage adj separated wp'!H57</f>
        <v>6.8993084160000011</v>
      </c>
      <c r="I109" s="346">
        <f>SUM(E109:G109)</f>
        <v>219388.77287553734</v>
      </c>
    </row>
    <row r="110" spans="1:9">
      <c r="A110" s="1069">
        <v>103</v>
      </c>
      <c r="B110" s="304" t="s">
        <v>266</v>
      </c>
      <c r="C110" s="305" t="s">
        <v>267</v>
      </c>
      <c r="D110" s="306"/>
      <c r="E110" s="1110">
        <f>'k10 wage adj separated wp'!P58</f>
        <v>12.015922152000002</v>
      </c>
      <c r="G110" s="1109">
        <f>'k10 wage adj separated wp'!H58</f>
        <v>0</v>
      </c>
      <c r="I110" s="346">
        <f>SUM(E110:H110)</f>
        <v>12.015922152000002</v>
      </c>
    </row>
    <row r="111" spans="1:9">
      <c r="A111" s="286">
        <v>104</v>
      </c>
      <c r="B111" s="304" t="s">
        <v>268</v>
      </c>
      <c r="C111" s="305" t="s">
        <v>269</v>
      </c>
      <c r="D111" s="306"/>
    </row>
    <row r="112" spans="1:9">
      <c r="A112" s="1069">
        <v>105</v>
      </c>
      <c r="B112" s="304" t="s">
        <v>270</v>
      </c>
      <c r="C112" s="305" t="s">
        <v>271</v>
      </c>
      <c r="D112" s="306"/>
    </row>
    <row r="113" spans="1:9">
      <c r="A113" s="286">
        <v>106</v>
      </c>
      <c r="B113" s="304" t="s">
        <v>272</v>
      </c>
      <c r="C113" s="305" t="s">
        <v>273</v>
      </c>
      <c r="D113" s="306"/>
    </row>
    <row r="114" spans="1:9">
      <c r="A114" s="1069">
        <v>107</v>
      </c>
      <c r="B114" s="304" t="s">
        <v>274</v>
      </c>
      <c r="C114" s="305" t="s">
        <v>275</v>
      </c>
      <c r="D114" s="306"/>
      <c r="E114" s="1110">
        <f>'k10 wage adj separated wp'!P34+'k10 wage adj separated wp'!P59</f>
        <v>1415.0708741129997</v>
      </c>
      <c r="G114" s="1109">
        <f>'k10 wage adj separated wp'!H59</f>
        <v>0</v>
      </c>
      <c r="I114" s="346">
        <f>SUM(E114:G114)</f>
        <v>1415.0708741129997</v>
      </c>
    </row>
    <row r="115" spans="1:9">
      <c r="A115" s="286">
        <v>108</v>
      </c>
      <c r="B115" s="304" t="s">
        <v>276</v>
      </c>
      <c r="C115" s="305" t="s">
        <v>277</v>
      </c>
      <c r="D115" s="323"/>
    </row>
    <row r="116" spans="1:9">
      <c r="A116" s="1069">
        <v>109</v>
      </c>
      <c r="B116" s="304" t="s">
        <v>278</v>
      </c>
      <c r="C116" s="305" t="s">
        <v>279</v>
      </c>
      <c r="D116" s="323"/>
    </row>
    <row r="117" spans="1:9">
      <c r="A117" s="286">
        <v>110</v>
      </c>
      <c r="B117" s="304" t="s">
        <v>280</v>
      </c>
      <c r="C117" s="305" t="s">
        <v>281</v>
      </c>
      <c r="D117" s="306"/>
    </row>
    <row r="118" spans="1:9">
      <c r="A118" s="1069">
        <v>111</v>
      </c>
      <c r="B118" s="304" t="s">
        <v>282</v>
      </c>
      <c r="C118" s="305" t="s">
        <v>212</v>
      </c>
      <c r="D118" s="306"/>
    </row>
    <row r="119" spans="1:9">
      <c r="A119" s="286">
        <v>112</v>
      </c>
      <c r="B119" s="304" t="s">
        <v>283</v>
      </c>
      <c r="C119" s="305" t="s">
        <v>284</v>
      </c>
      <c r="D119" s="338"/>
      <c r="E119" s="1123">
        <f>'k10 wage adj separated wp'!P60</f>
        <v>93.686011710000002</v>
      </c>
      <c r="G119" s="1129">
        <f>'k10 wage adj separated wp'!H60</f>
        <v>56.299410000000002</v>
      </c>
      <c r="I119" s="1111">
        <f>SUM(E119:G119)</f>
        <v>149.98542171</v>
      </c>
    </row>
    <row r="120" spans="1:9">
      <c r="A120" s="1069">
        <v>113</v>
      </c>
      <c r="B120" s="332"/>
      <c r="C120" s="301"/>
      <c r="D120" s="306"/>
      <c r="E120" s="1121">
        <f t="shared" ref="E120" si="14">SUM(E109:E119)</f>
        <v>220902.64637509634</v>
      </c>
      <c r="G120" s="1109">
        <f>SUM(G109:G119)</f>
        <v>63.198718416000006</v>
      </c>
      <c r="I120" s="346">
        <f>SUM(I109:I119)</f>
        <v>220965.84509351235</v>
      </c>
    </row>
    <row r="121" spans="1:9">
      <c r="A121" s="286">
        <v>114</v>
      </c>
      <c r="B121" s="304" t="s">
        <v>285</v>
      </c>
      <c r="C121" s="305" t="s">
        <v>286</v>
      </c>
      <c r="D121" s="306"/>
    </row>
    <row r="122" spans="1:9" ht="18">
      <c r="A122" s="1069">
        <v>115</v>
      </c>
      <c r="B122" s="300" t="s">
        <v>287</v>
      </c>
      <c r="C122" s="301"/>
      <c r="D122" s="311"/>
      <c r="E122" s="1135">
        <f t="shared" ref="E122:G122" si="15">E120+E121</f>
        <v>220902.64637509634</v>
      </c>
      <c r="F122" s="1132"/>
      <c r="G122" s="1138">
        <f t="shared" si="15"/>
        <v>63.198718416000006</v>
      </c>
      <c r="H122" s="1132"/>
      <c r="I122" s="1134">
        <f>SUM(E122:G122)</f>
        <v>220965.84509351235</v>
      </c>
    </row>
    <row r="123" spans="1:9">
      <c r="A123" s="286">
        <v>116</v>
      </c>
      <c r="B123" s="332"/>
      <c r="C123" s="301"/>
      <c r="D123" s="306"/>
    </row>
    <row r="124" spans="1:9" ht="16.5" thickBot="1">
      <c r="A124" s="1069">
        <v>117</v>
      </c>
      <c r="B124" s="1308" t="s">
        <v>288</v>
      </c>
      <c r="C124" s="1309"/>
      <c r="D124" s="326">
        <f t="shared" ref="D124" si="16">D84+D92+D99+D106+D122+D56</f>
        <v>0</v>
      </c>
    </row>
    <row r="125" spans="1:9" ht="16.5" thickTop="1">
      <c r="A125" s="286">
        <v>118</v>
      </c>
      <c r="B125" s="355"/>
      <c r="C125" s="356"/>
      <c r="D125" s="306"/>
    </row>
    <row r="126" spans="1:9">
      <c r="A126" s="1069">
        <v>119</v>
      </c>
      <c r="B126" s="300" t="s">
        <v>289</v>
      </c>
      <c r="C126" s="301"/>
      <c r="D126" s="306"/>
    </row>
    <row r="127" spans="1:9">
      <c r="A127" s="286">
        <v>120</v>
      </c>
      <c r="B127" s="304" t="s">
        <v>290</v>
      </c>
      <c r="C127" s="305" t="s">
        <v>291</v>
      </c>
      <c r="D127" s="306"/>
    </row>
    <row r="128" spans="1:9">
      <c r="A128" s="1069">
        <v>121</v>
      </c>
      <c r="B128" s="332"/>
      <c r="C128" s="305" t="s">
        <v>292</v>
      </c>
      <c r="D128" s="323"/>
    </row>
    <row r="129" spans="1:5">
      <c r="A129" s="286">
        <v>122</v>
      </c>
      <c r="B129" s="332"/>
      <c r="C129" s="305" t="s">
        <v>293</v>
      </c>
      <c r="D129" s="323"/>
    </row>
    <row r="130" spans="1:5">
      <c r="A130" s="1069">
        <v>123</v>
      </c>
      <c r="B130" s="332"/>
      <c r="C130" s="305" t="s">
        <v>294</v>
      </c>
      <c r="D130" s="306"/>
    </row>
    <row r="131" spans="1:5">
      <c r="A131" s="286">
        <v>124</v>
      </c>
      <c r="B131" s="332"/>
      <c r="C131" s="305" t="s">
        <v>295</v>
      </c>
      <c r="D131" s="323"/>
    </row>
    <row r="132" spans="1:5">
      <c r="A132" s="1069">
        <v>125</v>
      </c>
      <c r="B132" s="332"/>
      <c r="C132" s="305" t="s">
        <v>296</v>
      </c>
      <c r="D132" s="323"/>
    </row>
    <row r="133" spans="1:5">
      <c r="A133" s="286">
        <v>126</v>
      </c>
      <c r="B133" s="304" t="s">
        <v>297</v>
      </c>
      <c r="C133" s="305" t="s">
        <v>298</v>
      </c>
      <c r="D133" s="323"/>
    </row>
    <row r="134" spans="1:5">
      <c r="A134" s="1069">
        <v>127</v>
      </c>
      <c r="B134" s="300" t="s">
        <v>299</v>
      </c>
      <c r="C134" s="301"/>
      <c r="D134" s="311"/>
      <c r="E134" s="1119">
        <f t="shared" ref="E134" si="17">SUM(E127:E133)</f>
        <v>0</v>
      </c>
    </row>
    <row r="135" spans="1:5">
      <c r="A135" s="286">
        <v>128</v>
      </c>
      <c r="B135" s="332"/>
      <c r="C135" s="301"/>
      <c r="D135" s="306"/>
    </row>
    <row r="136" spans="1:5">
      <c r="A136" s="1069">
        <v>129</v>
      </c>
      <c r="B136" s="319" t="s">
        <v>300</v>
      </c>
      <c r="C136" s="301" t="s">
        <v>33</v>
      </c>
      <c r="D136" s="323"/>
    </row>
    <row r="137" spans="1:5">
      <c r="A137" s="286">
        <v>130</v>
      </c>
      <c r="B137" s="332"/>
      <c r="C137" s="301"/>
      <c r="D137" s="306"/>
    </row>
    <row r="138" spans="1:5">
      <c r="A138" s="1069">
        <v>131</v>
      </c>
      <c r="B138" s="300" t="s">
        <v>301</v>
      </c>
      <c r="C138" s="301"/>
      <c r="D138" s="306"/>
    </row>
    <row r="139" spans="1:5">
      <c r="A139" s="286">
        <v>132</v>
      </c>
      <c r="B139" s="304" t="s">
        <v>302</v>
      </c>
      <c r="C139" s="305" t="s">
        <v>303</v>
      </c>
      <c r="D139" s="338"/>
      <c r="E139" s="1115">
        <f>+'k10 Pro Forma Wage Adj'!P17</f>
        <v>43534.709100615306</v>
      </c>
    </row>
    <row r="140" spans="1:5">
      <c r="A140" s="1069">
        <v>133</v>
      </c>
      <c r="B140" s="332"/>
      <c r="C140" s="301"/>
      <c r="D140" s="306"/>
    </row>
    <row r="141" spans="1:5">
      <c r="A141" s="286">
        <v>134</v>
      </c>
      <c r="B141" s="300" t="s">
        <v>304</v>
      </c>
      <c r="C141" s="301"/>
      <c r="D141" s="306"/>
    </row>
    <row r="142" spans="1:5">
      <c r="A142" s="1069">
        <v>135</v>
      </c>
      <c r="B142" s="359" t="s">
        <v>305</v>
      </c>
      <c r="C142" s="360" t="s">
        <v>306</v>
      </c>
      <c r="D142" s="323"/>
      <c r="E142" s="1115">
        <f>+'Exh KMH-2 Adjustments Pg 2'!S33</f>
        <v>-233944.11138413457</v>
      </c>
    </row>
    <row r="143" spans="1:5">
      <c r="A143" s="286">
        <v>136</v>
      </c>
      <c r="B143" s="359" t="s">
        <v>305</v>
      </c>
      <c r="C143" s="360" t="s">
        <v>307</v>
      </c>
      <c r="D143" s="323"/>
    </row>
    <row r="144" spans="1:5">
      <c r="A144" s="1069">
        <v>137</v>
      </c>
      <c r="B144" s="359" t="s">
        <v>308</v>
      </c>
      <c r="C144" s="360" t="s">
        <v>309</v>
      </c>
      <c r="D144" s="323"/>
    </row>
    <row r="145" spans="1:5">
      <c r="A145" s="286">
        <v>138</v>
      </c>
      <c r="B145" s="359" t="s">
        <v>308</v>
      </c>
      <c r="C145" s="360" t="s">
        <v>310</v>
      </c>
      <c r="D145" s="323"/>
    </row>
    <row r="146" spans="1:5">
      <c r="A146" s="1069">
        <v>139</v>
      </c>
      <c r="B146" s="359" t="s">
        <v>311</v>
      </c>
      <c r="C146" s="360" t="s">
        <v>312</v>
      </c>
      <c r="D146" s="323"/>
    </row>
    <row r="147" spans="1:5">
      <c r="A147" s="286">
        <v>140</v>
      </c>
      <c r="B147" s="359" t="s">
        <v>313</v>
      </c>
      <c r="C147" s="360" t="s">
        <v>314</v>
      </c>
      <c r="D147" s="306"/>
    </row>
    <row r="148" spans="1:5">
      <c r="A148" s="1069">
        <v>141</v>
      </c>
      <c r="B148" s="300" t="s">
        <v>315</v>
      </c>
      <c r="C148" s="301"/>
      <c r="D148" s="311"/>
      <c r="E148" s="1119">
        <f t="shared" ref="E148" si="18">SUM(E142:E147)</f>
        <v>-233944.11138413457</v>
      </c>
    </row>
    <row r="149" spans="1:5">
      <c r="A149" s="286">
        <v>142</v>
      </c>
      <c r="B149" s="300" t="s">
        <v>316</v>
      </c>
      <c r="C149" s="301"/>
      <c r="D149" s="306"/>
      <c r="E149" s="1121">
        <f t="shared" ref="E149" si="19">E84+E92+E99+E106+E122+E134+E136+E139+E148+E56</f>
        <v>439941.48592736141</v>
      </c>
    </row>
    <row r="150" spans="1:5" ht="16.5" thickBot="1">
      <c r="A150" s="1069">
        <v>143</v>
      </c>
      <c r="B150" s="300" t="s">
        <v>317</v>
      </c>
      <c r="C150" s="301"/>
      <c r="D150" s="361">
        <f t="shared" ref="D150" si="20">D53-D149</f>
        <v>0</v>
      </c>
      <c r="E150" s="1124">
        <f t="shared" ref="E150" si="21">E53-E149</f>
        <v>-439941.48592736141</v>
      </c>
    </row>
    <row r="151" spans="1:5" ht="16.5" thickTop="1">
      <c r="A151" s="286">
        <v>144</v>
      </c>
      <c r="B151" s="332"/>
      <c r="C151" s="301"/>
      <c r="D151" s="306"/>
    </row>
    <row r="152" spans="1:5">
      <c r="A152" s="1069">
        <v>145</v>
      </c>
      <c r="B152" s="300" t="s">
        <v>318</v>
      </c>
      <c r="C152" s="301"/>
      <c r="D152" s="306"/>
    </row>
    <row r="153" spans="1:5">
      <c r="A153" s="286">
        <v>146</v>
      </c>
      <c r="B153" s="304" t="s">
        <v>83</v>
      </c>
      <c r="C153" s="305" t="s">
        <v>319</v>
      </c>
      <c r="D153" s="306"/>
    </row>
    <row r="154" spans="1:5">
      <c r="A154" s="1069">
        <v>147</v>
      </c>
      <c r="B154" s="304" t="s">
        <v>84</v>
      </c>
      <c r="C154" s="305" t="s">
        <v>85</v>
      </c>
      <c r="D154" s="306"/>
    </row>
    <row r="155" spans="1:5">
      <c r="A155" s="286">
        <v>148</v>
      </c>
      <c r="B155" s="304" t="s">
        <v>86</v>
      </c>
      <c r="C155" s="305" t="s">
        <v>87</v>
      </c>
      <c r="D155" s="306"/>
    </row>
    <row r="156" spans="1:5">
      <c r="A156" s="1069">
        <v>149</v>
      </c>
      <c r="B156" s="304" t="s">
        <v>320</v>
      </c>
      <c r="C156" s="305" t="s">
        <v>321</v>
      </c>
      <c r="D156" s="306"/>
    </row>
    <row r="157" spans="1:5">
      <c r="A157" s="286">
        <v>150</v>
      </c>
      <c r="B157" s="304" t="s">
        <v>322</v>
      </c>
      <c r="C157" s="305" t="s">
        <v>323</v>
      </c>
      <c r="D157" s="306"/>
    </row>
    <row r="158" spans="1:5">
      <c r="A158" s="1069">
        <v>151</v>
      </c>
      <c r="B158" s="304" t="s">
        <v>324</v>
      </c>
      <c r="C158" s="305" t="s">
        <v>325</v>
      </c>
      <c r="D158" s="306"/>
    </row>
    <row r="159" spans="1:5">
      <c r="A159" s="286">
        <v>152</v>
      </c>
      <c r="B159" s="300" t="s">
        <v>326</v>
      </c>
      <c r="C159" s="301"/>
      <c r="D159" s="311"/>
    </row>
    <row r="160" spans="1:5">
      <c r="A160" s="1069">
        <v>153</v>
      </c>
      <c r="B160" s="332"/>
      <c r="C160" s="301"/>
      <c r="D160" s="306"/>
    </row>
    <row r="161" spans="1:4">
      <c r="A161" s="286">
        <v>154</v>
      </c>
      <c r="B161" s="300" t="s">
        <v>327</v>
      </c>
      <c r="C161" s="301"/>
      <c r="D161" s="306"/>
    </row>
    <row r="162" spans="1:4">
      <c r="A162" s="1069">
        <v>155</v>
      </c>
      <c r="B162" s="304" t="s">
        <v>328</v>
      </c>
      <c r="C162" s="305" t="s">
        <v>329</v>
      </c>
      <c r="D162" s="323"/>
    </row>
    <row r="163" spans="1:4">
      <c r="A163" s="286">
        <v>156</v>
      </c>
      <c r="B163" s="304" t="s">
        <v>330</v>
      </c>
      <c r="C163" s="305" t="s">
        <v>331</v>
      </c>
      <c r="D163" s="323"/>
    </row>
    <row r="164" spans="1:4">
      <c r="A164" s="1069">
        <v>157</v>
      </c>
      <c r="B164" s="304" t="s">
        <v>332</v>
      </c>
      <c r="C164" s="305" t="s">
        <v>333</v>
      </c>
      <c r="D164" s="306"/>
    </row>
    <row r="165" spans="1:4">
      <c r="A165" s="286">
        <v>158</v>
      </c>
      <c r="B165" s="304" t="s">
        <v>334</v>
      </c>
      <c r="C165" s="305" t="s">
        <v>335</v>
      </c>
      <c r="D165" s="323"/>
    </row>
    <row r="166" spans="1:4">
      <c r="A166" s="1069">
        <v>159</v>
      </c>
      <c r="B166" s="304" t="s">
        <v>336</v>
      </c>
      <c r="C166" s="305" t="s">
        <v>337</v>
      </c>
      <c r="D166" s="323"/>
    </row>
    <row r="167" spans="1:4">
      <c r="A167" s="286">
        <v>160</v>
      </c>
      <c r="B167" s="304" t="s">
        <v>338</v>
      </c>
      <c r="C167" s="305" t="s">
        <v>339</v>
      </c>
      <c r="D167" s="306"/>
    </row>
    <row r="168" spans="1:4">
      <c r="A168" s="1069">
        <v>161</v>
      </c>
      <c r="B168" s="304" t="s">
        <v>340</v>
      </c>
      <c r="C168" s="305" t="s">
        <v>341</v>
      </c>
      <c r="D168" s="323"/>
    </row>
    <row r="169" spans="1:4">
      <c r="A169" s="286">
        <v>162</v>
      </c>
      <c r="B169" s="369">
        <v>408.2</v>
      </c>
      <c r="C169" s="305" t="s">
        <v>342</v>
      </c>
      <c r="D169" s="323"/>
    </row>
    <row r="170" spans="1:4">
      <c r="A170" s="1069">
        <v>163</v>
      </c>
      <c r="B170" s="304" t="s">
        <v>343</v>
      </c>
      <c r="C170" s="305" t="s">
        <v>344</v>
      </c>
      <c r="D170" s="306"/>
    </row>
    <row r="171" spans="1:4">
      <c r="A171" s="286">
        <v>164</v>
      </c>
      <c r="B171" s="304" t="s">
        <v>345</v>
      </c>
      <c r="C171" s="305" t="s">
        <v>650</v>
      </c>
      <c r="D171" s="306"/>
    </row>
    <row r="172" spans="1:4">
      <c r="A172" s="1069">
        <v>165</v>
      </c>
      <c r="B172" s="300" t="s">
        <v>346</v>
      </c>
      <c r="C172" s="301"/>
      <c r="D172" s="311"/>
    </row>
    <row r="173" spans="1:4">
      <c r="A173" s="286">
        <v>166</v>
      </c>
      <c r="B173" s="332"/>
      <c r="C173" s="301"/>
      <c r="D173" s="306"/>
    </row>
    <row r="174" spans="1:4">
      <c r="A174" s="1069">
        <v>167</v>
      </c>
      <c r="B174" s="370" t="s">
        <v>347</v>
      </c>
      <c r="C174" s="356"/>
      <c r="D174" s="306"/>
    </row>
    <row r="175" spans="1:4">
      <c r="A175" s="286">
        <v>168</v>
      </c>
      <c r="B175" s="371" t="s">
        <v>348</v>
      </c>
      <c r="C175" s="372" t="s">
        <v>349</v>
      </c>
      <c r="D175" s="306"/>
    </row>
    <row r="176" spans="1:4">
      <c r="A176" s="1069">
        <v>169</v>
      </c>
      <c r="B176" s="371" t="s">
        <v>348</v>
      </c>
      <c r="C176" s="372" t="s">
        <v>350</v>
      </c>
      <c r="D176" s="323"/>
    </row>
    <row r="177" spans="1:4">
      <c r="A177" s="286">
        <v>170</v>
      </c>
      <c r="B177" s="371" t="s">
        <v>351</v>
      </c>
      <c r="C177" s="372" t="s">
        <v>352</v>
      </c>
      <c r="D177" s="323"/>
    </row>
    <row r="178" spans="1:4">
      <c r="A178" s="1069">
        <v>171</v>
      </c>
      <c r="B178" s="371" t="s">
        <v>353</v>
      </c>
      <c r="C178" s="372" t="s">
        <v>354</v>
      </c>
      <c r="D178" s="323"/>
    </row>
    <row r="179" spans="1:4">
      <c r="A179" s="286">
        <v>172</v>
      </c>
      <c r="B179" s="304" t="s">
        <v>355</v>
      </c>
      <c r="C179" s="305" t="s">
        <v>356</v>
      </c>
      <c r="D179" s="323"/>
    </row>
    <row r="180" spans="1:4">
      <c r="A180" s="1069">
        <v>173</v>
      </c>
      <c r="B180" s="304" t="s">
        <v>357</v>
      </c>
      <c r="C180" s="305" t="s">
        <v>358</v>
      </c>
      <c r="D180" s="306"/>
    </row>
    <row r="181" spans="1:4">
      <c r="A181" s="286">
        <v>174</v>
      </c>
      <c r="B181" s="304" t="s">
        <v>359</v>
      </c>
      <c r="C181" s="305" t="s">
        <v>360</v>
      </c>
      <c r="D181" s="323"/>
    </row>
    <row r="182" spans="1:4">
      <c r="A182" s="1069">
        <v>175</v>
      </c>
      <c r="B182" s="304" t="s">
        <v>361</v>
      </c>
      <c r="C182" s="305" t="s">
        <v>362</v>
      </c>
      <c r="D182" s="323"/>
    </row>
    <row r="183" spans="1:4">
      <c r="A183" s="286">
        <v>176</v>
      </c>
      <c r="B183" s="304" t="s">
        <v>363</v>
      </c>
      <c r="C183" s="305" t="s">
        <v>364</v>
      </c>
      <c r="D183" s="306"/>
    </row>
    <row r="184" spans="1:4">
      <c r="A184" s="1069">
        <v>177</v>
      </c>
      <c r="B184" s="304" t="s">
        <v>365</v>
      </c>
      <c r="C184" s="305" t="s">
        <v>366</v>
      </c>
      <c r="D184" s="323"/>
    </row>
    <row r="185" spans="1:4">
      <c r="A185" s="286">
        <v>178</v>
      </c>
      <c r="B185" s="300" t="s">
        <v>367</v>
      </c>
      <c r="C185" s="301"/>
      <c r="D185" s="311"/>
    </row>
    <row r="186" spans="1:4" ht="16.5" thickBot="1">
      <c r="A186" s="1069">
        <v>179</v>
      </c>
      <c r="B186" s="373" t="s">
        <v>368</v>
      </c>
      <c r="C186" s="374"/>
      <c r="D186" s="361">
        <f>D150-D159-D172-D185</f>
        <v>0</v>
      </c>
    </row>
    <row r="187" spans="1:4" ht="16.5" thickTop="1"/>
  </sheetData>
  <mergeCells count="8">
    <mergeCell ref="C1:D1"/>
    <mergeCell ref="C2:D2"/>
    <mergeCell ref="B13:C13"/>
    <mergeCell ref="B124:C124"/>
    <mergeCell ref="C5:D5"/>
    <mergeCell ref="B11:C12"/>
    <mergeCell ref="C3:D3"/>
    <mergeCell ref="C4:D4"/>
  </mergeCells>
  <pageMargins left="0.7" right="0.45" top="0.5" bottom="0.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U91"/>
  <sheetViews>
    <sheetView tabSelected="1" topLeftCell="E62" workbookViewId="0">
      <selection activeCell="I78" sqref="I78"/>
    </sheetView>
  </sheetViews>
  <sheetFormatPr defaultRowHeight="15.75"/>
  <cols>
    <col min="1" max="1" width="10.140625" style="7" customWidth="1"/>
    <col min="2" max="2" width="39.85546875" style="5" bestFit="1" customWidth="1"/>
    <col min="3" max="3" width="12.140625" style="5" customWidth="1"/>
    <col min="4" max="4" width="18.42578125" style="5" bestFit="1" customWidth="1"/>
    <col min="5" max="5" width="12.7109375" style="5" bestFit="1" customWidth="1"/>
    <col min="6" max="6" width="19" style="5" bestFit="1" customWidth="1"/>
    <col min="7" max="7" width="8.140625" style="5" bestFit="1" customWidth="1"/>
    <col min="8" max="8" width="17.5703125" style="5" customWidth="1"/>
    <col min="9" max="9" width="22.28515625" style="5" customWidth="1"/>
    <col min="10" max="10" width="14.85546875" style="5" customWidth="1"/>
    <col min="11" max="11" width="19.5703125" style="5" customWidth="1"/>
    <col min="12" max="12" width="18.42578125" style="5" customWidth="1"/>
    <col min="13" max="13" width="8.140625" style="5" bestFit="1" customWidth="1"/>
    <col min="14" max="14" width="19" style="5" bestFit="1" customWidth="1"/>
    <col min="15" max="15" width="17.85546875" style="5" bestFit="1" customWidth="1"/>
    <col min="16" max="16" width="22.140625" style="5" bestFit="1" customWidth="1"/>
    <col min="17" max="17" width="9.140625" style="5"/>
    <col min="18" max="18" width="15" style="5" bestFit="1" customWidth="1"/>
    <col min="19" max="19" width="13.28515625" style="5" bestFit="1" customWidth="1"/>
    <col min="20" max="20" width="9.140625" style="5"/>
    <col min="21" max="21" width="15" style="5" bestFit="1" customWidth="1"/>
    <col min="22" max="16384" width="9.140625" style="5"/>
  </cols>
  <sheetData>
    <row r="1" spans="1:21">
      <c r="C1" s="1221"/>
      <c r="D1" s="1221"/>
      <c r="E1" s="1221"/>
      <c r="F1" s="1219"/>
      <c r="G1" s="1219"/>
      <c r="H1" s="1219"/>
      <c r="I1" s="1219"/>
      <c r="J1" s="1219"/>
      <c r="K1" s="1219"/>
      <c r="L1" s="1219"/>
      <c r="M1" s="1219"/>
      <c r="N1" s="586"/>
      <c r="O1" s="586"/>
      <c r="P1" s="586"/>
    </row>
    <row r="2" spans="1:21" s="7" customFormat="1">
      <c r="B2" s="7" t="s">
        <v>1623</v>
      </c>
      <c r="C2" s="7" t="s">
        <v>1621</v>
      </c>
      <c r="D2" s="7" t="s">
        <v>1622</v>
      </c>
      <c r="E2" s="7" t="s">
        <v>1625</v>
      </c>
      <c r="F2" s="7" t="s">
        <v>1626</v>
      </c>
      <c r="G2" s="7" t="s">
        <v>1635</v>
      </c>
      <c r="H2" s="7" t="s">
        <v>1636</v>
      </c>
      <c r="I2" s="587" t="s">
        <v>1637</v>
      </c>
      <c r="J2" s="587" t="s">
        <v>1638</v>
      </c>
      <c r="K2" s="587" t="s">
        <v>1639</v>
      </c>
      <c r="L2" s="587" t="s">
        <v>1640</v>
      </c>
      <c r="M2" s="587" t="s">
        <v>1641</v>
      </c>
      <c r="N2" s="587" t="s">
        <v>1642</v>
      </c>
      <c r="O2" s="587" t="s">
        <v>1643</v>
      </c>
      <c r="P2" s="587" t="s">
        <v>1644</v>
      </c>
    </row>
    <row r="3" spans="1:21">
      <c r="D3" s="5" t="s">
        <v>928</v>
      </c>
      <c r="E3" s="5" t="s">
        <v>929</v>
      </c>
      <c r="F3" s="5" t="s">
        <v>930</v>
      </c>
      <c r="G3" s="7"/>
      <c r="H3" s="5" t="s">
        <v>931</v>
      </c>
      <c r="P3" s="5" t="s">
        <v>54</v>
      </c>
    </row>
    <row r="4" spans="1:21">
      <c r="C4" s="5" t="s">
        <v>80</v>
      </c>
      <c r="D4" s="7" t="s">
        <v>2026</v>
      </c>
      <c r="E4" s="5" t="s">
        <v>68</v>
      </c>
      <c r="F4" s="5" t="s">
        <v>2027</v>
      </c>
      <c r="G4" s="7" t="s">
        <v>2028</v>
      </c>
      <c r="H4" s="5" t="s">
        <v>1030</v>
      </c>
      <c r="I4" s="5" t="s">
        <v>106</v>
      </c>
      <c r="J4" s="5" t="s">
        <v>932</v>
      </c>
      <c r="K4" s="5" t="s">
        <v>932</v>
      </c>
      <c r="L4" s="5" t="s">
        <v>1031</v>
      </c>
      <c r="N4" s="5" t="s">
        <v>1032</v>
      </c>
      <c r="O4" s="5" t="s">
        <v>1032</v>
      </c>
      <c r="P4" s="5" t="s">
        <v>929</v>
      </c>
    </row>
    <row r="5" spans="1:21">
      <c r="A5" s="10" t="s">
        <v>1620</v>
      </c>
      <c r="C5" s="5" t="s">
        <v>933</v>
      </c>
      <c r="D5" s="5" t="s">
        <v>934</v>
      </c>
      <c r="E5" s="5" t="s">
        <v>935</v>
      </c>
      <c r="F5" s="5" t="s">
        <v>936</v>
      </c>
      <c r="H5" s="5" t="s">
        <v>937</v>
      </c>
      <c r="J5" s="5" t="s">
        <v>2029</v>
      </c>
      <c r="K5" s="5" t="s">
        <v>68</v>
      </c>
      <c r="L5" s="5" t="s">
        <v>109</v>
      </c>
      <c r="N5" s="5" t="s">
        <v>68</v>
      </c>
      <c r="O5" s="5" t="s">
        <v>109</v>
      </c>
      <c r="P5" s="5" t="s">
        <v>58</v>
      </c>
    </row>
    <row r="6" spans="1:21">
      <c r="A6" s="7">
        <v>1</v>
      </c>
      <c r="B6" s="5" t="s">
        <v>938</v>
      </c>
      <c r="D6" s="346">
        <f>+D36</f>
        <v>5559294.3251210293</v>
      </c>
      <c r="E6" s="5" t="s">
        <v>1033</v>
      </c>
      <c r="F6" s="346">
        <v>0</v>
      </c>
      <c r="G6" s="396">
        <v>0.04</v>
      </c>
      <c r="H6" s="346">
        <f>+F6*G6</f>
        <v>0</v>
      </c>
      <c r="I6" s="346">
        <f>+D6+H6</f>
        <v>5559294.3251210293</v>
      </c>
      <c r="J6" s="396">
        <f>K36/I36</f>
        <v>3.9694374895358861E-2</v>
      </c>
      <c r="K6" s="1222">
        <f>+I6*J6</f>
        <v>220672.71309499515</v>
      </c>
      <c r="L6" s="346">
        <f>+I6+K6</f>
        <v>5779967.0382160246</v>
      </c>
      <c r="M6" s="1357">
        <v>0</v>
      </c>
      <c r="N6" s="1223">
        <f>+L6*M6</f>
        <v>0</v>
      </c>
      <c r="O6" s="512">
        <f>+L6+N6</f>
        <v>5779967.0382160246</v>
      </c>
      <c r="P6" s="346">
        <f>+N6+K6+H6</f>
        <v>220672.71309499515</v>
      </c>
      <c r="R6" s="16"/>
      <c r="S6" s="1224"/>
      <c r="T6" s="16"/>
      <c r="U6" s="16"/>
    </row>
    <row r="7" spans="1:21">
      <c r="A7" s="7">
        <v>2</v>
      </c>
      <c r="D7" s="346"/>
      <c r="F7" s="346"/>
      <c r="G7" s="396"/>
      <c r="H7" s="346"/>
      <c r="I7" s="346"/>
      <c r="J7" s="396"/>
      <c r="K7" s="346"/>
      <c r="L7" s="346"/>
      <c r="M7" s="396"/>
      <c r="N7" s="512"/>
      <c r="R7" s="16"/>
      <c r="S7" s="16"/>
      <c r="T7" s="16"/>
      <c r="U7" s="16"/>
    </row>
    <row r="8" spans="1:21" ht="16.5" thickBot="1">
      <c r="A8" s="7">
        <v>3</v>
      </c>
      <c r="B8" s="5" t="s">
        <v>939</v>
      </c>
      <c r="D8" s="588">
        <f>+D61</f>
        <v>8859248.0217900351</v>
      </c>
      <c r="E8" s="589" t="s">
        <v>940</v>
      </c>
      <c r="F8" s="1225">
        <f>+F61</f>
        <v>2308180.6871949974</v>
      </c>
      <c r="G8" s="590">
        <v>3.1E-2</v>
      </c>
      <c r="H8" s="1359">
        <f>+F8*G8</f>
        <v>71553.601303044925</v>
      </c>
      <c r="I8" s="588">
        <f>+D8+H8</f>
        <v>8930801.6230930798</v>
      </c>
      <c r="J8" s="590">
        <v>3.1E-2</v>
      </c>
      <c r="K8" s="1226">
        <f>+I8*J8</f>
        <v>276854.85031588544</v>
      </c>
      <c r="L8" s="588">
        <f>+I8+K8</f>
        <v>9207656.4734089654</v>
      </c>
      <c r="M8" s="1358">
        <v>0</v>
      </c>
      <c r="N8" s="1227">
        <f>+L8*M8</f>
        <v>0</v>
      </c>
      <c r="O8" s="591">
        <f>+L8+N8</f>
        <v>9207656.4734089654</v>
      </c>
      <c r="P8" s="588">
        <f>+N8+K8+H8</f>
        <v>348408.45161893038</v>
      </c>
      <c r="R8" s="1224"/>
      <c r="S8" s="1228"/>
      <c r="T8" s="16"/>
      <c r="U8" s="1224"/>
    </row>
    <row r="9" spans="1:21" ht="6.75" customHeight="1">
      <c r="A9" s="7">
        <v>4</v>
      </c>
      <c r="D9" s="346"/>
      <c r="F9" s="346"/>
      <c r="G9" s="396"/>
      <c r="H9" s="346"/>
      <c r="I9" s="346"/>
      <c r="J9" s="396"/>
      <c r="K9" s="346"/>
      <c r="L9" s="346"/>
      <c r="M9" s="396"/>
      <c r="N9" s="512"/>
      <c r="R9" s="16"/>
      <c r="S9" s="16"/>
      <c r="T9" s="16"/>
      <c r="U9" s="16"/>
    </row>
    <row r="10" spans="1:21" ht="16.5" thickBot="1">
      <c r="A10" s="7">
        <v>5</v>
      </c>
      <c r="D10" s="346">
        <v>13816265.910830002</v>
      </c>
      <c r="F10" s="346">
        <v>8816575.5899999999</v>
      </c>
      <c r="G10" s="396"/>
      <c r="H10" s="592">
        <f>+H6+H8</f>
        <v>71553.601303044925</v>
      </c>
      <c r="I10" s="346">
        <f>+I6+I8</f>
        <v>14490095.94821411</v>
      </c>
      <c r="J10" s="396"/>
      <c r="K10" s="592">
        <f>+K6+K8</f>
        <v>497527.56341088063</v>
      </c>
      <c r="L10" s="346">
        <f>+L6+L8</f>
        <v>14987623.51162499</v>
      </c>
      <c r="N10" s="592">
        <f>+N6+N8</f>
        <v>0</v>
      </c>
      <c r="P10" s="593">
        <f>+P6+P8</f>
        <v>569081.16471392557</v>
      </c>
      <c r="R10" s="16"/>
      <c r="S10" s="16"/>
      <c r="T10" s="16"/>
      <c r="U10" s="16"/>
    </row>
    <row r="11" spans="1:21" ht="9.75" customHeight="1" thickTop="1">
      <c r="A11" s="7">
        <v>6</v>
      </c>
      <c r="D11" s="346"/>
      <c r="F11" s="346"/>
      <c r="G11" s="396"/>
      <c r="H11" s="592"/>
      <c r="I11" s="346"/>
      <c r="J11" s="396"/>
      <c r="K11" s="592"/>
      <c r="L11" s="346"/>
      <c r="N11" s="592"/>
      <c r="P11" s="594"/>
    </row>
    <row r="12" spans="1:21" ht="9.75" customHeight="1">
      <c r="D12" s="346"/>
      <c r="F12" s="346"/>
      <c r="G12" s="396"/>
      <c r="H12" s="592"/>
      <c r="I12" s="346"/>
      <c r="J12" s="396"/>
      <c r="K12" s="592"/>
      <c r="L12" s="346"/>
      <c r="N12" s="592"/>
      <c r="P12" s="594"/>
    </row>
    <row r="13" spans="1:21" ht="9.75" customHeight="1">
      <c r="D13" s="346"/>
      <c r="F13" s="346"/>
      <c r="G13" s="396"/>
      <c r="H13" s="592"/>
      <c r="I13" s="346"/>
      <c r="J13" s="396"/>
      <c r="K13" s="592"/>
      <c r="L13" s="346"/>
      <c r="N13" s="592"/>
      <c r="P13" s="594"/>
    </row>
    <row r="14" spans="1:21" ht="9.75" customHeight="1">
      <c r="D14" s="346"/>
      <c r="F14" s="346"/>
      <c r="G14" s="396"/>
      <c r="H14" s="592"/>
      <c r="I14" s="346"/>
      <c r="J14" s="396"/>
      <c r="K14" s="592"/>
      <c r="L14" s="346"/>
      <c r="N14" s="592"/>
      <c r="P14" s="594"/>
    </row>
    <row r="15" spans="1:21" ht="9.75" customHeight="1">
      <c r="D15" s="346"/>
      <c r="F15" s="346"/>
      <c r="G15" s="396"/>
      <c r="H15" s="592"/>
      <c r="I15" s="346"/>
      <c r="J15" s="396"/>
      <c r="K15" s="592"/>
      <c r="L15" s="346"/>
      <c r="N15" s="592"/>
      <c r="P15" s="594"/>
    </row>
    <row r="16" spans="1:21" ht="9.75" customHeight="1">
      <c r="D16" s="346"/>
      <c r="F16" s="346"/>
      <c r="G16" s="396"/>
      <c r="H16" s="592"/>
      <c r="I16" s="346"/>
      <c r="J16" s="396"/>
      <c r="K16" s="592"/>
      <c r="L16" s="346"/>
      <c r="N16" s="592"/>
      <c r="P16" s="594"/>
    </row>
    <row r="17" spans="1:16" ht="9.75" customHeight="1">
      <c r="D17" s="346"/>
      <c r="F17" s="346"/>
      <c r="G17" s="396"/>
      <c r="H17" s="592"/>
      <c r="I17" s="346"/>
      <c r="J17" s="396"/>
      <c r="K17" s="592"/>
      <c r="L17" s="346"/>
      <c r="N17" s="592"/>
      <c r="P17" s="594"/>
    </row>
    <row r="18" spans="1:16">
      <c r="A18" s="7">
        <v>7</v>
      </c>
      <c r="B18" s="5" t="s">
        <v>963</v>
      </c>
      <c r="D18" s="346"/>
      <c r="F18" s="346"/>
      <c r="G18" s="396"/>
      <c r="H18" s="592"/>
      <c r="I18" s="346"/>
      <c r="J18" s="396"/>
      <c r="K18" s="592"/>
      <c r="L18" s="346"/>
      <c r="N18" s="592"/>
      <c r="O18" s="396">
        <v>7.6499999999999999E-2</v>
      </c>
      <c r="P18" s="594">
        <f>+P10*O18</f>
        <v>43534.709100615306</v>
      </c>
    </row>
    <row r="19" spans="1:16" ht="8.25" customHeight="1">
      <c r="A19" s="7">
        <v>8</v>
      </c>
      <c r="D19" s="346"/>
      <c r="G19" s="396"/>
      <c r="K19" s="346"/>
      <c r="L19" s="346"/>
      <c r="N19" s="512"/>
    </row>
    <row r="20" spans="1:16">
      <c r="A20" s="7">
        <v>10</v>
      </c>
      <c r="C20" s="595" t="s">
        <v>941</v>
      </c>
      <c r="D20" s="75">
        <v>198112.25077799964</v>
      </c>
      <c r="G20" s="396"/>
      <c r="H20" s="346">
        <f t="shared" ref="H20:H34" si="0">+F20*G20</f>
        <v>0</v>
      </c>
      <c r="I20" s="346">
        <f t="shared" ref="I20:I34" si="1">+D20+H20</f>
        <v>198112.25077799964</v>
      </c>
      <c r="J20" s="596">
        <v>0.04</v>
      </c>
      <c r="K20" s="346">
        <f>+I20*J20</f>
        <v>7924.4900311199854</v>
      </c>
      <c r="L20" s="346">
        <f>+I20+K20</f>
        <v>206036.74080911963</v>
      </c>
      <c r="M20" s="1357">
        <f>M6</f>
        <v>0</v>
      </c>
      <c r="N20" s="512">
        <f t="shared" ref="N20:N29" si="2">+L20*M20</f>
        <v>0</v>
      </c>
      <c r="O20" s="346">
        <f>+N20+L20</f>
        <v>206036.74080911963</v>
      </c>
      <c r="P20" s="1222">
        <f t="shared" ref="P20:P29" si="3">+N20+K20+H20</f>
        <v>7924.4900311199854</v>
      </c>
    </row>
    <row r="21" spans="1:16">
      <c r="A21" s="7">
        <v>11</v>
      </c>
      <c r="C21" s="595" t="s">
        <v>942</v>
      </c>
      <c r="D21" s="75">
        <v>1241025.4402469669</v>
      </c>
      <c r="G21" s="396"/>
      <c r="H21" s="346">
        <f t="shared" si="0"/>
        <v>0</v>
      </c>
      <c r="I21" s="346">
        <f t="shared" si="1"/>
        <v>1241025.4402469669</v>
      </c>
      <c r="J21" s="596">
        <v>0.04</v>
      </c>
      <c r="K21" s="346">
        <f t="shared" ref="K21:K34" si="4">+I21*J21</f>
        <v>49641.017609878676</v>
      </c>
      <c r="L21" s="346">
        <f t="shared" ref="L21:L34" si="5">+I21+K21</f>
        <v>1290666.4578568456</v>
      </c>
      <c r="M21" s="1357">
        <f>M20</f>
        <v>0</v>
      </c>
      <c r="N21" s="512">
        <f t="shared" si="2"/>
        <v>0</v>
      </c>
      <c r="O21" s="346">
        <f t="shared" ref="O21:O34" si="6">+N21+L21</f>
        <v>1290666.4578568456</v>
      </c>
      <c r="P21" s="1222">
        <f t="shared" si="3"/>
        <v>49641.017609878676</v>
      </c>
    </row>
    <row r="22" spans="1:16">
      <c r="A22" s="7">
        <v>12</v>
      </c>
      <c r="C22" s="595" t="s">
        <v>943</v>
      </c>
      <c r="D22" s="75">
        <v>352014.65952900029</v>
      </c>
      <c r="G22" s="396"/>
      <c r="H22" s="346">
        <f t="shared" si="0"/>
        <v>0</v>
      </c>
      <c r="I22" s="346">
        <f t="shared" si="1"/>
        <v>352014.65952900029</v>
      </c>
      <c r="J22" s="596">
        <v>0.04</v>
      </c>
      <c r="K22" s="346">
        <f t="shared" si="4"/>
        <v>14080.586381160012</v>
      </c>
      <c r="L22" s="346">
        <f t="shared" si="5"/>
        <v>366095.2459101603</v>
      </c>
      <c r="M22" s="1357">
        <f t="shared" ref="M22:M34" si="7">M21</f>
        <v>0</v>
      </c>
      <c r="N22" s="512">
        <f t="shared" si="2"/>
        <v>0</v>
      </c>
      <c r="O22" s="346">
        <f t="shared" si="6"/>
        <v>366095.2459101603</v>
      </c>
      <c r="P22" s="1222">
        <f t="shared" si="3"/>
        <v>14080.586381160012</v>
      </c>
    </row>
    <row r="23" spans="1:16">
      <c r="A23" s="7">
        <v>13</v>
      </c>
      <c r="C23" s="595" t="s">
        <v>944</v>
      </c>
      <c r="D23" s="75">
        <v>359591.65829400643</v>
      </c>
      <c r="G23" s="396"/>
      <c r="H23" s="346">
        <f t="shared" si="0"/>
        <v>0</v>
      </c>
      <c r="I23" s="346">
        <f t="shared" si="1"/>
        <v>359591.65829400643</v>
      </c>
      <c r="J23" s="596">
        <v>0.04</v>
      </c>
      <c r="K23" s="346">
        <f t="shared" si="4"/>
        <v>14383.666331760258</v>
      </c>
      <c r="L23" s="346">
        <f t="shared" si="5"/>
        <v>373975.32462576666</v>
      </c>
      <c r="M23" s="1357">
        <f t="shared" si="7"/>
        <v>0</v>
      </c>
      <c r="N23" s="512">
        <f t="shared" si="2"/>
        <v>0</v>
      </c>
      <c r="O23" s="346">
        <f t="shared" si="6"/>
        <v>373975.32462576666</v>
      </c>
      <c r="P23" s="1222">
        <f t="shared" si="3"/>
        <v>14383.666331760258</v>
      </c>
    </row>
    <row r="24" spans="1:16">
      <c r="A24" s="7">
        <v>14</v>
      </c>
      <c r="C24" s="595" t="s">
        <v>945</v>
      </c>
      <c r="D24" s="75">
        <v>7309.400000000006</v>
      </c>
      <c r="G24" s="396"/>
      <c r="H24" s="346">
        <f t="shared" si="0"/>
        <v>0</v>
      </c>
      <c r="I24" s="346">
        <f t="shared" si="1"/>
        <v>7309.400000000006</v>
      </c>
      <c r="J24" s="596">
        <v>0.04</v>
      </c>
      <c r="K24" s="346">
        <f t="shared" si="4"/>
        <v>292.37600000000026</v>
      </c>
      <c r="L24" s="346">
        <f t="shared" si="5"/>
        <v>7601.7760000000062</v>
      </c>
      <c r="M24" s="1357">
        <f t="shared" si="7"/>
        <v>0</v>
      </c>
      <c r="N24" s="512">
        <f t="shared" si="2"/>
        <v>0</v>
      </c>
      <c r="O24" s="346">
        <f t="shared" si="6"/>
        <v>7601.7760000000062</v>
      </c>
      <c r="P24" s="1222">
        <f t="shared" si="3"/>
        <v>292.37600000000026</v>
      </c>
    </row>
    <row r="25" spans="1:16">
      <c r="A25" s="7">
        <v>15</v>
      </c>
      <c r="C25" s="595" t="s">
        <v>947</v>
      </c>
      <c r="D25" s="75">
        <v>312094.9166350009</v>
      </c>
      <c r="G25" s="396"/>
      <c r="H25" s="346">
        <f t="shared" si="0"/>
        <v>0</v>
      </c>
      <c r="I25" s="346">
        <f t="shared" si="1"/>
        <v>312094.9166350009</v>
      </c>
      <c r="J25" s="596">
        <v>0.04</v>
      </c>
      <c r="K25" s="346">
        <f t="shared" si="4"/>
        <v>12483.796665400036</v>
      </c>
      <c r="L25" s="346">
        <f t="shared" si="5"/>
        <v>324578.71330040094</v>
      </c>
      <c r="M25" s="1357">
        <f t="shared" si="7"/>
        <v>0</v>
      </c>
      <c r="N25" s="512">
        <f t="shared" si="2"/>
        <v>0</v>
      </c>
      <c r="O25" s="346">
        <f t="shared" si="6"/>
        <v>324578.71330040094</v>
      </c>
      <c r="P25" s="1222">
        <f t="shared" si="3"/>
        <v>12483.796665400036</v>
      </c>
    </row>
    <row r="26" spans="1:16">
      <c r="A26" s="7">
        <v>16</v>
      </c>
      <c r="C26" s="595">
        <v>28850</v>
      </c>
      <c r="D26" s="75">
        <v>120636.82165100051</v>
      </c>
      <c r="G26" s="396"/>
      <c r="H26" s="346">
        <f t="shared" si="0"/>
        <v>0</v>
      </c>
      <c r="I26" s="346">
        <f t="shared" si="1"/>
        <v>120636.82165100051</v>
      </c>
      <c r="J26" s="596">
        <v>0.04</v>
      </c>
      <c r="K26" s="346">
        <f t="shared" si="4"/>
        <v>4825.4728660400206</v>
      </c>
      <c r="L26" s="346">
        <f t="shared" si="5"/>
        <v>125462.29451704053</v>
      </c>
      <c r="M26" s="1357">
        <f t="shared" si="7"/>
        <v>0</v>
      </c>
      <c r="N26" s="512">
        <f t="shared" si="2"/>
        <v>0</v>
      </c>
      <c r="O26" s="346">
        <f t="shared" si="6"/>
        <v>125462.29451704053</v>
      </c>
      <c r="P26" s="1222">
        <f t="shared" si="3"/>
        <v>4825.4728660400206</v>
      </c>
    </row>
    <row r="27" spans="1:16">
      <c r="A27" s="7">
        <v>17</v>
      </c>
      <c r="C27" s="595" t="s">
        <v>948</v>
      </c>
      <c r="D27" s="75">
        <v>8996.492940999995</v>
      </c>
      <c r="G27" s="396"/>
      <c r="H27" s="346">
        <f t="shared" si="0"/>
        <v>0</v>
      </c>
      <c r="I27" s="346">
        <f t="shared" si="1"/>
        <v>8996.492940999995</v>
      </c>
      <c r="J27" s="596">
        <v>0.04</v>
      </c>
      <c r="K27" s="346">
        <f t="shared" si="4"/>
        <v>359.85971763999981</v>
      </c>
      <c r="L27" s="346">
        <f t="shared" si="5"/>
        <v>9356.3526586399948</v>
      </c>
      <c r="M27" s="1357">
        <f t="shared" si="7"/>
        <v>0</v>
      </c>
      <c r="N27" s="512">
        <f t="shared" si="2"/>
        <v>0</v>
      </c>
      <c r="O27" s="346">
        <f t="shared" si="6"/>
        <v>9356.3526586399948</v>
      </c>
      <c r="P27" s="1222">
        <f t="shared" si="3"/>
        <v>359.85971763999981</v>
      </c>
    </row>
    <row r="28" spans="1:16">
      <c r="A28" s="7">
        <v>18</v>
      </c>
      <c r="C28" s="595" t="s">
        <v>951</v>
      </c>
      <c r="D28" s="75">
        <v>62790.160000000054</v>
      </c>
      <c r="G28" s="396"/>
      <c r="H28" s="346">
        <f t="shared" si="0"/>
        <v>0</v>
      </c>
      <c r="I28" s="346">
        <f t="shared" si="1"/>
        <v>62790.160000000054</v>
      </c>
      <c r="J28" s="596">
        <v>0.04</v>
      </c>
      <c r="K28" s="346">
        <f t="shared" si="4"/>
        <v>2511.6064000000024</v>
      </c>
      <c r="L28" s="346">
        <f t="shared" si="5"/>
        <v>65301.766400000059</v>
      </c>
      <c r="M28" s="1357">
        <f t="shared" si="7"/>
        <v>0</v>
      </c>
      <c r="N28" s="512">
        <f t="shared" si="2"/>
        <v>0</v>
      </c>
      <c r="O28" s="346">
        <f t="shared" si="6"/>
        <v>65301.766400000059</v>
      </c>
      <c r="P28" s="1222">
        <f t="shared" si="3"/>
        <v>2511.6064000000024</v>
      </c>
    </row>
    <row r="29" spans="1:16">
      <c r="A29" s="7">
        <v>19</v>
      </c>
      <c r="C29" s="595" t="s">
        <v>952</v>
      </c>
      <c r="D29" s="75">
        <v>11787.9457</v>
      </c>
      <c r="G29" s="396"/>
      <c r="H29" s="346">
        <f t="shared" si="0"/>
        <v>0</v>
      </c>
      <c r="I29" s="346">
        <f t="shared" si="1"/>
        <v>11787.9457</v>
      </c>
      <c r="J29" s="596">
        <v>0.04</v>
      </c>
      <c r="K29" s="346">
        <f t="shared" si="4"/>
        <v>471.51782800000001</v>
      </c>
      <c r="L29" s="346">
        <f t="shared" si="5"/>
        <v>12259.463528</v>
      </c>
      <c r="M29" s="1357">
        <f t="shared" si="7"/>
        <v>0</v>
      </c>
      <c r="N29" s="512">
        <f t="shared" si="2"/>
        <v>0</v>
      </c>
      <c r="O29" s="346">
        <f t="shared" si="6"/>
        <v>12259.463528</v>
      </c>
      <c r="P29" s="1222">
        <f t="shared" si="3"/>
        <v>471.51782800000001</v>
      </c>
    </row>
    <row r="30" spans="1:16">
      <c r="A30" s="7">
        <v>20</v>
      </c>
      <c r="C30" s="595" t="s">
        <v>954</v>
      </c>
      <c r="D30" s="597">
        <f>684342.989486994-D31</f>
        <v>326377.82999999571</v>
      </c>
      <c r="G30" s="396"/>
      <c r="H30" s="346">
        <f t="shared" si="0"/>
        <v>0</v>
      </c>
      <c r="I30" s="346">
        <f t="shared" si="1"/>
        <v>326377.82999999571</v>
      </c>
      <c r="J30" s="596">
        <v>0.04</v>
      </c>
      <c r="K30" s="346">
        <f t="shared" si="4"/>
        <v>13055.113199999829</v>
      </c>
      <c r="L30" s="346">
        <f t="shared" si="5"/>
        <v>339432.94319999556</v>
      </c>
      <c r="M30" s="1357">
        <f t="shared" si="7"/>
        <v>0</v>
      </c>
      <c r="N30" s="512">
        <f>+L30*M30</f>
        <v>0</v>
      </c>
      <c r="O30" s="346">
        <f t="shared" si="6"/>
        <v>339432.94319999556</v>
      </c>
      <c r="P30" s="1222">
        <f>+N30+K30+H30</f>
        <v>13055.113199999829</v>
      </c>
    </row>
    <row r="31" spans="1:16">
      <c r="A31" s="7">
        <v>21</v>
      </c>
      <c r="C31" s="595" t="s">
        <v>1116</v>
      </c>
      <c r="D31" s="597">
        <v>357965.15948699828</v>
      </c>
      <c r="G31" s="396"/>
      <c r="H31" s="346">
        <f t="shared" si="0"/>
        <v>0</v>
      </c>
      <c r="I31" s="346">
        <f t="shared" si="1"/>
        <v>357965.15948699828</v>
      </c>
      <c r="J31" s="596">
        <v>3.7999999999999999E-2</v>
      </c>
      <c r="K31" s="346">
        <f t="shared" si="4"/>
        <v>13602.676060505933</v>
      </c>
      <c r="L31" s="346">
        <f t="shared" si="5"/>
        <v>371567.83554750419</v>
      </c>
      <c r="M31" s="1357">
        <f t="shared" si="7"/>
        <v>0</v>
      </c>
      <c r="N31" s="512">
        <f>+L31*M31</f>
        <v>0</v>
      </c>
      <c r="O31" s="346">
        <f t="shared" si="6"/>
        <v>371567.83554750419</v>
      </c>
      <c r="P31" s="1222">
        <f>+N31+K31+H31</f>
        <v>13602.676060505933</v>
      </c>
    </row>
    <row r="32" spans="1:16">
      <c r="A32" s="7">
        <v>22</v>
      </c>
      <c r="C32" s="595" t="s">
        <v>955</v>
      </c>
      <c r="D32" s="597">
        <f>2187157.41531306-D33</f>
        <v>1695592.6198770627</v>
      </c>
      <c r="G32" s="396"/>
      <c r="H32" s="346">
        <f t="shared" si="0"/>
        <v>0</v>
      </c>
      <c r="I32" s="346">
        <f t="shared" si="1"/>
        <v>1695592.6198770627</v>
      </c>
      <c r="J32" s="596">
        <v>0.04</v>
      </c>
      <c r="K32" s="346">
        <f t="shared" si="4"/>
        <v>67823.704795082507</v>
      </c>
      <c r="L32" s="346">
        <f t="shared" si="5"/>
        <v>1763416.3246721453</v>
      </c>
      <c r="M32" s="1357">
        <f t="shared" si="7"/>
        <v>0</v>
      </c>
      <c r="N32" s="512">
        <f>+L32*M32</f>
        <v>0</v>
      </c>
      <c r="O32" s="346">
        <f t="shared" si="6"/>
        <v>1763416.3246721453</v>
      </c>
      <c r="P32" s="1222">
        <f>+N32+K32+H32</f>
        <v>67823.704795082507</v>
      </c>
    </row>
    <row r="33" spans="1:18">
      <c r="A33" s="7">
        <v>23</v>
      </c>
      <c r="C33" s="595" t="s">
        <v>1117</v>
      </c>
      <c r="D33" s="597">
        <v>491564.79543599725</v>
      </c>
      <c r="G33" s="396"/>
      <c r="H33" s="346">
        <f t="shared" si="0"/>
        <v>0</v>
      </c>
      <c r="I33" s="346">
        <f t="shared" si="1"/>
        <v>491564.79543599725</v>
      </c>
      <c r="J33" s="596">
        <v>3.7999999999999999E-2</v>
      </c>
      <c r="K33" s="346">
        <f t="shared" si="4"/>
        <v>18679.462226567895</v>
      </c>
      <c r="L33" s="346">
        <f t="shared" si="5"/>
        <v>510244.25766256516</v>
      </c>
      <c r="M33" s="1357">
        <f t="shared" si="7"/>
        <v>0</v>
      </c>
      <c r="N33" s="512">
        <f>+L33*M33</f>
        <v>0</v>
      </c>
      <c r="O33" s="346">
        <f t="shared" si="6"/>
        <v>510244.25766256516</v>
      </c>
      <c r="P33" s="1222">
        <f>+N33+K33+H33</f>
        <v>18679.462226567895</v>
      </c>
    </row>
    <row r="34" spans="1:18">
      <c r="A34" s="7">
        <v>24</v>
      </c>
      <c r="C34" s="598">
        <v>29260</v>
      </c>
      <c r="D34" s="75">
        <v>13434.174545999997</v>
      </c>
      <c r="G34" s="396"/>
      <c r="H34" s="346">
        <f t="shared" si="0"/>
        <v>0</v>
      </c>
      <c r="I34" s="346">
        <f t="shared" si="1"/>
        <v>13434.174545999997</v>
      </c>
      <c r="J34" s="596">
        <v>0.04</v>
      </c>
      <c r="K34" s="346">
        <f t="shared" si="4"/>
        <v>537.36698183999988</v>
      </c>
      <c r="L34" s="346">
        <f t="shared" si="5"/>
        <v>13971.541527839996</v>
      </c>
      <c r="M34" s="1357">
        <f t="shared" si="7"/>
        <v>0</v>
      </c>
      <c r="N34" s="512">
        <f>+L34*M34</f>
        <v>0</v>
      </c>
      <c r="O34" s="346">
        <f t="shared" si="6"/>
        <v>13971.541527839996</v>
      </c>
      <c r="P34" s="1222">
        <f>+N34+K34+H34</f>
        <v>537.36698183999988</v>
      </c>
    </row>
    <row r="35" spans="1:18" ht="16.5" thickBot="1">
      <c r="A35" s="7">
        <v>25</v>
      </c>
      <c r="C35" s="598"/>
      <c r="D35" s="75"/>
      <c r="G35" s="396"/>
      <c r="H35" s="346"/>
      <c r="I35" s="346"/>
      <c r="J35" s="596"/>
      <c r="K35" s="346"/>
      <c r="L35" s="346"/>
      <c r="M35" s="396"/>
      <c r="N35" s="512"/>
      <c r="P35" s="346"/>
    </row>
    <row r="36" spans="1:18" ht="17.25" thickTop="1" thickBot="1">
      <c r="A36" s="7">
        <v>26</v>
      </c>
      <c r="D36" s="599">
        <f>SUM(D20:D34)</f>
        <v>5559294.3251210293</v>
      </c>
      <c r="F36" s="599">
        <f>SUM(F20:F34)</f>
        <v>0</v>
      </c>
      <c r="H36" s="599">
        <f>SUM(H20:H34)</f>
        <v>0</v>
      </c>
      <c r="I36" s="599">
        <f>SUM(I20:I34)</f>
        <v>5559294.3251210293</v>
      </c>
      <c r="K36" s="599">
        <f>SUM(K20:K34)</f>
        <v>220672.71309499515</v>
      </c>
      <c r="L36" s="599">
        <f>SUM(L20:L34)</f>
        <v>5779967.0382160246</v>
      </c>
      <c r="N36" s="599">
        <f>SUM(N20:N34)</f>
        <v>0</v>
      </c>
      <c r="O36" s="599">
        <f>SUM(O20:O34)</f>
        <v>5779967.0382160246</v>
      </c>
      <c r="P36" s="1229">
        <f>SUM(P20:P34)</f>
        <v>220672.71309499515</v>
      </c>
    </row>
    <row r="37" spans="1:18" ht="16.5" thickTop="1">
      <c r="A37" s="7" t="s">
        <v>1620</v>
      </c>
      <c r="B37" s="5" t="s">
        <v>939</v>
      </c>
    </row>
    <row r="38" spans="1:18">
      <c r="A38" s="7">
        <v>27</v>
      </c>
      <c r="C38" s="598" t="s">
        <v>956</v>
      </c>
      <c r="D38" s="599"/>
      <c r="H38" s="1220" t="s">
        <v>2064</v>
      </c>
      <c r="I38" s="7"/>
      <c r="J38" s="7"/>
      <c r="K38" s="1220" t="s">
        <v>2112</v>
      </c>
      <c r="L38" s="7"/>
      <c r="M38" s="7"/>
      <c r="N38" s="1220" t="s">
        <v>2112</v>
      </c>
      <c r="O38" s="7"/>
      <c r="P38" s="1220" t="s">
        <v>2113</v>
      </c>
      <c r="R38" s="7" t="s">
        <v>2114</v>
      </c>
    </row>
    <row r="39" spans="1:18">
      <c r="A39" s="7">
        <v>28</v>
      </c>
      <c r="C39" s="595" t="s">
        <v>943</v>
      </c>
      <c r="D39" s="75">
        <v>65642.860590000142</v>
      </c>
      <c r="F39" s="75">
        <v>16091.811392000001</v>
      </c>
      <c r="G39" s="396">
        <v>3.1E-2</v>
      </c>
      <c r="H39" s="1230">
        <f>+F39*G39</f>
        <v>498.84615315200006</v>
      </c>
      <c r="I39" s="346">
        <f t="shared" ref="I39:I60" si="8">+D39+H39</f>
        <v>66141.706743152143</v>
      </c>
      <c r="J39" s="396">
        <v>3.1E-2</v>
      </c>
      <c r="K39" s="1222">
        <f t="shared" ref="K39:K60" si="9">+I39*J39</f>
        <v>2050.3929090377164</v>
      </c>
      <c r="L39" s="346">
        <f t="shared" ref="L39:L59" si="10">+I39+K39</f>
        <v>68192.099652189863</v>
      </c>
      <c r="M39" s="1357">
        <f>M8</f>
        <v>0</v>
      </c>
      <c r="N39" s="1223">
        <f t="shared" ref="N39:N59" si="11">+L39*M39</f>
        <v>0</v>
      </c>
      <c r="O39" s="512">
        <f>+L39+N39</f>
        <v>68192.099652189863</v>
      </c>
      <c r="P39" s="1222">
        <f t="shared" ref="P39:P60" si="12">+N39+K39</f>
        <v>2050.3929090377164</v>
      </c>
      <c r="R39" s="346">
        <f>P39+H39</f>
        <v>2549.2390621897166</v>
      </c>
    </row>
    <row r="40" spans="1:18">
      <c r="A40" s="7">
        <v>29</v>
      </c>
      <c r="C40" s="595" t="s">
        <v>957</v>
      </c>
      <c r="D40" s="75">
        <v>78031.010000000446</v>
      </c>
      <c r="F40" s="75">
        <v>20963.160000000007</v>
      </c>
      <c r="G40" s="396">
        <v>3.1E-2</v>
      </c>
      <c r="H40" s="1230">
        <f>+F40*G40</f>
        <v>649.85796000000016</v>
      </c>
      <c r="I40" s="346">
        <f t="shared" si="8"/>
        <v>78680.86796000044</v>
      </c>
      <c r="J40" s="396">
        <v>3.1E-2</v>
      </c>
      <c r="K40" s="1222">
        <f t="shared" si="9"/>
        <v>2439.1069067600138</v>
      </c>
      <c r="L40" s="346">
        <f t="shared" si="10"/>
        <v>81119.974866760458</v>
      </c>
      <c r="M40" s="1357">
        <f>M39</f>
        <v>0</v>
      </c>
      <c r="N40" s="1223">
        <f t="shared" si="11"/>
        <v>0</v>
      </c>
      <c r="O40" s="512">
        <f t="shared" ref="O40:O56" si="13">+L40+N40</f>
        <v>81119.974866760458</v>
      </c>
      <c r="P40" s="1222">
        <f t="shared" si="12"/>
        <v>2439.1069067600138</v>
      </c>
      <c r="R40" s="346">
        <f t="shared" ref="R40:R60" si="14">P40+H40</f>
        <v>3088.964866760014</v>
      </c>
    </row>
    <row r="41" spans="1:18">
      <c r="A41" s="7">
        <v>30</v>
      </c>
      <c r="C41" s="595" t="s">
        <v>944</v>
      </c>
      <c r="D41" s="75">
        <v>2069470.9652639814</v>
      </c>
      <c r="F41" s="75">
        <v>497116.51765099907</v>
      </c>
      <c r="G41" s="396">
        <v>3.1E-2</v>
      </c>
      <c r="H41" s="1230">
        <f>+F41*G41</f>
        <v>15410.612047180972</v>
      </c>
      <c r="I41" s="346">
        <f t="shared" si="8"/>
        <v>2084881.5773111624</v>
      </c>
      <c r="J41" s="396">
        <v>3.1E-2</v>
      </c>
      <c r="K41" s="1222">
        <f t="shared" si="9"/>
        <v>64631.328896646031</v>
      </c>
      <c r="L41" s="346">
        <f t="shared" si="10"/>
        <v>2149512.9062078083</v>
      </c>
      <c r="M41" s="1357">
        <f t="shared" ref="M41" si="15">M10</f>
        <v>0</v>
      </c>
      <c r="N41" s="1223">
        <f t="shared" si="11"/>
        <v>0</v>
      </c>
      <c r="O41" s="512">
        <f t="shared" si="13"/>
        <v>2149512.9062078083</v>
      </c>
      <c r="P41" s="1222">
        <f t="shared" si="12"/>
        <v>64631.328896646031</v>
      </c>
      <c r="R41" s="346">
        <f t="shared" si="14"/>
        <v>80041.940943827009</v>
      </c>
    </row>
    <row r="42" spans="1:18">
      <c r="A42" s="7">
        <v>31</v>
      </c>
      <c r="C42" s="595" t="s">
        <v>958</v>
      </c>
      <c r="D42" s="75">
        <v>304520.09932699846</v>
      </c>
      <c r="F42" s="75">
        <v>73909.680551000114</v>
      </c>
      <c r="G42" s="396">
        <v>3.1E-2</v>
      </c>
      <c r="H42" s="1230">
        <f t="shared" ref="H42:H60" si="16">+F42*G42</f>
        <v>2291.2000970810036</v>
      </c>
      <c r="I42" s="346">
        <f t="shared" si="8"/>
        <v>306811.29942407948</v>
      </c>
      <c r="J42" s="396">
        <v>3.1E-2</v>
      </c>
      <c r="K42" s="1222">
        <f t="shared" si="9"/>
        <v>9511.1502821464637</v>
      </c>
      <c r="L42" s="346">
        <f t="shared" si="10"/>
        <v>316322.44970622595</v>
      </c>
      <c r="M42" s="1357">
        <f t="shared" ref="M42" si="17">M41</f>
        <v>0</v>
      </c>
      <c r="N42" s="1223">
        <f t="shared" si="11"/>
        <v>0</v>
      </c>
      <c r="O42" s="512">
        <f t="shared" si="13"/>
        <v>316322.44970622595</v>
      </c>
      <c r="P42" s="1222">
        <f t="shared" si="12"/>
        <v>9511.1502821464637</v>
      </c>
      <c r="R42" s="346">
        <f t="shared" si="14"/>
        <v>11802.350379227468</v>
      </c>
    </row>
    <row r="43" spans="1:18">
      <c r="A43" s="7">
        <v>32</v>
      </c>
      <c r="C43" s="595" t="s">
        <v>959</v>
      </c>
      <c r="D43" s="75">
        <v>68748.616163999861</v>
      </c>
      <c r="F43" s="75">
        <v>21810.994966000002</v>
      </c>
      <c r="G43" s="396">
        <v>3.1E-2</v>
      </c>
      <c r="H43" s="1230">
        <f t="shared" si="16"/>
        <v>676.14084394600002</v>
      </c>
      <c r="I43" s="346">
        <f t="shared" si="8"/>
        <v>69424.757007945867</v>
      </c>
      <c r="J43" s="396">
        <v>3.1E-2</v>
      </c>
      <c r="K43" s="1222">
        <f t="shared" si="9"/>
        <v>2152.1674672463218</v>
      </c>
      <c r="L43" s="346">
        <f t="shared" si="10"/>
        <v>71576.924475192194</v>
      </c>
      <c r="M43" s="1357">
        <f t="shared" ref="M43" si="18">M12</f>
        <v>0</v>
      </c>
      <c r="N43" s="1223">
        <f t="shared" si="11"/>
        <v>0</v>
      </c>
      <c r="O43" s="512">
        <f t="shared" si="13"/>
        <v>71576.924475192194</v>
      </c>
      <c r="P43" s="1222">
        <f t="shared" si="12"/>
        <v>2152.1674672463218</v>
      </c>
      <c r="R43" s="346">
        <f t="shared" si="14"/>
        <v>2828.308311192322</v>
      </c>
    </row>
    <row r="44" spans="1:18">
      <c r="A44" s="7">
        <v>33</v>
      </c>
      <c r="C44" s="595" t="s">
        <v>945</v>
      </c>
      <c r="D44" s="75">
        <v>1150953.1000000152</v>
      </c>
      <c r="F44" s="75">
        <v>277047.46000000107</v>
      </c>
      <c r="G44" s="396">
        <v>3.1E-2</v>
      </c>
      <c r="H44" s="1230">
        <f t="shared" si="16"/>
        <v>8588.471260000033</v>
      </c>
      <c r="I44" s="346">
        <f t="shared" si="8"/>
        <v>1159541.5712600152</v>
      </c>
      <c r="J44" s="396">
        <v>3.1E-2</v>
      </c>
      <c r="K44" s="1222">
        <f t="shared" si="9"/>
        <v>35945.788709060471</v>
      </c>
      <c r="L44" s="346">
        <f t="shared" si="10"/>
        <v>1195487.3599690758</v>
      </c>
      <c r="M44" s="1357">
        <f t="shared" ref="M44" si="19">M43</f>
        <v>0</v>
      </c>
      <c r="N44" s="1223">
        <f t="shared" si="11"/>
        <v>0</v>
      </c>
      <c r="O44" s="512">
        <f t="shared" si="13"/>
        <v>1195487.3599690758</v>
      </c>
      <c r="P44" s="1222">
        <f t="shared" si="12"/>
        <v>35945.788709060471</v>
      </c>
      <c r="R44" s="346">
        <f t="shared" si="14"/>
        <v>44534.259969060506</v>
      </c>
    </row>
    <row r="45" spans="1:18">
      <c r="A45" s="7">
        <v>34</v>
      </c>
      <c r="C45" s="595" t="s">
        <v>946</v>
      </c>
      <c r="D45" s="75">
        <v>945193.08999998716</v>
      </c>
      <c r="F45" s="75">
        <v>257382.84999999913</v>
      </c>
      <c r="G45" s="396">
        <v>3.1E-2</v>
      </c>
      <c r="H45" s="1230">
        <f t="shared" si="16"/>
        <v>7978.8683499999734</v>
      </c>
      <c r="I45" s="346">
        <f t="shared" si="8"/>
        <v>953171.95834998717</v>
      </c>
      <c r="J45" s="396">
        <v>3.1E-2</v>
      </c>
      <c r="K45" s="1222">
        <f t="shared" si="9"/>
        <v>29548.3307088496</v>
      </c>
      <c r="L45" s="346">
        <f t="shared" si="10"/>
        <v>982720.28905883676</v>
      </c>
      <c r="M45" s="1357">
        <f t="shared" ref="M45" si="20">M14</f>
        <v>0</v>
      </c>
      <c r="N45" s="1223">
        <f t="shared" si="11"/>
        <v>0</v>
      </c>
      <c r="O45" s="512">
        <f t="shared" si="13"/>
        <v>982720.28905883676</v>
      </c>
      <c r="P45" s="1222">
        <f t="shared" si="12"/>
        <v>29548.3307088496</v>
      </c>
      <c r="R45" s="346">
        <f t="shared" si="14"/>
        <v>37527.199058849576</v>
      </c>
    </row>
    <row r="46" spans="1:18">
      <c r="A46" s="7">
        <v>35</v>
      </c>
      <c r="C46" s="595" t="s">
        <v>947</v>
      </c>
      <c r="D46" s="75">
        <v>1143221.8732780369</v>
      </c>
      <c r="F46" s="75">
        <v>326097.65622899926</v>
      </c>
      <c r="G46" s="396">
        <v>3.1E-2</v>
      </c>
      <c r="H46" s="1230">
        <f t="shared" si="16"/>
        <v>10109.027343098976</v>
      </c>
      <c r="I46" s="346">
        <f t="shared" si="8"/>
        <v>1153330.900621136</v>
      </c>
      <c r="J46" s="396">
        <v>3.1E-2</v>
      </c>
      <c r="K46" s="1222">
        <f t="shared" si="9"/>
        <v>35753.257919255215</v>
      </c>
      <c r="L46" s="346">
        <f t="shared" si="10"/>
        <v>1189084.1585403911</v>
      </c>
      <c r="M46" s="1357">
        <f t="shared" ref="M46" si="21">M45</f>
        <v>0</v>
      </c>
      <c r="N46" s="1223">
        <f t="shared" si="11"/>
        <v>0</v>
      </c>
      <c r="O46" s="512">
        <f t="shared" si="13"/>
        <v>1189084.1585403911</v>
      </c>
      <c r="P46" s="1222">
        <f t="shared" si="12"/>
        <v>35753.257919255215</v>
      </c>
      <c r="R46" s="346">
        <f t="shared" si="14"/>
        <v>45862.285262354191</v>
      </c>
    </row>
    <row r="47" spans="1:18">
      <c r="A47" s="7">
        <v>36</v>
      </c>
      <c r="C47" s="17">
        <v>28860</v>
      </c>
      <c r="D47" s="75">
        <v>73.92</v>
      </c>
      <c r="F47" s="75">
        <v>0</v>
      </c>
      <c r="G47" s="396">
        <v>3.1E-2</v>
      </c>
      <c r="H47" s="1230">
        <f t="shared" si="16"/>
        <v>0</v>
      </c>
      <c r="I47" s="346">
        <f>+D47+H47</f>
        <v>73.92</v>
      </c>
      <c r="J47" s="396">
        <v>3.1E-2</v>
      </c>
      <c r="K47" s="1222">
        <f>+I47*J47</f>
        <v>2.2915200000000002</v>
      </c>
      <c r="L47" s="346">
        <f>+I47+K47</f>
        <v>76.211520000000007</v>
      </c>
      <c r="M47" s="1357">
        <f t="shared" ref="M47" si="22">M16</f>
        <v>0</v>
      </c>
      <c r="N47" s="1223">
        <f>+L47*M47</f>
        <v>0</v>
      </c>
      <c r="O47" s="512">
        <f t="shared" si="13"/>
        <v>76.211520000000007</v>
      </c>
      <c r="P47" s="1222">
        <f t="shared" si="12"/>
        <v>2.2915200000000002</v>
      </c>
      <c r="R47" s="346">
        <f t="shared" si="14"/>
        <v>2.2915200000000002</v>
      </c>
    </row>
    <row r="48" spans="1:18">
      <c r="A48" s="7">
        <v>37</v>
      </c>
      <c r="C48" s="595" t="s">
        <v>948</v>
      </c>
      <c r="D48" s="75">
        <v>595618.26032400515</v>
      </c>
      <c r="F48" s="75">
        <v>144258.64363099993</v>
      </c>
      <c r="G48" s="396">
        <v>3.1E-2</v>
      </c>
      <c r="H48" s="1230">
        <f t="shared" si="16"/>
        <v>4472.0179525609974</v>
      </c>
      <c r="I48" s="346">
        <f t="shared" si="8"/>
        <v>600090.27827656618</v>
      </c>
      <c r="J48" s="396">
        <v>3.1E-2</v>
      </c>
      <c r="K48" s="1222">
        <f t="shared" si="9"/>
        <v>18602.798626573553</v>
      </c>
      <c r="L48" s="346">
        <f t="shared" si="10"/>
        <v>618693.07690313971</v>
      </c>
      <c r="M48" s="1357">
        <f t="shared" ref="M48" si="23">M47</f>
        <v>0</v>
      </c>
      <c r="N48" s="1223">
        <f t="shared" si="11"/>
        <v>0</v>
      </c>
      <c r="O48" s="512">
        <f t="shared" si="13"/>
        <v>618693.07690313971</v>
      </c>
      <c r="P48" s="1222">
        <f t="shared" si="12"/>
        <v>18602.798626573553</v>
      </c>
      <c r="R48" s="346">
        <f t="shared" si="14"/>
        <v>23074.816579134549</v>
      </c>
    </row>
    <row r="49" spans="1:18">
      <c r="A49" s="7">
        <v>38</v>
      </c>
      <c r="C49" s="595" t="s">
        <v>960</v>
      </c>
      <c r="D49" s="75">
        <v>18538.699999999993</v>
      </c>
      <c r="F49" s="75">
        <v>3423.8999999999992</v>
      </c>
      <c r="G49" s="396">
        <v>3.1E-2</v>
      </c>
      <c r="H49" s="1230">
        <f t="shared" si="16"/>
        <v>106.14089999999997</v>
      </c>
      <c r="I49" s="346">
        <f t="shared" si="8"/>
        <v>18644.840899999992</v>
      </c>
      <c r="J49" s="396">
        <v>3.1E-2</v>
      </c>
      <c r="K49" s="1222">
        <f t="shared" si="9"/>
        <v>577.99006789999976</v>
      </c>
      <c r="L49" s="346">
        <f t="shared" si="10"/>
        <v>19222.83096789999</v>
      </c>
      <c r="M49" s="1357">
        <f t="shared" ref="M49" si="24">M18</f>
        <v>0</v>
      </c>
      <c r="N49" s="1223">
        <f t="shared" si="11"/>
        <v>0</v>
      </c>
      <c r="O49" s="512">
        <f t="shared" si="13"/>
        <v>19222.83096789999</v>
      </c>
      <c r="P49" s="1222">
        <f t="shared" si="12"/>
        <v>577.99006789999976</v>
      </c>
      <c r="R49" s="346">
        <f t="shared" si="14"/>
        <v>684.13096789999975</v>
      </c>
    </row>
    <row r="50" spans="1:18">
      <c r="A50" s="7">
        <v>39</v>
      </c>
      <c r="C50" s="595" t="s">
        <v>949</v>
      </c>
      <c r="D50" s="75">
        <v>216222.84648300009</v>
      </c>
      <c r="F50" s="75">
        <v>58968.791257000055</v>
      </c>
      <c r="G50" s="396">
        <v>3.1E-2</v>
      </c>
      <c r="H50" s="1230">
        <f t="shared" si="16"/>
        <v>1828.0325289670018</v>
      </c>
      <c r="I50" s="346">
        <f t="shared" si="8"/>
        <v>218050.8790119671</v>
      </c>
      <c r="J50" s="396">
        <v>3.1E-2</v>
      </c>
      <c r="K50" s="1222">
        <f t="shared" si="9"/>
        <v>6759.5772493709801</v>
      </c>
      <c r="L50" s="346">
        <f t="shared" si="10"/>
        <v>224810.45626133808</v>
      </c>
      <c r="M50" s="1357">
        <f t="shared" ref="M50" si="25">M49</f>
        <v>0</v>
      </c>
      <c r="N50" s="1223">
        <f t="shared" si="11"/>
        <v>0</v>
      </c>
      <c r="O50" s="512">
        <f t="shared" si="13"/>
        <v>224810.45626133808</v>
      </c>
      <c r="P50" s="1222">
        <f t="shared" si="12"/>
        <v>6759.5772493709801</v>
      </c>
      <c r="R50" s="346">
        <f t="shared" si="14"/>
        <v>8587.609778337981</v>
      </c>
    </row>
    <row r="51" spans="1:18">
      <c r="A51" s="7">
        <v>40</v>
      </c>
      <c r="C51" s="595" t="s">
        <v>950</v>
      </c>
      <c r="D51" s="75">
        <v>9325.1699999999946</v>
      </c>
      <c r="F51" s="75">
        <v>4589.6200000000008</v>
      </c>
      <c r="G51" s="396">
        <v>3.1E-2</v>
      </c>
      <c r="H51" s="1230">
        <f t="shared" si="16"/>
        <v>142.27822000000003</v>
      </c>
      <c r="I51" s="346">
        <f t="shared" si="8"/>
        <v>9467.4482199999948</v>
      </c>
      <c r="J51" s="396">
        <v>3.1E-2</v>
      </c>
      <c r="K51" s="1222">
        <f t="shared" si="9"/>
        <v>293.49089481999982</v>
      </c>
      <c r="L51" s="346">
        <f t="shared" si="10"/>
        <v>9760.9391148199938</v>
      </c>
      <c r="M51" s="1357">
        <f t="shared" ref="M51" si="26">M20</f>
        <v>0</v>
      </c>
      <c r="N51" s="1223">
        <f t="shared" si="11"/>
        <v>0</v>
      </c>
      <c r="O51" s="512">
        <f t="shared" si="13"/>
        <v>9760.9391148199938</v>
      </c>
      <c r="P51" s="1222">
        <f t="shared" si="12"/>
        <v>293.49089481999982</v>
      </c>
      <c r="R51" s="346">
        <f t="shared" si="14"/>
        <v>435.76911481999986</v>
      </c>
    </row>
    <row r="52" spans="1:18">
      <c r="A52" s="7">
        <v>41</v>
      </c>
      <c r="C52" s="595" t="s">
        <v>951</v>
      </c>
      <c r="D52" s="75">
        <v>764674.29755901697</v>
      </c>
      <c r="F52" s="75">
        <v>203272.48417499993</v>
      </c>
      <c r="G52" s="396">
        <v>3.1E-2</v>
      </c>
      <c r="H52" s="1230">
        <f t="shared" si="16"/>
        <v>6301.4470094249982</v>
      </c>
      <c r="I52" s="346">
        <f t="shared" si="8"/>
        <v>770975.74456844199</v>
      </c>
      <c r="J52" s="396">
        <v>3.1E-2</v>
      </c>
      <c r="K52" s="1222">
        <f t="shared" si="9"/>
        <v>23900.248081621703</v>
      </c>
      <c r="L52" s="346">
        <f t="shared" si="10"/>
        <v>794875.99265006371</v>
      </c>
      <c r="M52" s="1357">
        <f t="shared" ref="M52" si="27">M51</f>
        <v>0</v>
      </c>
      <c r="N52" s="1223">
        <f t="shared" si="11"/>
        <v>0</v>
      </c>
      <c r="O52" s="512">
        <f t="shared" si="13"/>
        <v>794875.99265006371</v>
      </c>
      <c r="P52" s="1222">
        <f t="shared" si="12"/>
        <v>23900.248081621703</v>
      </c>
      <c r="R52" s="346">
        <f t="shared" si="14"/>
        <v>30201.695091046702</v>
      </c>
    </row>
    <row r="53" spans="1:18">
      <c r="A53" s="7">
        <v>42</v>
      </c>
      <c r="C53" s="595" t="s">
        <v>952</v>
      </c>
      <c r="D53" s="75">
        <v>879038.63501599082</v>
      </c>
      <c r="F53" s="75">
        <v>258998.25900699937</v>
      </c>
      <c r="G53" s="396">
        <v>3.1E-2</v>
      </c>
      <c r="H53" s="1230">
        <f t="shared" si="16"/>
        <v>8028.9460292169806</v>
      </c>
      <c r="I53" s="346">
        <f t="shared" si="8"/>
        <v>887067.5810452078</v>
      </c>
      <c r="J53" s="396">
        <v>3.1E-2</v>
      </c>
      <c r="K53" s="1222">
        <f t="shared" si="9"/>
        <v>27499.095012401442</v>
      </c>
      <c r="L53" s="346">
        <f t="shared" si="10"/>
        <v>914566.67605760926</v>
      </c>
      <c r="M53" s="1357">
        <f t="shared" ref="M53" si="28">M22</f>
        <v>0</v>
      </c>
      <c r="N53" s="1223">
        <f t="shared" si="11"/>
        <v>0</v>
      </c>
      <c r="O53" s="512">
        <f t="shared" si="13"/>
        <v>914566.67605760926</v>
      </c>
      <c r="P53" s="1222">
        <f t="shared" si="12"/>
        <v>27499.095012401442</v>
      </c>
      <c r="R53" s="346">
        <f t="shared" si="14"/>
        <v>35528.041041618424</v>
      </c>
    </row>
    <row r="54" spans="1:18">
      <c r="A54" s="7">
        <v>43</v>
      </c>
      <c r="C54" s="595" t="s">
        <v>961</v>
      </c>
      <c r="D54" s="75">
        <v>61214.120000000185</v>
      </c>
      <c r="F54" s="75">
        <v>19514.749999999964</v>
      </c>
      <c r="G54" s="396">
        <v>3.1E-2</v>
      </c>
      <c r="H54" s="1230">
        <f t="shared" si="16"/>
        <v>604.95724999999891</v>
      </c>
      <c r="I54" s="346">
        <f t="shared" si="8"/>
        <v>61819.077250000184</v>
      </c>
      <c r="J54" s="396">
        <v>3.1E-2</v>
      </c>
      <c r="K54" s="1222">
        <f t="shared" si="9"/>
        <v>1916.3913947500057</v>
      </c>
      <c r="L54" s="346">
        <f t="shared" si="10"/>
        <v>63735.468644750188</v>
      </c>
      <c r="M54" s="1357">
        <f t="shared" ref="M54" si="29">M53</f>
        <v>0</v>
      </c>
      <c r="N54" s="1223">
        <f t="shared" si="11"/>
        <v>0</v>
      </c>
      <c r="O54" s="512">
        <f t="shared" si="13"/>
        <v>63735.468644750188</v>
      </c>
      <c r="P54" s="1222">
        <f t="shared" si="12"/>
        <v>1916.3913947500057</v>
      </c>
      <c r="R54" s="346">
        <f t="shared" si="14"/>
        <v>2521.3486447500045</v>
      </c>
    </row>
    <row r="55" spans="1:18">
      <c r="A55" s="7">
        <v>44</v>
      </c>
      <c r="C55" s="595" t="s">
        <v>953</v>
      </c>
      <c r="D55" s="75">
        <v>359204.24000000238</v>
      </c>
      <c r="F55" s="75">
        <v>103198.70999999999</v>
      </c>
      <c r="G55" s="396">
        <v>3.1E-2</v>
      </c>
      <c r="H55" s="1230">
        <f t="shared" si="16"/>
        <v>3199.1600099999996</v>
      </c>
      <c r="I55" s="346">
        <f t="shared" si="8"/>
        <v>362403.40001000237</v>
      </c>
      <c r="J55" s="396">
        <v>3.1E-2</v>
      </c>
      <c r="K55" s="1222">
        <f t="shared" si="9"/>
        <v>11234.505400310074</v>
      </c>
      <c r="L55" s="346">
        <f t="shared" si="10"/>
        <v>373637.90541031247</v>
      </c>
      <c r="M55" s="1357">
        <f t="shared" ref="M55" si="30">M24</f>
        <v>0</v>
      </c>
      <c r="N55" s="1223">
        <f t="shared" si="11"/>
        <v>0</v>
      </c>
      <c r="O55" s="512">
        <f t="shared" si="13"/>
        <v>373637.90541031247</v>
      </c>
      <c r="P55" s="1222">
        <f t="shared" si="12"/>
        <v>11234.505400310074</v>
      </c>
      <c r="R55" s="346">
        <f t="shared" si="14"/>
        <v>14433.665410310074</v>
      </c>
    </row>
    <row r="56" spans="1:18">
      <c r="A56" s="7">
        <v>45</v>
      </c>
      <c r="C56" s="595" t="s">
        <v>954</v>
      </c>
      <c r="D56" s="75">
        <v>96110.140000000392</v>
      </c>
      <c r="F56" s="75">
        <v>19496.73000000004</v>
      </c>
      <c r="G56" s="396">
        <v>3.1E-2</v>
      </c>
      <c r="H56" s="1230">
        <f t="shared" si="16"/>
        <v>604.39863000000128</v>
      </c>
      <c r="I56" s="346">
        <f t="shared" si="8"/>
        <v>96714.538630000388</v>
      </c>
      <c r="J56" s="396">
        <v>3.1E-2</v>
      </c>
      <c r="K56" s="1222">
        <f t="shared" si="9"/>
        <v>2998.1506975300122</v>
      </c>
      <c r="L56" s="346">
        <f t="shared" si="10"/>
        <v>99712.689327530403</v>
      </c>
      <c r="M56" s="1357">
        <f t="shared" ref="M56" si="31">M55</f>
        <v>0</v>
      </c>
      <c r="N56" s="1223">
        <f t="shared" si="11"/>
        <v>0</v>
      </c>
      <c r="O56" s="512">
        <f t="shared" si="13"/>
        <v>99712.689327530403</v>
      </c>
      <c r="P56" s="1222">
        <f t="shared" si="12"/>
        <v>2998.1506975300122</v>
      </c>
      <c r="R56" s="346">
        <f t="shared" si="14"/>
        <v>3602.5493275300132</v>
      </c>
    </row>
    <row r="57" spans="1:18">
      <c r="A57" s="7">
        <v>46</v>
      </c>
      <c r="C57" s="595" t="s">
        <v>955</v>
      </c>
      <c r="D57" s="75">
        <v>1779.60861</v>
      </c>
      <c r="F57" s="75">
        <v>222.55833600000003</v>
      </c>
      <c r="G57" s="396">
        <v>3.1E-2</v>
      </c>
      <c r="H57" s="1230">
        <f t="shared" si="16"/>
        <v>6.8993084160000011</v>
      </c>
      <c r="I57" s="346">
        <f t="shared" si="8"/>
        <v>1786.5079184159999</v>
      </c>
      <c r="J57" s="396">
        <v>3.1E-2</v>
      </c>
      <c r="K57" s="1222">
        <f t="shared" si="9"/>
        <v>55.381745470896</v>
      </c>
      <c r="L57" s="346">
        <f t="shared" si="10"/>
        <v>1841.889663886896</v>
      </c>
      <c r="M57" s="1357">
        <f t="shared" ref="M57" si="32">M26</f>
        <v>0</v>
      </c>
      <c r="N57" s="1223">
        <f t="shared" si="11"/>
        <v>0</v>
      </c>
      <c r="O57" s="512">
        <f>+L57+N57</f>
        <v>1841.889663886896</v>
      </c>
      <c r="P57" s="1222">
        <f t="shared" si="12"/>
        <v>55.381745470896</v>
      </c>
      <c r="R57" s="346">
        <f t="shared" si="14"/>
        <v>62.281053886896004</v>
      </c>
    </row>
    <row r="58" spans="1:18">
      <c r="A58" s="7">
        <v>47</v>
      </c>
      <c r="C58" s="17">
        <v>29210</v>
      </c>
      <c r="D58" s="75">
        <v>387.61039200000005</v>
      </c>
      <c r="F58" s="75">
        <v>0</v>
      </c>
      <c r="G58" s="396">
        <v>3.1E-2</v>
      </c>
      <c r="H58" s="1230">
        <f t="shared" si="16"/>
        <v>0</v>
      </c>
      <c r="I58" s="346">
        <f>+D58+H58</f>
        <v>387.61039200000005</v>
      </c>
      <c r="J58" s="396">
        <v>3.1E-2</v>
      </c>
      <c r="K58" s="1222">
        <f t="shared" si="9"/>
        <v>12.015922152000002</v>
      </c>
      <c r="L58" s="346">
        <f t="shared" si="10"/>
        <v>399.62631415200008</v>
      </c>
      <c r="M58" s="1357">
        <f t="shared" ref="M58" si="33">M57</f>
        <v>0</v>
      </c>
      <c r="N58" s="1223">
        <f t="shared" si="11"/>
        <v>0</v>
      </c>
      <c r="O58" s="512">
        <f>+L58+N58</f>
        <v>399.62631415200008</v>
      </c>
      <c r="P58" s="1222">
        <f t="shared" si="12"/>
        <v>12.015922152000002</v>
      </c>
      <c r="R58" s="346">
        <f t="shared" si="14"/>
        <v>12.015922152000002</v>
      </c>
    </row>
    <row r="59" spans="1:18">
      <c r="A59" s="7">
        <v>48</v>
      </c>
      <c r="C59" s="17">
        <v>29260</v>
      </c>
      <c r="D59" s="75">
        <v>28313.028782999991</v>
      </c>
      <c r="F59" s="75">
        <v>0</v>
      </c>
      <c r="G59" s="396">
        <v>3.1E-2</v>
      </c>
      <c r="H59" s="1230">
        <f t="shared" si="16"/>
        <v>0</v>
      </c>
      <c r="I59" s="346">
        <f t="shared" si="8"/>
        <v>28313.028782999991</v>
      </c>
      <c r="J59" s="396">
        <v>3.1E-2</v>
      </c>
      <c r="K59" s="1222">
        <f t="shared" si="9"/>
        <v>877.70389227299972</v>
      </c>
      <c r="L59" s="346">
        <f t="shared" si="10"/>
        <v>29190.73267527299</v>
      </c>
      <c r="M59" s="1357">
        <f t="shared" ref="M59" si="34">M28</f>
        <v>0</v>
      </c>
      <c r="N59" s="1223">
        <f t="shared" si="11"/>
        <v>0</v>
      </c>
      <c r="O59" s="512">
        <f>+L59+N59</f>
        <v>29190.73267527299</v>
      </c>
      <c r="P59" s="1222">
        <f t="shared" si="12"/>
        <v>877.70389227299972</v>
      </c>
      <c r="R59" s="346">
        <f t="shared" si="14"/>
        <v>877.70389227299972</v>
      </c>
    </row>
    <row r="60" spans="1:18">
      <c r="A60" s="7">
        <v>49</v>
      </c>
      <c r="C60" s="595" t="s">
        <v>962</v>
      </c>
      <c r="D60" s="75">
        <v>2965.83</v>
      </c>
      <c r="E60" s="464"/>
      <c r="F60" s="375">
        <v>1816.1100000000001</v>
      </c>
      <c r="G60" s="600">
        <v>3.1E-2</v>
      </c>
      <c r="H60" s="1231">
        <f t="shared" si="16"/>
        <v>56.299410000000002</v>
      </c>
      <c r="I60" s="601">
        <f t="shared" si="8"/>
        <v>3022.12941</v>
      </c>
      <c r="J60" s="600">
        <v>3.1E-2</v>
      </c>
      <c r="K60" s="1232">
        <f t="shared" si="9"/>
        <v>93.686011710000002</v>
      </c>
      <c r="L60" s="601">
        <f>+I60+K60</f>
        <v>3115.81542171</v>
      </c>
      <c r="M60" s="1357">
        <f t="shared" ref="M60" si="35">M59</f>
        <v>0</v>
      </c>
      <c r="N60" s="1233">
        <f>+L60*M60</f>
        <v>0</v>
      </c>
      <c r="O60" s="602">
        <f>+L60+N60</f>
        <v>3115.81542171</v>
      </c>
      <c r="P60" s="1234">
        <f t="shared" si="12"/>
        <v>93.686011710000002</v>
      </c>
      <c r="R60" s="1111">
        <f t="shared" si="14"/>
        <v>149.98542171</v>
      </c>
    </row>
    <row r="61" spans="1:18">
      <c r="A61" s="7">
        <v>50</v>
      </c>
      <c r="D61" s="599">
        <f>SUM(D38:D60)</f>
        <v>8859248.0217900351</v>
      </c>
      <c r="F61" s="599">
        <f>SUM(F38:F60)</f>
        <v>2308180.6871949974</v>
      </c>
      <c r="H61" s="1360">
        <f>SUM(H38:H60)</f>
        <v>71553.601303044925</v>
      </c>
      <c r="I61" s="599">
        <f>SUM(I38:I60)</f>
        <v>8930801.6230930816</v>
      </c>
      <c r="K61" s="1235">
        <f>SUM(K38:K60)</f>
        <v>276854.8503158855</v>
      </c>
      <c r="L61" s="599">
        <f>SUM(L38:L60)</f>
        <v>9207656.4734089654</v>
      </c>
      <c r="N61" s="1235">
        <f>SUM(N38:N60)</f>
        <v>0</v>
      </c>
      <c r="O61" s="599">
        <f>SUM(O38:O60)</f>
        <v>9207656.4734089654</v>
      </c>
      <c r="P61" s="1235">
        <f>SUM(P38:P60)</f>
        <v>276854.8503158855</v>
      </c>
      <c r="R61" s="346">
        <f>SUM(R39:R60)</f>
        <v>348408.4516189305</v>
      </c>
    </row>
    <row r="64" spans="1:18" ht="16.5" thickBot="1"/>
    <row r="65" spans="1:16">
      <c r="B65" s="1319" t="s">
        <v>1147</v>
      </c>
      <c r="C65" s="1320"/>
      <c r="D65" s="1320"/>
      <c r="E65" s="1321"/>
    </row>
    <row r="66" spans="1:16">
      <c r="B66" s="1322"/>
      <c r="C66" s="1323"/>
      <c r="D66" s="1323"/>
      <c r="E66" s="1324"/>
    </row>
    <row r="67" spans="1:16">
      <c r="B67" s="1322"/>
      <c r="C67" s="1323"/>
      <c r="D67" s="1323"/>
      <c r="E67" s="1324"/>
    </row>
    <row r="68" spans="1:16" ht="16.5" thickBot="1">
      <c r="B68" s="1325"/>
      <c r="C68" s="1326"/>
      <c r="D68" s="1326"/>
      <c r="E68" s="1327"/>
    </row>
    <row r="69" spans="1:16">
      <c r="A69" s="10" t="s">
        <v>886</v>
      </c>
    </row>
    <row r="70" spans="1:16">
      <c r="A70" s="7">
        <v>51</v>
      </c>
      <c r="B70" s="564" t="s">
        <v>1148</v>
      </c>
      <c r="F70" s="310">
        <v>1036861.35</v>
      </c>
      <c r="J70" s="396">
        <v>0</v>
      </c>
      <c r="K70" s="310">
        <f>+F70*J70</f>
        <v>0</v>
      </c>
      <c r="L70" s="310">
        <f>+F70+K70</f>
        <v>1036861.35</v>
      </c>
      <c r="M70" s="396">
        <v>0</v>
      </c>
      <c r="N70" s="5">
        <f>+L70*M70</f>
        <v>0</v>
      </c>
      <c r="O70" s="310">
        <f>+L70+N70</f>
        <v>1036861.35</v>
      </c>
      <c r="P70" s="310">
        <f>+O70-F70</f>
        <v>0</v>
      </c>
    </row>
    <row r="71" spans="1:16">
      <c r="A71" s="7">
        <v>52</v>
      </c>
      <c r="B71" s="564" t="s">
        <v>1149</v>
      </c>
      <c r="F71" s="310">
        <v>115428.85</v>
      </c>
      <c r="J71" s="396">
        <v>0.04</v>
      </c>
      <c r="K71" s="1236">
        <f>+F71*J71</f>
        <v>4617.1540000000005</v>
      </c>
      <c r="L71" s="310">
        <f t="shared" ref="L71:L84" si="36">+F71+K71</f>
        <v>120046.004</v>
      </c>
      <c r="M71" s="1357">
        <f>M6</f>
        <v>0</v>
      </c>
      <c r="N71" s="1237">
        <f t="shared" ref="N71:N84" si="37">+L71*M71</f>
        <v>0</v>
      </c>
      <c r="O71" s="310">
        <f t="shared" ref="O71:O84" si="38">+L71+N71</f>
        <v>120046.004</v>
      </c>
      <c r="P71" s="1236">
        <f t="shared" ref="P71:P84" si="39">+O71-F71</f>
        <v>4617.153999999995</v>
      </c>
    </row>
    <row r="72" spans="1:16">
      <c r="A72" s="7">
        <v>53</v>
      </c>
      <c r="B72" s="564" t="s">
        <v>1150</v>
      </c>
      <c r="F72" s="310">
        <v>423581.69</v>
      </c>
      <c r="J72" s="396">
        <v>0.04</v>
      </c>
      <c r="K72" s="1236">
        <f t="shared" ref="K72:K84" si="40">+F72*J72</f>
        <v>16943.267599999999</v>
      </c>
      <c r="L72" s="310">
        <f t="shared" si="36"/>
        <v>440524.95760000002</v>
      </c>
      <c r="M72" s="1357">
        <f>M71</f>
        <v>0</v>
      </c>
      <c r="N72" s="1237">
        <f t="shared" si="37"/>
        <v>0</v>
      </c>
      <c r="O72" s="310">
        <f t="shared" si="38"/>
        <v>440524.95760000002</v>
      </c>
      <c r="P72" s="1236">
        <f t="shared" si="39"/>
        <v>16943.267600000021</v>
      </c>
    </row>
    <row r="73" spans="1:16">
      <c r="A73" s="7">
        <v>54</v>
      </c>
      <c r="B73" s="564" t="s">
        <v>1151</v>
      </c>
      <c r="F73" s="310">
        <v>208965.05</v>
      </c>
      <c r="J73" s="396">
        <v>0.04</v>
      </c>
      <c r="K73" s="1236">
        <f t="shared" si="40"/>
        <v>8358.601999999999</v>
      </c>
      <c r="L73" s="310">
        <f t="shared" si="36"/>
        <v>217323.652</v>
      </c>
      <c r="M73" s="1357">
        <f t="shared" ref="M73:M84" si="41">M72</f>
        <v>0</v>
      </c>
      <c r="N73" s="1237">
        <f t="shared" si="37"/>
        <v>0</v>
      </c>
      <c r="O73" s="310">
        <f t="shared" si="38"/>
        <v>217323.652</v>
      </c>
      <c r="P73" s="1236">
        <f t="shared" si="39"/>
        <v>8358.6020000000135</v>
      </c>
    </row>
    <row r="74" spans="1:16">
      <c r="A74" s="7">
        <v>55</v>
      </c>
      <c r="B74" s="564" t="s">
        <v>1152</v>
      </c>
      <c r="F74" s="310">
        <v>153109.92000000001</v>
      </c>
      <c r="J74" s="396">
        <v>0.04</v>
      </c>
      <c r="K74" s="1236">
        <f t="shared" si="40"/>
        <v>6124.3968000000004</v>
      </c>
      <c r="L74" s="310">
        <f t="shared" si="36"/>
        <v>159234.3168</v>
      </c>
      <c r="M74" s="1357">
        <f t="shared" si="41"/>
        <v>0</v>
      </c>
      <c r="N74" s="1237">
        <f t="shared" si="37"/>
        <v>0</v>
      </c>
      <c r="O74" s="310">
        <f t="shared" si="38"/>
        <v>159234.3168</v>
      </c>
      <c r="P74" s="1236">
        <f t="shared" si="39"/>
        <v>6124.3967999999877</v>
      </c>
    </row>
    <row r="75" spans="1:16">
      <c r="A75" s="7">
        <v>56</v>
      </c>
      <c r="B75" s="564" t="s">
        <v>1153</v>
      </c>
      <c r="F75" s="310">
        <v>84449.44</v>
      </c>
      <c r="J75" s="396">
        <v>0.04</v>
      </c>
      <c r="K75" s="1236">
        <f t="shared" si="40"/>
        <v>3377.9776000000002</v>
      </c>
      <c r="L75" s="310">
        <f t="shared" si="36"/>
        <v>87827.417600000001</v>
      </c>
      <c r="M75" s="1357">
        <f t="shared" si="41"/>
        <v>0</v>
      </c>
      <c r="N75" s="1237">
        <f t="shared" si="37"/>
        <v>0</v>
      </c>
      <c r="O75" s="310">
        <f t="shared" si="38"/>
        <v>87827.417600000001</v>
      </c>
      <c r="P75" s="1236">
        <f t="shared" si="39"/>
        <v>3377.9775999999983</v>
      </c>
    </row>
    <row r="76" spans="1:16">
      <c r="A76" s="7">
        <v>57</v>
      </c>
      <c r="B76" s="564" t="s">
        <v>1154</v>
      </c>
      <c r="F76" s="310">
        <v>1024805.29</v>
      </c>
      <c r="J76" s="396">
        <v>0.04</v>
      </c>
      <c r="K76" s="1236">
        <f t="shared" si="40"/>
        <v>40992.211600000002</v>
      </c>
      <c r="L76" s="310">
        <f t="shared" si="36"/>
        <v>1065797.5016000001</v>
      </c>
      <c r="M76" s="1357">
        <f t="shared" si="41"/>
        <v>0</v>
      </c>
      <c r="N76" s="1237">
        <f t="shared" si="37"/>
        <v>0</v>
      </c>
      <c r="O76" s="310">
        <f t="shared" si="38"/>
        <v>1065797.5016000001</v>
      </c>
      <c r="P76" s="1236">
        <f t="shared" si="39"/>
        <v>40992.211600000039</v>
      </c>
    </row>
    <row r="77" spans="1:16">
      <c r="A77" s="7">
        <v>58</v>
      </c>
      <c r="B77" s="564" t="s">
        <v>1155</v>
      </c>
      <c r="F77" s="310">
        <v>208344.85</v>
      </c>
      <c r="J77" s="396">
        <v>0.04</v>
      </c>
      <c r="K77" s="1236">
        <f t="shared" si="40"/>
        <v>8333.7939999999999</v>
      </c>
      <c r="L77" s="310">
        <f t="shared" si="36"/>
        <v>216678.644</v>
      </c>
      <c r="M77" s="1357">
        <f t="shared" si="41"/>
        <v>0</v>
      </c>
      <c r="N77" s="1237">
        <f t="shared" si="37"/>
        <v>0</v>
      </c>
      <c r="O77" s="310">
        <f t="shared" si="38"/>
        <v>216678.644</v>
      </c>
      <c r="P77" s="1236">
        <f t="shared" si="39"/>
        <v>8333.7939999999944</v>
      </c>
    </row>
    <row r="78" spans="1:16">
      <c r="A78" s="7">
        <v>59</v>
      </c>
      <c r="B78" s="564" t="s">
        <v>1156</v>
      </c>
      <c r="F78" s="310">
        <v>159743.65</v>
      </c>
      <c r="J78" s="396">
        <v>0.04</v>
      </c>
      <c r="K78" s="1236">
        <f t="shared" si="40"/>
        <v>6389.7460000000001</v>
      </c>
      <c r="L78" s="310">
        <f t="shared" si="36"/>
        <v>166133.39600000001</v>
      </c>
      <c r="M78" s="1357">
        <f t="shared" si="41"/>
        <v>0</v>
      </c>
      <c r="N78" s="1237">
        <f t="shared" si="37"/>
        <v>0</v>
      </c>
      <c r="O78" s="310">
        <f t="shared" si="38"/>
        <v>166133.39600000001</v>
      </c>
      <c r="P78" s="1236">
        <f t="shared" si="39"/>
        <v>6389.7460000000137</v>
      </c>
    </row>
    <row r="79" spans="1:16">
      <c r="A79" s="7">
        <v>60</v>
      </c>
      <c r="B79" s="564" t="s">
        <v>1157</v>
      </c>
      <c r="F79" s="310">
        <v>250606.53</v>
      </c>
      <c r="J79" s="396">
        <v>0.04</v>
      </c>
      <c r="K79" s="1236">
        <f t="shared" si="40"/>
        <v>10024.261200000001</v>
      </c>
      <c r="L79" s="310">
        <f t="shared" si="36"/>
        <v>260630.79120000001</v>
      </c>
      <c r="M79" s="1357">
        <f t="shared" si="41"/>
        <v>0</v>
      </c>
      <c r="N79" s="1237">
        <f t="shared" si="37"/>
        <v>0</v>
      </c>
      <c r="O79" s="310">
        <f t="shared" si="38"/>
        <v>260630.79120000001</v>
      </c>
      <c r="P79" s="1236">
        <f t="shared" si="39"/>
        <v>10024.261200000008</v>
      </c>
    </row>
    <row r="80" spans="1:16">
      <c r="A80" s="7">
        <v>61</v>
      </c>
      <c r="B80" s="564" t="s">
        <v>1158</v>
      </c>
      <c r="F80" s="310">
        <v>39737.97</v>
      </c>
      <c r="J80" s="396">
        <v>0.04</v>
      </c>
      <c r="K80" s="1236">
        <f t="shared" si="40"/>
        <v>1589.5188000000001</v>
      </c>
      <c r="L80" s="310">
        <f t="shared" si="36"/>
        <v>41327.488799999999</v>
      </c>
      <c r="M80" s="1357">
        <f t="shared" si="41"/>
        <v>0</v>
      </c>
      <c r="N80" s="1237">
        <f t="shared" si="37"/>
        <v>0</v>
      </c>
      <c r="O80" s="310">
        <f t="shared" si="38"/>
        <v>41327.488799999999</v>
      </c>
      <c r="P80" s="1236">
        <f t="shared" si="39"/>
        <v>1589.518799999998</v>
      </c>
    </row>
    <row r="81" spans="1:16">
      <c r="A81" s="7">
        <v>62</v>
      </c>
      <c r="B81" s="564" t="s">
        <v>1159</v>
      </c>
      <c r="F81" s="310">
        <v>29392.47</v>
      </c>
      <c r="J81" s="396">
        <v>0.04</v>
      </c>
      <c r="K81" s="1236">
        <f t="shared" si="40"/>
        <v>1175.6988000000001</v>
      </c>
      <c r="L81" s="310">
        <f t="shared" si="36"/>
        <v>30568.168799999999</v>
      </c>
      <c r="M81" s="1357">
        <f t="shared" si="41"/>
        <v>0</v>
      </c>
      <c r="N81" s="1237">
        <f t="shared" si="37"/>
        <v>0</v>
      </c>
      <c r="O81" s="310">
        <f t="shared" si="38"/>
        <v>30568.168799999999</v>
      </c>
      <c r="P81" s="1236">
        <f t="shared" si="39"/>
        <v>1175.6987999999983</v>
      </c>
    </row>
    <row r="82" spans="1:16">
      <c r="A82" s="7">
        <v>63</v>
      </c>
      <c r="B82" s="564" t="s">
        <v>1160</v>
      </c>
      <c r="F82" s="310">
        <v>558174.55000000005</v>
      </c>
      <c r="J82" s="396">
        <v>0.04</v>
      </c>
      <c r="K82" s="1236">
        <f t="shared" si="40"/>
        <v>22326.982000000004</v>
      </c>
      <c r="L82" s="310">
        <f t="shared" si="36"/>
        <v>580501.53200000001</v>
      </c>
      <c r="M82" s="1357">
        <f t="shared" si="41"/>
        <v>0</v>
      </c>
      <c r="N82" s="1237">
        <f t="shared" si="37"/>
        <v>0</v>
      </c>
      <c r="O82" s="310">
        <f t="shared" si="38"/>
        <v>580501.53200000001</v>
      </c>
      <c r="P82" s="1236">
        <f t="shared" si="39"/>
        <v>22326.98199999996</v>
      </c>
    </row>
    <row r="83" spans="1:16">
      <c r="A83" s="7">
        <v>64</v>
      </c>
      <c r="B83" s="564" t="s">
        <v>1161</v>
      </c>
      <c r="F83" s="310">
        <v>54777.31</v>
      </c>
      <c r="J83" s="396">
        <v>0.04</v>
      </c>
      <c r="K83" s="1236">
        <f t="shared" si="40"/>
        <v>2191.0924</v>
      </c>
      <c r="L83" s="310">
        <f t="shared" si="36"/>
        <v>56968.402399999999</v>
      </c>
      <c r="M83" s="1357">
        <f t="shared" si="41"/>
        <v>0</v>
      </c>
      <c r="N83" s="1237">
        <f t="shared" si="37"/>
        <v>0</v>
      </c>
      <c r="O83" s="310">
        <f t="shared" si="38"/>
        <v>56968.402399999999</v>
      </c>
      <c r="P83" s="1236">
        <f t="shared" si="39"/>
        <v>2191.0924000000014</v>
      </c>
    </row>
    <row r="84" spans="1:16">
      <c r="A84" s="7">
        <v>65</v>
      </c>
      <c r="B84" s="564" t="s">
        <v>1162</v>
      </c>
      <c r="F84" s="603">
        <v>9465.5499999999993</v>
      </c>
      <c r="J84" s="396">
        <v>0.04</v>
      </c>
      <c r="K84" s="1236">
        <f t="shared" si="40"/>
        <v>378.62199999999996</v>
      </c>
      <c r="L84" s="310">
        <f t="shared" si="36"/>
        <v>9844.1719999999987</v>
      </c>
      <c r="M84" s="1357">
        <f t="shared" si="41"/>
        <v>0</v>
      </c>
      <c r="N84" s="1237">
        <f t="shared" si="37"/>
        <v>0</v>
      </c>
      <c r="O84" s="310">
        <f t="shared" si="38"/>
        <v>9844.1719999999987</v>
      </c>
      <c r="P84" s="1236">
        <f t="shared" si="39"/>
        <v>378.62199999999939</v>
      </c>
    </row>
    <row r="85" spans="1:16">
      <c r="F85" s="604">
        <f>SUM(F70:F84)</f>
        <v>4357444.47</v>
      </c>
      <c r="K85" s="1238">
        <f>SUM(K70:K84)</f>
        <v>132823.3248</v>
      </c>
      <c r="L85" s="604">
        <f>SUM(L70:L84)</f>
        <v>4490267.7948000003</v>
      </c>
      <c r="N85" s="1238">
        <f>SUM(N70:N84)</f>
        <v>0</v>
      </c>
      <c r="O85" s="604">
        <f>SUM(O70:O84)</f>
        <v>4490267.7948000003</v>
      </c>
      <c r="P85" s="1238">
        <f>SUM(P70:P84)</f>
        <v>132823.32480000003</v>
      </c>
    </row>
    <row r="86" spans="1:16">
      <c r="K86" s="310"/>
    </row>
    <row r="87" spans="1:16" ht="16.5" thickBot="1">
      <c r="A87" s="944" t="s">
        <v>1587</v>
      </c>
    </row>
    <row r="88" spans="1:16">
      <c r="A88" s="944" t="s">
        <v>2024</v>
      </c>
      <c r="J88" s="1239"/>
      <c r="K88" s="1240" t="s">
        <v>2115</v>
      </c>
      <c r="L88" s="1241">
        <f>H8</f>
        <v>71553.601303044925</v>
      </c>
      <c r="M88" s="1242">
        <v>7.6499999999999999E-2</v>
      </c>
      <c r="N88" s="1241">
        <f>L88*M88</f>
        <v>5473.850499682937</v>
      </c>
      <c r="O88" s="1243"/>
      <c r="P88" s="1244">
        <f>N88+L88</f>
        <v>77027.451802727868</v>
      </c>
    </row>
    <row r="89" spans="1:16">
      <c r="A89" s="944" t="s">
        <v>2025</v>
      </c>
      <c r="J89" s="1245" t="s">
        <v>2116</v>
      </c>
      <c r="K89" s="1246"/>
      <c r="L89" s="1247">
        <f>K6+N6+K8+N8</f>
        <v>497527.56341088063</v>
      </c>
      <c r="M89" s="1248">
        <v>7.6499999999999999E-2</v>
      </c>
      <c r="N89" s="1247">
        <f>M89*L89</f>
        <v>38060.85860093237</v>
      </c>
      <c r="O89" s="1249"/>
      <c r="P89" s="1250">
        <f>N89+L89</f>
        <v>535588.42201181303</v>
      </c>
    </row>
    <row r="90" spans="1:16">
      <c r="J90" s="1245" t="s">
        <v>2117</v>
      </c>
      <c r="K90" s="1249"/>
      <c r="L90" s="1251">
        <f>K85+N85</f>
        <v>132823.3248</v>
      </c>
      <c r="M90" s="1252" t="s">
        <v>2118</v>
      </c>
      <c r="N90" s="1253">
        <v>0</v>
      </c>
      <c r="O90" s="1249"/>
      <c r="P90" s="1254">
        <f>N90+L90</f>
        <v>132823.3248</v>
      </c>
    </row>
    <row r="91" spans="1:16" ht="16.5" thickBot="1">
      <c r="J91" s="1255"/>
      <c r="K91" s="589"/>
      <c r="L91" s="588">
        <f>SUM(L88:L90)</f>
        <v>701904.48951392551</v>
      </c>
      <c r="M91" s="589"/>
      <c r="N91" s="588">
        <f>SUM(N88:N90)</f>
        <v>43534.709100615306</v>
      </c>
      <c r="O91" s="589"/>
      <c r="P91" s="1256">
        <f>SUM(P88:P90)</f>
        <v>745439.19861454098</v>
      </c>
    </row>
  </sheetData>
  <mergeCells count="1">
    <mergeCell ref="B65:E68"/>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3" sqref="B3:F3"/>
    </sheetView>
  </sheetViews>
  <sheetFormatPr defaultColWidth="9.140625" defaultRowHeight="15.75"/>
  <cols>
    <col min="1" max="1" width="8.42578125" style="5" bestFit="1" customWidth="1"/>
    <col min="2" max="2" width="37.5703125" style="5" bestFit="1" customWidth="1"/>
    <col min="3" max="3" width="3.85546875" style="5" customWidth="1"/>
    <col min="4" max="4" width="17.7109375" style="5" bestFit="1" customWidth="1"/>
    <col min="5" max="6" width="9.140625" style="5"/>
    <col min="7" max="7" width="15.42578125" style="5" customWidth="1"/>
    <col min="8" max="16384" width="9.140625" style="5"/>
  </cols>
  <sheetData>
    <row r="1" spans="1:6">
      <c r="B1" s="1287" t="s">
        <v>56</v>
      </c>
      <c r="C1" s="1287"/>
      <c r="D1" s="1287"/>
      <c r="E1" s="1287"/>
      <c r="F1" s="1287"/>
    </row>
    <row r="2" spans="1:6">
      <c r="B2" s="1287" t="s">
        <v>1609</v>
      </c>
      <c r="C2" s="1287"/>
      <c r="D2" s="1287"/>
      <c r="E2" s="1287"/>
      <c r="F2" s="1287"/>
    </row>
    <row r="3" spans="1:6">
      <c r="B3" s="1287"/>
      <c r="C3" s="1287"/>
      <c r="D3" s="1287"/>
      <c r="E3" s="1287"/>
      <c r="F3" s="1287"/>
    </row>
    <row r="4" spans="1:6">
      <c r="B4" s="1287" t="s">
        <v>37</v>
      </c>
      <c r="C4" s="1287"/>
      <c r="D4" s="1287"/>
      <c r="E4" s="1287"/>
      <c r="F4" s="1287"/>
    </row>
    <row r="5" spans="1:6">
      <c r="B5" s="1287" t="s">
        <v>980</v>
      </c>
      <c r="C5" s="1287"/>
      <c r="D5" s="1287"/>
      <c r="E5" s="1287"/>
      <c r="F5" s="1287"/>
    </row>
    <row r="9" spans="1:6">
      <c r="A9" s="10" t="s">
        <v>1620</v>
      </c>
      <c r="B9" s="7" t="s">
        <v>1623</v>
      </c>
      <c r="C9" s="7"/>
      <c r="D9" s="7" t="s">
        <v>1621</v>
      </c>
    </row>
    <row r="10" spans="1:6">
      <c r="A10" s="7">
        <v>1</v>
      </c>
      <c r="D10" s="7" t="s">
        <v>372</v>
      </c>
    </row>
    <row r="11" spans="1:6">
      <c r="A11" s="7">
        <v>2</v>
      </c>
      <c r="D11" s="7" t="s">
        <v>373</v>
      </c>
    </row>
    <row r="12" spans="1:6">
      <c r="A12" s="7">
        <v>3</v>
      </c>
      <c r="D12" s="7" t="s">
        <v>984</v>
      </c>
    </row>
    <row r="13" spans="1:6">
      <c r="A13" s="7">
        <v>4</v>
      </c>
      <c r="B13" s="5" t="s">
        <v>1818</v>
      </c>
      <c r="D13" s="75">
        <f>+'Plant in Serv &amp; Accum Depr'!AF147</f>
        <v>677314165.18981874</v>
      </c>
      <c r="E13" s="5" t="s">
        <v>1870</v>
      </c>
    </row>
    <row r="14" spans="1:6">
      <c r="A14" s="7">
        <v>5</v>
      </c>
      <c r="B14" s="5" t="s">
        <v>1819</v>
      </c>
      <c r="D14" s="375">
        <f>-'Plant in Serv &amp; Accum Depr'!AF153</f>
        <v>-345424354.83661753</v>
      </c>
      <c r="E14" s="5" t="s">
        <v>1870</v>
      </c>
    </row>
    <row r="15" spans="1:6">
      <c r="A15" s="7">
        <v>6</v>
      </c>
      <c r="B15" s="5" t="s">
        <v>369</v>
      </c>
      <c r="D15" s="208">
        <f>+D13+D14</f>
        <v>331889810.35320121</v>
      </c>
    </row>
    <row r="16" spans="1:6">
      <c r="A16" s="7">
        <v>7</v>
      </c>
      <c r="B16" s="5" t="s">
        <v>1820</v>
      </c>
      <c r="D16" s="208">
        <f>+'Adv for Const. &amp; Def Tax'!AX23</f>
        <v>-3771590.387083333</v>
      </c>
      <c r="E16" s="5" t="s">
        <v>1871</v>
      </c>
    </row>
    <row r="17" spans="1:8">
      <c r="A17" s="7">
        <v>8</v>
      </c>
      <c r="B17" s="5" t="s">
        <v>1821</v>
      </c>
      <c r="D17" s="376">
        <f>+'Adv for Const. &amp; Def Tax'!AX30</f>
        <v>-73667038.139583334</v>
      </c>
      <c r="E17" s="5" t="s">
        <v>1871</v>
      </c>
    </row>
    <row r="18" spans="1:8">
      <c r="A18" s="7">
        <v>9</v>
      </c>
      <c r="B18" s="5" t="s">
        <v>1822</v>
      </c>
      <c r="D18" s="377">
        <f>+'Working Capital'!E44</f>
        <v>25610869.595646363</v>
      </c>
      <c r="E18" s="5" t="s">
        <v>1872</v>
      </c>
    </row>
    <row r="19" spans="1:8">
      <c r="A19" s="7">
        <v>10</v>
      </c>
      <c r="B19" s="5" t="s">
        <v>1823</v>
      </c>
      <c r="D19" s="378">
        <f>+D15+D16+D17+D18</f>
        <v>280062051.42218089</v>
      </c>
      <c r="H19" s="13"/>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view="pageBreakPreview" zoomScale="70" zoomScaleNormal="100" zoomScaleSheetLayoutView="70" workbookViewId="0">
      <selection activeCell="J3" sqref="J3:L3"/>
    </sheetView>
  </sheetViews>
  <sheetFormatPr defaultColWidth="9.140625" defaultRowHeight="15.75"/>
  <cols>
    <col min="1" max="1" width="9.28515625" style="20" bestFit="1" customWidth="1"/>
    <col min="2" max="2" width="17.7109375" style="5" customWidth="1"/>
    <col min="3" max="3" width="36.7109375" style="5" bestFit="1" customWidth="1"/>
    <col min="4" max="4" width="19.28515625" style="5" customWidth="1"/>
    <col min="5" max="5" width="27" style="5" bestFit="1" customWidth="1"/>
    <col min="6" max="6" width="20.140625" style="5" bestFit="1" customWidth="1"/>
    <col min="7" max="7" width="27.7109375" style="5" bestFit="1" customWidth="1"/>
    <col min="8" max="11" width="28.28515625" style="5" bestFit="1" customWidth="1"/>
    <col min="12" max="12" width="27" style="5" bestFit="1" customWidth="1"/>
    <col min="13" max="13" width="27.7109375" style="5" bestFit="1" customWidth="1"/>
    <col min="14" max="15" width="28.28515625" style="5" bestFit="1" customWidth="1"/>
    <col min="16" max="16" width="27.7109375" style="5" bestFit="1" customWidth="1"/>
    <col min="17" max="18" width="28.28515625" style="5" bestFit="1" customWidth="1"/>
    <col min="19" max="20" width="27.7109375" style="5" bestFit="1" customWidth="1"/>
    <col min="21" max="21" width="28.28515625" style="5" bestFit="1" customWidth="1"/>
    <col min="22" max="22" width="27.7109375" style="5" bestFit="1" customWidth="1"/>
    <col min="23" max="25" width="28.28515625" style="5" bestFit="1" customWidth="1"/>
    <col min="26" max="26" width="27" style="5" bestFit="1" customWidth="1"/>
    <col min="27" max="28" width="28.28515625" style="5" bestFit="1" customWidth="1"/>
    <col min="29" max="29" width="27.7109375" style="5" bestFit="1" customWidth="1"/>
    <col min="30" max="30" width="28.28515625" style="5" bestFit="1" customWidth="1"/>
    <col min="31" max="31" width="28.85546875" style="5" bestFit="1" customWidth="1"/>
    <col min="32" max="32" width="35.85546875" style="5" bestFit="1" customWidth="1"/>
    <col min="33" max="16384" width="9.140625" style="5"/>
  </cols>
  <sheetData>
    <row r="1" spans="1:35">
      <c r="A1" s="1287" t="s">
        <v>56</v>
      </c>
      <c r="B1" s="1287"/>
      <c r="C1" s="1287"/>
      <c r="D1" s="1287"/>
      <c r="E1" s="1287"/>
      <c r="F1" s="1287"/>
      <c r="G1" s="1287"/>
      <c r="J1" s="1287" t="s">
        <v>56</v>
      </c>
      <c r="K1" s="1287"/>
      <c r="L1" s="1287"/>
      <c r="M1" s="4"/>
      <c r="N1" s="4"/>
      <c r="O1" s="4"/>
      <c r="R1" s="1287" t="s">
        <v>56</v>
      </c>
      <c r="S1" s="1287"/>
      <c r="T1" s="4"/>
      <c r="U1" s="4"/>
      <c r="V1" s="4"/>
      <c r="W1" s="4"/>
      <c r="Y1" s="1287" t="s">
        <v>56</v>
      </c>
      <c r="Z1" s="1287"/>
      <c r="AA1" s="1287"/>
      <c r="AB1" s="4"/>
      <c r="AC1" s="4"/>
      <c r="AD1" s="4"/>
      <c r="AE1" s="23" t="s">
        <v>56</v>
      </c>
      <c r="AF1" s="4"/>
      <c r="AG1" s="4"/>
      <c r="AH1" s="4"/>
      <c r="AI1" s="4"/>
    </row>
    <row r="2" spans="1:35">
      <c r="A2" s="1287" t="s">
        <v>1609</v>
      </c>
      <c r="B2" s="1287"/>
      <c r="C2" s="1287"/>
      <c r="D2" s="1287"/>
      <c r="E2" s="1287"/>
      <c r="F2" s="1287"/>
      <c r="G2" s="1287"/>
      <c r="J2" s="1287" t="s">
        <v>1609</v>
      </c>
      <c r="K2" s="1287"/>
      <c r="L2" s="1287"/>
      <c r="M2" s="4"/>
      <c r="N2" s="4"/>
      <c r="O2" s="4"/>
      <c r="R2" s="1287" t="s">
        <v>1609</v>
      </c>
      <c r="S2" s="1287"/>
      <c r="T2" s="4"/>
      <c r="U2" s="4"/>
      <c r="V2" s="4"/>
      <c r="W2" s="4"/>
      <c r="X2" s="7"/>
      <c r="Y2" s="1287" t="s">
        <v>1609</v>
      </c>
      <c r="Z2" s="1287"/>
      <c r="AA2" s="1287"/>
      <c r="AB2" s="4"/>
      <c r="AC2" s="4"/>
      <c r="AD2" s="7"/>
      <c r="AE2" s="23" t="s">
        <v>1609</v>
      </c>
      <c r="AF2" s="4"/>
      <c r="AG2" s="4"/>
      <c r="AH2" s="4"/>
      <c r="AI2" s="4"/>
    </row>
    <row r="3" spans="1:35">
      <c r="A3" s="1287"/>
      <c r="B3" s="1287"/>
      <c r="C3" s="1287"/>
      <c r="D3" s="1287"/>
      <c r="E3" s="1287"/>
      <c r="F3" s="1287"/>
      <c r="G3" s="1287"/>
      <c r="J3" s="1287"/>
      <c r="K3" s="1287"/>
      <c r="L3" s="1287"/>
      <c r="M3" s="4"/>
      <c r="N3" s="4"/>
      <c r="O3" s="4"/>
      <c r="R3" s="1287" t="s">
        <v>1611</v>
      </c>
      <c r="S3" s="1287"/>
      <c r="T3" s="4"/>
      <c r="U3" s="4"/>
      <c r="V3" s="4"/>
      <c r="W3" s="4"/>
      <c r="X3" s="7"/>
      <c r="Y3" s="1287" t="s">
        <v>1611</v>
      </c>
      <c r="Z3" s="1287"/>
      <c r="AA3" s="1287"/>
      <c r="AB3" s="4"/>
      <c r="AC3" s="4"/>
      <c r="AD3" s="7"/>
      <c r="AE3" s="23" t="s">
        <v>1611</v>
      </c>
      <c r="AF3" s="4"/>
      <c r="AG3" s="4"/>
      <c r="AH3" s="4"/>
      <c r="AI3" s="4"/>
    </row>
    <row r="4" spans="1:35">
      <c r="A4" s="1287" t="s">
        <v>1933</v>
      </c>
      <c r="B4" s="1287"/>
      <c r="C4" s="1287"/>
      <c r="D4" s="1287"/>
      <c r="E4" s="1287"/>
      <c r="F4" s="1287"/>
      <c r="G4" s="1287"/>
      <c r="J4" s="1287" t="s">
        <v>1933</v>
      </c>
      <c r="K4" s="1287"/>
      <c r="L4" s="1287"/>
      <c r="M4" s="4"/>
      <c r="N4" s="4"/>
      <c r="O4" s="4"/>
      <c r="R4" s="1287" t="s">
        <v>1933</v>
      </c>
      <c r="S4" s="1287"/>
      <c r="T4" s="4"/>
      <c r="U4" s="4"/>
      <c r="V4" s="4"/>
      <c r="W4" s="4"/>
      <c r="Y4" s="1287" t="s">
        <v>1933</v>
      </c>
      <c r="Z4" s="1287"/>
      <c r="AA4" s="1287"/>
      <c r="AB4" s="4"/>
      <c r="AC4" s="4"/>
      <c r="AD4" s="4"/>
      <c r="AE4" s="23" t="s">
        <v>1933</v>
      </c>
      <c r="AF4" s="4"/>
      <c r="AG4" s="4"/>
      <c r="AH4" s="4"/>
      <c r="AI4" s="4"/>
    </row>
    <row r="5" spans="1:35">
      <c r="A5" s="1287" t="s">
        <v>980</v>
      </c>
      <c r="B5" s="1287"/>
      <c r="C5" s="1287"/>
      <c r="D5" s="1287"/>
      <c r="E5" s="1287"/>
      <c r="F5" s="1287"/>
      <c r="G5" s="1287"/>
      <c r="J5" s="1287" t="s">
        <v>980</v>
      </c>
      <c r="K5" s="1287"/>
      <c r="L5" s="1287"/>
      <c r="M5" s="4"/>
      <c r="N5" s="4"/>
      <c r="O5" s="4"/>
      <c r="R5" s="1287" t="s">
        <v>980</v>
      </c>
      <c r="S5" s="1287"/>
      <c r="T5" s="4"/>
      <c r="U5" s="4"/>
      <c r="V5" s="4"/>
      <c r="W5" s="4"/>
      <c r="Y5" s="1287" t="s">
        <v>980</v>
      </c>
      <c r="Z5" s="1287"/>
      <c r="AA5" s="1287"/>
      <c r="AB5" s="4"/>
      <c r="AC5" s="4"/>
      <c r="AE5" s="23" t="s">
        <v>980</v>
      </c>
      <c r="AF5" s="4"/>
      <c r="AG5" s="4"/>
      <c r="AH5" s="4"/>
      <c r="AI5" s="4"/>
    </row>
    <row r="7" spans="1:35" s="20" customFormat="1">
      <c r="B7" s="20" t="s">
        <v>1623</v>
      </c>
      <c r="C7" s="20" t="s">
        <v>1621</v>
      </c>
      <c r="D7" s="20" t="s">
        <v>1622</v>
      </c>
      <c r="E7" s="20" t="s">
        <v>1625</v>
      </c>
      <c r="F7" s="20" t="s">
        <v>1626</v>
      </c>
      <c r="G7" s="20" t="s">
        <v>1635</v>
      </c>
      <c r="H7" s="20" t="s">
        <v>1636</v>
      </c>
      <c r="I7" s="20" t="s">
        <v>1637</v>
      </c>
      <c r="J7" s="20" t="s">
        <v>1638</v>
      </c>
      <c r="K7" s="20" t="s">
        <v>1639</v>
      </c>
      <c r="L7" s="20" t="s">
        <v>1640</v>
      </c>
      <c r="M7" s="20" t="s">
        <v>1641</v>
      </c>
      <c r="N7" s="20" t="s">
        <v>1642</v>
      </c>
      <c r="O7" s="20" t="s">
        <v>1643</v>
      </c>
      <c r="P7" s="20" t="s">
        <v>1644</v>
      </c>
      <c r="Q7" s="20" t="s">
        <v>1918</v>
      </c>
      <c r="R7" s="20" t="s">
        <v>1919</v>
      </c>
      <c r="S7" s="20" t="s">
        <v>1920</v>
      </c>
      <c r="T7" s="20" t="s">
        <v>1921</v>
      </c>
      <c r="U7" s="20" t="s">
        <v>1922</v>
      </c>
      <c r="V7" s="20" t="s">
        <v>1923</v>
      </c>
      <c r="W7" s="20" t="s">
        <v>1924</v>
      </c>
      <c r="X7" s="20" t="s">
        <v>1925</v>
      </c>
      <c r="Y7" s="20" t="s">
        <v>1926</v>
      </c>
      <c r="Z7" s="20" t="s">
        <v>1927</v>
      </c>
      <c r="AA7" s="20" t="s">
        <v>1928</v>
      </c>
      <c r="AB7" s="20" t="s">
        <v>1176</v>
      </c>
      <c r="AC7" s="20" t="s">
        <v>1929</v>
      </c>
      <c r="AD7" s="20" t="s">
        <v>1930</v>
      </c>
      <c r="AE7" s="20" t="s">
        <v>1931</v>
      </c>
      <c r="AF7" s="20" t="s">
        <v>1932</v>
      </c>
    </row>
    <row r="8" spans="1:35">
      <c r="A8" s="20" t="s">
        <v>886</v>
      </c>
      <c r="B8" s="379" t="s">
        <v>1654</v>
      </c>
      <c r="C8" s="379" t="s">
        <v>1655</v>
      </c>
      <c r="D8" s="379" t="s">
        <v>75</v>
      </c>
      <c r="E8" s="379" t="s">
        <v>1656</v>
      </c>
      <c r="F8" s="379" t="s">
        <v>1657</v>
      </c>
      <c r="G8" s="379" t="s">
        <v>1658</v>
      </c>
      <c r="H8" s="379" t="s">
        <v>1659</v>
      </c>
      <c r="I8" s="379" t="s">
        <v>1660</v>
      </c>
      <c r="J8" s="379" t="s">
        <v>1661</v>
      </c>
      <c r="K8" s="379" t="s">
        <v>1662</v>
      </c>
      <c r="L8" s="379" t="s">
        <v>1663</v>
      </c>
      <c r="M8" s="379" t="s">
        <v>1664</v>
      </c>
      <c r="N8" s="379" t="s">
        <v>1665</v>
      </c>
      <c r="O8" s="379" t="s">
        <v>1666</v>
      </c>
      <c r="P8" s="379" t="s">
        <v>1667</v>
      </c>
      <c r="Q8" s="379" t="s">
        <v>1668</v>
      </c>
      <c r="R8" s="379" t="s">
        <v>1669</v>
      </c>
      <c r="S8" s="379" t="s">
        <v>1670</v>
      </c>
      <c r="T8" s="379" t="s">
        <v>1671</v>
      </c>
      <c r="U8" s="379" t="s">
        <v>1672</v>
      </c>
      <c r="V8" s="379" t="s">
        <v>1673</v>
      </c>
      <c r="W8" s="379" t="s">
        <v>1674</v>
      </c>
      <c r="X8" s="379" t="s">
        <v>1675</v>
      </c>
      <c r="Y8" s="379" t="s">
        <v>1676</v>
      </c>
      <c r="Z8" s="379" t="s">
        <v>1677</v>
      </c>
      <c r="AA8" s="379" t="s">
        <v>1678</v>
      </c>
      <c r="AB8" s="379" t="s">
        <v>1679</v>
      </c>
      <c r="AC8" s="379" t="s">
        <v>1680</v>
      </c>
      <c r="AD8" s="379" t="s">
        <v>1681</v>
      </c>
      <c r="AE8" s="379" t="s">
        <v>1682</v>
      </c>
      <c r="AF8" s="379" t="s">
        <v>1683</v>
      </c>
    </row>
    <row r="9" spans="1:35">
      <c r="A9" s="20">
        <v>1</v>
      </c>
      <c r="B9" s="380" t="s">
        <v>81</v>
      </c>
      <c r="C9" s="380" t="s">
        <v>1013</v>
      </c>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row>
    <row r="10" spans="1:35">
      <c r="A10" s="20">
        <v>2</v>
      </c>
      <c r="C10" s="5" t="s">
        <v>1684</v>
      </c>
      <c r="D10" s="5" t="str">
        <f>RIGHT(C10,5)</f>
        <v>00038</v>
      </c>
      <c r="E10" s="382">
        <v>73666.720000000001</v>
      </c>
      <c r="F10" s="382">
        <v>73666.820000000007</v>
      </c>
      <c r="G10" s="382">
        <v>73666.720000000001</v>
      </c>
      <c r="H10" s="382">
        <v>73666.820000000007</v>
      </c>
      <c r="I10" s="382">
        <v>73666.720000000001</v>
      </c>
      <c r="J10" s="382">
        <v>73666.820000000007</v>
      </c>
      <c r="K10" s="382">
        <v>73666.720000000001</v>
      </c>
      <c r="L10" s="382">
        <v>73666.820000000007</v>
      </c>
      <c r="M10" s="382">
        <v>73666.720000000001</v>
      </c>
      <c r="N10" s="382">
        <v>73666.820000000007</v>
      </c>
      <c r="O10" s="382">
        <v>73666.720000000001</v>
      </c>
      <c r="P10" s="382">
        <v>73666.820000000007</v>
      </c>
      <c r="Q10" s="382">
        <v>73666.720000000001</v>
      </c>
      <c r="R10" s="382">
        <v>73666.820000000007</v>
      </c>
      <c r="S10" s="382">
        <v>73666.720000000001</v>
      </c>
      <c r="T10" s="382">
        <v>73666.820000000007</v>
      </c>
      <c r="U10" s="382">
        <v>73666.720000000001</v>
      </c>
      <c r="V10" s="382">
        <v>73666.820000000007</v>
      </c>
      <c r="W10" s="382">
        <v>73666.720000000001</v>
      </c>
      <c r="X10" s="382">
        <v>73666.820000000007</v>
      </c>
      <c r="Y10" s="382">
        <v>73666.720000000001</v>
      </c>
      <c r="Z10" s="382">
        <v>73666.820000000007</v>
      </c>
      <c r="AA10" s="382">
        <v>73666.720000000001</v>
      </c>
      <c r="AB10" s="382">
        <v>73666.820000000007</v>
      </c>
      <c r="AC10" s="382">
        <v>73666.720000000001</v>
      </c>
      <c r="AD10" s="382">
        <v>73666.820000000007</v>
      </c>
      <c r="AE10" s="382">
        <f>+(E10+AC10+(+G10+I10+K10+M10+O10+Q10+S10+U10+W10+Y10+AA10)*2)/24</f>
        <v>73666.719999999987</v>
      </c>
      <c r="AF10" s="382">
        <f>+(F10+AD10+(+H10+J10+L10+N10+P10+R10+T10+V10+X10+Z10+AB10)*2)/24</f>
        <v>73666.820000000022</v>
      </c>
    </row>
    <row r="11" spans="1:35">
      <c r="A11" s="20">
        <v>3</v>
      </c>
      <c r="C11" s="5" t="s">
        <v>1685</v>
      </c>
      <c r="D11" s="383" t="s">
        <v>1686</v>
      </c>
      <c r="E11" s="382">
        <v>0</v>
      </c>
      <c r="F11" s="382">
        <v>0</v>
      </c>
      <c r="G11" s="382">
        <v>0</v>
      </c>
      <c r="H11" s="382">
        <v>0</v>
      </c>
      <c r="I11" s="382">
        <v>0</v>
      </c>
      <c r="J11" s="382">
        <v>0</v>
      </c>
      <c r="K11" s="382">
        <v>0</v>
      </c>
      <c r="L11" s="382">
        <v>0</v>
      </c>
      <c r="M11" s="382">
        <v>0</v>
      </c>
      <c r="N11" s="382">
        <v>0</v>
      </c>
      <c r="O11" s="382">
        <v>0</v>
      </c>
      <c r="P11" s="382">
        <v>0</v>
      </c>
      <c r="Q11" s="382">
        <v>0</v>
      </c>
      <c r="R11" s="382">
        <v>0</v>
      </c>
      <c r="S11" s="382">
        <v>113374.44</v>
      </c>
      <c r="T11" s="382">
        <v>6007.91</v>
      </c>
      <c r="U11" s="382">
        <v>113374.44</v>
      </c>
      <c r="V11" s="382">
        <v>6244.1100000000006</v>
      </c>
      <c r="W11" s="382">
        <v>113374.44</v>
      </c>
      <c r="X11" s="382">
        <v>6480.31</v>
      </c>
      <c r="Y11" s="382">
        <v>113374.44</v>
      </c>
      <c r="Z11" s="382">
        <v>6716.51</v>
      </c>
      <c r="AA11" s="382">
        <v>113374.44</v>
      </c>
      <c r="AB11" s="382">
        <v>6952.71</v>
      </c>
      <c r="AC11" s="382">
        <v>113374.44</v>
      </c>
      <c r="AD11" s="382">
        <v>7188.91</v>
      </c>
      <c r="AE11" s="382">
        <f>+(E11+AC11+(+G11+I11+K11+M11+O11+Q11+S11+U11+W11+Y11+AA11)*2)/24</f>
        <v>51963.284999999996</v>
      </c>
      <c r="AF11" s="382">
        <f t="shared" ref="AF11:AF45" si="0">+(F11+AD11+(+H11+J11+L11+N11+P11+R11+T11+V11+X11+Z11+AB11)*2)/24</f>
        <v>2999.6670833333337</v>
      </c>
    </row>
    <row r="12" spans="1:35">
      <c r="A12" s="20">
        <v>4</v>
      </c>
      <c r="C12" s="5" t="s">
        <v>1687</v>
      </c>
      <c r="D12" s="5" t="str">
        <f t="shared" ref="D12:D45" si="1">RIGHT(C12,5)</f>
        <v>00038</v>
      </c>
      <c r="E12" s="382">
        <v>113374.44</v>
      </c>
      <c r="F12" s="382">
        <v>4371.25</v>
      </c>
      <c r="G12" s="382">
        <v>113374.44</v>
      </c>
      <c r="H12" s="382">
        <v>4604.66</v>
      </c>
      <c r="I12" s="382">
        <v>113374.44</v>
      </c>
      <c r="J12" s="382">
        <v>4838.07</v>
      </c>
      <c r="K12" s="382">
        <v>113374.44</v>
      </c>
      <c r="L12" s="382">
        <v>5071.4800000000005</v>
      </c>
      <c r="M12" s="382">
        <v>113374.44</v>
      </c>
      <c r="N12" s="382">
        <v>5304.89</v>
      </c>
      <c r="O12" s="382">
        <v>113374.44</v>
      </c>
      <c r="P12" s="382">
        <v>5538.3</v>
      </c>
      <c r="Q12" s="382">
        <v>113374.44</v>
      </c>
      <c r="R12" s="382">
        <v>5771.71</v>
      </c>
      <c r="S12" s="382">
        <v>0</v>
      </c>
      <c r="T12" s="382">
        <v>0</v>
      </c>
      <c r="U12" s="382">
        <v>0</v>
      </c>
      <c r="V12" s="382">
        <v>0</v>
      </c>
      <c r="W12" s="382">
        <v>0</v>
      </c>
      <c r="X12" s="382">
        <v>0</v>
      </c>
      <c r="Y12" s="382">
        <v>0</v>
      </c>
      <c r="Z12" s="382">
        <v>0</v>
      </c>
      <c r="AA12" s="382">
        <v>0</v>
      </c>
      <c r="AB12" s="382">
        <v>0</v>
      </c>
      <c r="AC12" s="382">
        <v>0</v>
      </c>
      <c r="AD12" s="382">
        <v>0</v>
      </c>
      <c r="AE12" s="382">
        <f t="shared" ref="AE12:AE45" si="2">+(E12+AC12+(+G12+I12+K12+M12+O12+Q12+S12+U12+W12+Y12+AA12)*2)/24</f>
        <v>61411.154999999992</v>
      </c>
      <c r="AF12" s="382">
        <f t="shared" si="0"/>
        <v>2776.2279166666667</v>
      </c>
    </row>
    <row r="13" spans="1:35">
      <c r="A13" s="20">
        <v>5</v>
      </c>
      <c r="C13" s="5" t="s">
        <v>1688</v>
      </c>
      <c r="D13" s="5" t="str">
        <f t="shared" si="1"/>
        <v>00038</v>
      </c>
      <c r="E13" s="382">
        <v>13130.54</v>
      </c>
      <c r="F13" s="382">
        <v>0</v>
      </c>
      <c r="G13" s="382">
        <v>13130.54</v>
      </c>
      <c r="H13" s="382">
        <v>0</v>
      </c>
      <c r="I13" s="382">
        <v>13130.54</v>
      </c>
      <c r="J13" s="382">
        <v>0</v>
      </c>
      <c r="K13" s="382">
        <v>13130.54</v>
      </c>
      <c r="L13" s="382">
        <v>0</v>
      </c>
      <c r="M13" s="382">
        <v>13130.54</v>
      </c>
      <c r="N13" s="382">
        <v>0</v>
      </c>
      <c r="O13" s="382">
        <v>13130.54</v>
      </c>
      <c r="P13" s="382">
        <v>0</v>
      </c>
      <c r="Q13" s="382">
        <v>13130.54</v>
      </c>
      <c r="R13" s="382">
        <v>0</v>
      </c>
      <c r="S13" s="382">
        <v>13130.54</v>
      </c>
      <c r="T13" s="382">
        <v>0</v>
      </c>
      <c r="U13" s="382">
        <v>13130.54</v>
      </c>
      <c r="V13" s="382">
        <v>0</v>
      </c>
      <c r="W13" s="382">
        <v>13130.54</v>
      </c>
      <c r="X13" s="382">
        <v>0</v>
      </c>
      <c r="Y13" s="382">
        <v>13130.54</v>
      </c>
      <c r="Z13" s="382">
        <v>0</v>
      </c>
      <c r="AA13" s="382">
        <v>13130.54</v>
      </c>
      <c r="AB13" s="382">
        <v>0</v>
      </c>
      <c r="AC13" s="382">
        <v>13130.54</v>
      </c>
      <c r="AD13" s="382">
        <v>0</v>
      </c>
      <c r="AE13" s="382">
        <f t="shared" si="2"/>
        <v>13130.540000000006</v>
      </c>
      <c r="AF13" s="382">
        <f t="shared" si="0"/>
        <v>0</v>
      </c>
    </row>
    <row r="14" spans="1:35">
      <c r="A14" s="20">
        <v>6</v>
      </c>
      <c r="C14" s="5" t="s">
        <v>1689</v>
      </c>
      <c r="D14" s="5" t="str">
        <f t="shared" si="1"/>
        <v>00038</v>
      </c>
      <c r="E14" s="382">
        <v>7692.66</v>
      </c>
      <c r="F14" s="382">
        <v>6205.68</v>
      </c>
      <c r="G14" s="382">
        <v>7692.66</v>
      </c>
      <c r="H14" s="382">
        <v>6215.81</v>
      </c>
      <c r="I14" s="382">
        <v>7692.66</v>
      </c>
      <c r="J14" s="382">
        <v>6225.9400000000005</v>
      </c>
      <c r="K14" s="382">
        <v>7692.66</v>
      </c>
      <c r="L14" s="382">
        <v>6236.07</v>
      </c>
      <c r="M14" s="382">
        <v>7692.66</v>
      </c>
      <c r="N14" s="382">
        <v>6246.2</v>
      </c>
      <c r="O14" s="382">
        <v>7692.66</v>
      </c>
      <c r="P14" s="382">
        <v>6256.33</v>
      </c>
      <c r="Q14" s="382">
        <v>7692.66</v>
      </c>
      <c r="R14" s="382">
        <v>6266.46</v>
      </c>
      <c r="S14" s="382">
        <v>7692.66</v>
      </c>
      <c r="T14" s="382">
        <v>6276.59</v>
      </c>
      <c r="U14" s="382">
        <v>7692.66</v>
      </c>
      <c r="V14" s="382">
        <v>6286.72</v>
      </c>
      <c r="W14" s="382">
        <v>7692.66</v>
      </c>
      <c r="X14" s="382">
        <v>6296.85</v>
      </c>
      <c r="Y14" s="382">
        <v>7692.66</v>
      </c>
      <c r="Z14" s="382">
        <v>6306.9800000000005</v>
      </c>
      <c r="AA14" s="382">
        <v>7692.66</v>
      </c>
      <c r="AB14" s="382">
        <v>6317.1100000000006</v>
      </c>
      <c r="AC14" s="382">
        <v>7692.66</v>
      </c>
      <c r="AD14" s="382">
        <v>6327.24</v>
      </c>
      <c r="AE14" s="382">
        <f t="shared" si="2"/>
        <v>7692.6600000000026</v>
      </c>
      <c r="AF14" s="382">
        <f t="shared" si="0"/>
        <v>6266.46</v>
      </c>
    </row>
    <row r="15" spans="1:35">
      <c r="A15" s="20">
        <v>7</v>
      </c>
      <c r="C15" s="5" t="s">
        <v>1690</v>
      </c>
      <c r="D15" s="5" t="str">
        <f t="shared" si="1"/>
        <v>00038</v>
      </c>
      <c r="E15" s="382">
        <v>6203474.7999999998</v>
      </c>
      <c r="F15" s="382">
        <v>3278641.73</v>
      </c>
      <c r="G15" s="382">
        <v>6203474.7999999998</v>
      </c>
      <c r="H15" s="382">
        <v>3288050.33</v>
      </c>
      <c r="I15" s="382">
        <v>6203474.7999999998</v>
      </c>
      <c r="J15" s="382">
        <v>3297458.93</v>
      </c>
      <c r="K15" s="382">
        <v>6203474.7999999998</v>
      </c>
      <c r="L15" s="382">
        <v>3306867.5300000003</v>
      </c>
      <c r="M15" s="382">
        <v>6203474.7999999998</v>
      </c>
      <c r="N15" s="382">
        <v>3316276.13</v>
      </c>
      <c r="O15" s="382">
        <v>6203474.7999999998</v>
      </c>
      <c r="P15" s="382">
        <v>3325684.73</v>
      </c>
      <c r="Q15" s="382">
        <v>6203474.7999999998</v>
      </c>
      <c r="R15" s="382">
        <v>3335093.33</v>
      </c>
      <c r="S15" s="382">
        <v>6203474.7999999998</v>
      </c>
      <c r="T15" s="382">
        <v>3344501.93</v>
      </c>
      <c r="U15" s="382">
        <v>6203474.7999999998</v>
      </c>
      <c r="V15" s="382">
        <v>3353910.5300000003</v>
      </c>
      <c r="W15" s="382">
        <v>6203474.7999999998</v>
      </c>
      <c r="X15" s="382">
        <v>3363319.13</v>
      </c>
      <c r="Y15" s="382">
        <v>6203474.7999999998</v>
      </c>
      <c r="Z15" s="382">
        <v>3372727.73</v>
      </c>
      <c r="AA15" s="382">
        <v>6203474.7999999998</v>
      </c>
      <c r="AB15" s="382">
        <v>3382136.33</v>
      </c>
      <c r="AC15" s="382">
        <v>6203474.7999999998</v>
      </c>
      <c r="AD15" s="382">
        <v>3391544.93</v>
      </c>
      <c r="AE15" s="382">
        <f t="shared" si="2"/>
        <v>6203474.799999998</v>
      </c>
      <c r="AF15" s="382">
        <f t="shared" si="0"/>
        <v>3335093.3299999996</v>
      </c>
    </row>
    <row r="16" spans="1:35">
      <c r="A16" s="20">
        <v>8</v>
      </c>
      <c r="C16" s="5" t="s">
        <v>1691</v>
      </c>
      <c r="D16" s="5" t="str">
        <f t="shared" si="1"/>
        <v>00038</v>
      </c>
      <c r="E16" s="382">
        <v>36161.700000000004</v>
      </c>
      <c r="F16" s="382">
        <v>-4564.4000000000005</v>
      </c>
      <c r="G16" s="382">
        <v>36161.700000000004</v>
      </c>
      <c r="H16" s="382">
        <v>-4552.05</v>
      </c>
      <c r="I16" s="382">
        <v>36161.700000000004</v>
      </c>
      <c r="J16" s="382">
        <v>-4539.7</v>
      </c>
      <c r="K16" s="382">
        <v>36161.700000000004</v>
      </c>
      <c r="L16" s="382">
        <v>-4527.3500000000004</v>
      </c>
      <c r="M16" s="382">
        <v>36161.700000000004</v>
      </c>
      <c r="N16" s="382">
        <v>-4515</v>
      </c>
      <c r="O16" s="382">
        <v>36161.700000000004</v>
      </c>
      <c r="P16" s="382">
        <v>-4502.6500000000005</v>
      </c>
      <c r="Q16" s="382">
        <v>36161.700000000004</v>
      </c>
      <c r="R16" s="382">
        <v>-4490.3</v>
      </c>
      <c r="S16" s="382">
        <v>36161.700000000004</v>
      </c>
      <c r="T16" s="382">
        <v>-4477.95</v>
      </c>
      <c r="U16" s="382">
        <v>36161.700000000004</v>
      </c>
      <c r="V16" s="382">
        <v>-4465.6000000000004</v>
      </c>
      <c r="W16" s="382">
        <v>36161.700000000004</v>
      </c>
      <c r="X16" s="382">
        <v>-4453.25</v>
      </c>
      <c r="Y16" s="382">
        <v>36161.700000000004</v>
      </c>
      <c r="Z16" s="382">
        <v>-4440.9000000000005</v>
      </c>
      <c r="AA16" s="382">
        <v>36161.700000000004</v>
      </c>
      <c r="AB16" s="382">
        <v>-4428.55</v>
      </c>
      <c r="AC16" s="382">
        <v>36161.700000000004</v>
      </c>
      <c r="AD16" s="382">
        <v>-4416.2</v>
      </c>
      <c r="AE16" s="382">
        <f t="shared" si="2"/>
        <v>36161.700000000004</v>
      </c>
      <c r="AF16" s="382">
        <f t="shared" si="0"/>
        <v>-4490.3</v>
      </c>
    </row>
    <row r="17" spans="1:32">
      <c r="A17" s="20">
        <v>9</v>
      </c>
      <c r="C17" s="5" t="s">
        <v>1692</v>
      </c>
      <c r="D17" s="5" t="str">
        <f t="shared" si="1"/>
        <v>00038</v>
      </c>
      <c r="E17" s="382">
        <v>81176.350000000006</v>
      </c>
      <c r="F17" s="382">
        <v>-2885.31</v>
      </c>
      <c r="G17" s="382">
        <v>81176.350000000006</v>
      </c>
      <c r="H17" s="382">
        <v>-2758.13</v>
      </c>
      <c r="I17" s="382">
        <v>81176.350000000006</v>
      </c>
      <c r="J17" s="382">
        <v>-2630.9500000000003</v>
      </c>
      <c r="K17" s="382">
        <v>81176.350000000006</v>
      </c>
      <c r="L17" s="382">
        <v>-2503.77</v>
      </c>
      <c r="M17" s="382">
        <v>81176.350000000006</v>
      </c>
      <c r="N17" s="382">
        <v>-2376.59</v>
      </c>
      <c r="O17" s="382">
        <v>81176.350000000006</v>
      </c>
      <c r="P17" s="382">
        <v>-2249.41</v>
      </c>
      <c r="Q17" s="382">
        <v>81176.350000000006</v>
      </c>
      <c r="R17" s="382">
        <v>-2122.23</v>
      </c>
      <c r="S17" s="382">
        <v>81176.350000000006</v>
      </c>
      <c r="T17" s="382">
        <v>-1995.05</v>
      </c>
      <c r="U17" s="382">
        <v>81176.350000000006</v>
      </c>
      <c r="V17" s="382">
        <v>-1867.8700000000001</v>
      </c>
      <c r="W17" s="382">
        <v>79051.19</v>
      </c>
      <c r="X17" s="382">
        <v>-1740.69</v>
      </c>
      <c r="Y17" s="382">
        <v>79051.19</v>
      </c>
      <c r="Z17" s="382">
        <v>-1616.8400000000001</v>
      </c>
      <c r="AA17" s="382">
        <v>79051.19</v>
      </c>
      <c r="AB17" s="382">
        <v>-1492.99</v>
      </c>
      <c r="AC17" s="382">
        <v>79051.19</v>
      </c>
      <c r="AD17" s="382">
        <v>-1369.14</v>
      </c>
      <c r="AE17" s="382">
        <f t="shared" si="2"/>
        <v>80556.511666666658</v>
      </c>
      <c r="AF17" s="382">
        <f t="shared" si="0"/>
        <v>-2123.4787499999998</v>
      </c>
    </row>
    <row r="18" spans="1:32">
      <c r="A18" s="20">
        <v>10</v>
      </c>
      <c r="C18" s="5" t="s">
        <v>1693</v>
      </c>
      <c r="D18" s="5" t="str">
        <f t="shared" si="1"/>
        <v>00038</v>
      </c>
      <c r="E18" s="382">
        <v>141860.15</v>
      </c>
      <c r="F18" s="382">
        <v>0</v>
      </c>
      <c r="G18" s="382">
        <v>141860.15</v>
      </c>
      <c r="H18" s="382">
        <v>0</v>
      </c>
      <c r="I18" s="382">
        <v>141860.15</v>
      </c>
      <c r="J18" s="382">
        <v>0</v>
      </c>
      <c r="K18" s="382">
        <v>141860.15</v>
      </c>
      <c r="L18" s="382">
        <v>0</v>
      </c>
      <c r="M18" s="382">
        <v>141860.15</v>
      </c>
      <c r="N18" s="382">
        <v>0</v>
      </c>
      <c r="O18" s="382">
        <v>141860.15</v>
      </c>
      <c r="P18" s="382">
        <v>0</v>
      </c>
      <c r="Q18" s="382">
        <v>141860.15</v>
      </c>
      <c r="R18" s="382">
        <v>0</v>
      </c>
      <c r="S18" s="382">
        <v>141860.15</v>
      </c>
      <c r="T18" s="382">
        <v>0</v>
      </c>
      <c r="U18" s="382">
        <v>141860.15</v>
      </c>
      <c r="V18" s="382">
        <v>0</v>
      </c>
      <c r="W18" s="382">
        <v>141860.15</v>
      </c>
      <c r="X18" s="382">
        <v>0</v>
      </c>
      <c r="Y18" s="382">
        <v>141860.15</v>
      </c>
      <c r="Z18" s="382">
        <v>0</v>
      </c>
      <c r="AA18" s="382">
        <v>141860.15</v>
      </c>
      <c r="AB18" s="382">
        <v>0</v>
      </c>
      <c r="AC18" s="382">
        <v>141860.15</v>
      </c>
      <c r="AD18" s="382">
        <v>0</v>
      </c>
      <c r="AE18" s="382">
        <f t="shared" si="2"/>
        <v>141860.14999999997</v>
      </c>
      <c r="AF18" s="382">
        <f t="shared" si="0"/>
        <v>0</v>
      </c>
    </row>
    <row r="19" spans="1:32">
      <c r="A19" s="20">
        <v>11</v>
      </c>
      <c r="C19" s="5" t="s">
        <v>1694</v>
      </c>
      <c r="D19" s="5" t="str">
        <f t="shared" si="1"/>
        <v>00038</v>
      </c>
      <c r="E19" s="382">
        <v>0</v>
      </c>
      <c r="F19" s="382">
        <v>-655.47</v>
      </c>
      <c r="G19" s="382">
        <v>0</v>
      </c>
      <c r="H19" s="382">
        <v>-655.47</v>
      </c>
      <c r="I19" s="382">
        <v>0</v>
      </c>
      <c r="J19" s="382">
        <v>-655.47</v>
      </c>
      <c r="K19" s="382">
        <v>0</v>
      </c>
      <c r="L19" s="382">
        <v>-655.47</v>
      </c>
      <c r="M19" s="382">
        <v>0</v>
      </c>
      <c r="N19" s="382">
        <v>-655.47</v>
      </c>
      <c r="O19" s="382">
        <v>0</v>
      </c>
      <c r="P19" s="382">
        <v>-655.47</v>
      </c>
      <c r="Q19" s="382">
        <v>0</v>
      </c>
      <c r="R19" s="382">
        <v>-655.47</v>
      </c>
      <c r="S19" s="382">
        <v>0</v>
      </c>
      <c r="T19" s="382">
        <v>-655.47</v>
      </c>
      <c r="U19" s="382">
        <v>0</v>
      </c>
      <c r="V19" s="382">
        <v>-655.47</v>
      </c>
      <c r="W19" s="382">
        <v>0</v>
      </c>
      <c r="X19" s="382">
        <v>-655.47</v>
      </c>
      <c r="Y19" s="382">
        <v>0</v>
      </c>
      <c r="Z19" s="382">
        <v>-655.47</v>
      </c>
      <c r="AA19" s="382">
        <v>0</v>
      </c>
      <c r="AB19" s="382">
        <v>-655.47</v>
      </c>
      <c r="AC19" s="382">
        <v>0</v>
      </c>
      <c r="AD19" s="382">
        <v>-655.47</v>
      </c>
      <c r="AE19" s="382">
        <f t="shared" si="2"/>
        <v>0</v>
      </c>
      <c r="AF19" s="382">
        <f t="shared" si="0"/>
        <v>-655.47000000000014</v>
      </c>
    </row>
    <row r="20" spans="1:32">
      <c r="A20" s="20">
        <v>12</v>
      </c>
      <c r="C20" s="5" t="s">
        <v>1695</v>
      </c>
      <c r="D20" s="5" t="str">
        <f t="shared" si="1"/>
        <v>00038</v>
      </c>
      <c r="E20" s="382">
        <v>363784.97000000003</v>
      </c>
      <c r="F20" s="382">
        <v>246406.96</v>
      </c>
      <c r="G20" s="382">
        <v>363784.97000000003</v>
      </c>
      <c r="H20" s="382">
        <v>246776.81</v>
      </c>
      <c r="I20" s="382">
        <v>363784.97000000003</v>
      </c>
      <c r="J20" s="382">
        <v>247146.66</v>
      </c>
      <c r="K20" s="382">
        <v>363784.97000000003</v>
      </c>
      <c r="L20" s="382">
        <v>247516.51</v>
      </c>
      <c r="M20" s="382">
        <v>363784.97000000003</v>
      </c>
      <c r="N20" s="382">
        <v>247886.36000000002</v>
      </c>
      <c r="O20" s="382">
        <v>363784.97000000003</v>
      </c>
      <c r="P20" s="382">
        <v>248256.21</v>
      </c>
      <c r="Q20" s="382">
        <v>363784.97000000003</v>
      </c>
      <c r="R20" s="382">
        <v>248626.06</v>
      </c>
      <c r="S20" s="382">
        <v>363784.97000000003</v>
      </c>
      <c r="T20" s="382">
        <v>248995.91</v>
      </c>
      <c r="U20" s="382">
        <v>363784.97000000003</v>
      </c>
      <c r="V20" s="382">
        <v>249365.76000000001</v>
      </c>
      <c r="W20" s="382">
        <v>363784.97000000003</v>
      </c>
      <c r="X20" s="382">
        <v>249735.61000000002</v>
      </c>
      <c r="Y20" s="382">
        <v>363784.97000000003</v>
      </c>
      <c r="Z20" s="382">
        <v>250105.46</v>
      </c>
      <c r="AA20" s="382">
        <v>363784.97000000003</v>
      </c>
      <c r="AB20" s="382">
        <v>250475.31</v>
      </c>
      <c r="AC20" s="382">
        <v>363784.97000000003</v>
      </c>
      <c r="AD20" s="382">
        <v>250845.16</v>
      </c>
      <c r="AE20" s="382">
        <f t="shared" si="2"/>
        <v>363784.97000000015</v>
      </c>
      <c r="AF20" s="382">
        <f t="shared" si="0"/>
        <v>248626.06000000003</v>
      </c>
    </row>
    <row r="21" spans="1:32">
      <c r="A21" s="20">
        <v>13</v>
      </c>
      <c r="C21" s="5" t="s">
        <v>1696</v>
      </c>
      <c r="D21" s="5" t="str">
        <f t="shared" si="1"/>
        <v>00038</v>
      </c>
      <c r="E21" s="382">
        <v>15085668.380000001</v>
      </c>
      <c r="F21" s="382">
        <v>4897183.96</v>
      </c>
      <c r="G21" s="382">
        <v>15104874.25</v>
      </c>
      <c r="H21" s="382">
        <v>4979920</v>
      </c>
      <c r="I21" s="382">
        <v>15106654.83</v>
      </c>
      <c r="J21" s="382">
        <v>4995654.25</v>
      </c>
      <c r="K21" s="382">
        <v>15110550.34</v>
      </c>
      <c r="L21" s="382">
        <v>5010120.05</v>
      </c>
      <c r="M21" s="382">
        <v>15151477.460000001</v>
      </c>
      <c r="N21" s="382">
        <v>5025860.2</v>
      </c>
      <c r="O21" s="382">
        <v>15151477.449999999</v>
      </c>
      <c r="P21" s="382">
        <v>5041642.99</v>
      </c>
      <c r="Q21" s="382">
        <v>15348974.75</v>
      </c>
      <c r="R21" s="382">
        <v>5057241.3600000003</v>
      </c>
      <c r="S21" s="382">
        <v>15334956.33</v>
      </c>
      <c r="T21" s="382">
        <v>5073229.87</v>
      </c>
      <c r="U21" s="382">
        <v>15761109.73</v>
      </c>
      <c r="V21" s="382">
        <v>5089203.78</v>
      </c>
      <c r="W21" s="382">
        <v>15761109.73</v>
      </c>
      <c r="X21" s="382">
        <v>5079247.0199999996</v>
      </c>
      <c r="Y21" s="382">
        <v>15761109.73</v>
      </c>
      <c r="Z21" s="382">
        <v>5095664.84</v>
      </c>
      <c r="AA21" s="382">
        <v>15761109.73</v>
      </c>
      <c r="AB21" s="382">
        <v>5112082.66</v>
      </c>
      <c r="AC21" s="382">
        <v>16263434.68</v>
      </c>
      <c r="AD21" s="382">
        <v>5121531.34</v>
      </c>
      <c r="AE21" s="382">
        <f t="shared" si="2"/>
        <v>15418996.321666665</v>
      </c>
      <c r="AF21" s="382">
        <f t="shared" si="0"/>
        <v>5047435.3891666662</v>
      </c>
    </row>
    <row r="22" spans="1:32">
      <c r="A22" s="20">
        <v>14</v>
      </c>
      <c r="C22" s="5" t="s">
        <v>1697</v>
      </c>
      <c r="D22" s="5" t="str">
        <f t="shared" si="1"/>
        <v>00038</v>
      </c>
      <c r="E22" s="382">
        <v>36326710.43</v>
      </c>
      <c r="F22" s="382">
        <v>8318908.7199999997</v>
      </c>
      <c r="G22" s="382">
        <v>36319962.240000002</v>
      </c>
      <c r="H22" s="382">
        <v>8984426.3599999994</v>
      </c>
      <c r="I22" s="382">
        <v>36351504.299999997</v>
      </c>
      <c r="J22" s="382">
        <v>9109427.5600000005</v>
      </c>
      <c r="K22" s="382">
        <v>36365688.93</v>
      </c>
      <c r="L22" s="382">
        <v>9230380.75</v>
      </c>
      <c r="M22" s="382">
        <v>36940084.009999998</v>
      </c>
      <c r="N22" s="382">
        <v>9355539.3300000001</v>
      </c>
      <c r="O22" s="382">
        <v>37012259.280000001</v>
      </c>
      <c r="P22" s="382">
        <v>9482674.7799999993</v>
      </c>
      <c r="Q22" s="382">
        <v>37067628.990000002</v>
      </c>
      <c r="R22" s="382">
        <v>9609877.5199999996</v>
      </c>
      <c r="S22" s="382">
        <v>37103980.909999996</v>
      </c>
      <c r="T22" s="382">
        <v>9737451.9499999993</v>
      </c>
      <c r="U22" s="382">
        <v>37779712.049999997</v>
      </c>
      <c r="V22" s="382">
        <v>9863497.3000000007</v>
      </c>
      <c r="W22" s="382">
        <v>38035887.810000002</v>
      </c>
      <c r="X22" s="382">
        <v>9992056.8499999996</v>
      </c>
      <c r="Y22" s="382">
        <v>38377685.039999999</v>
      </c>
      <c r="Z22" s="382">
        <v>10122963.699999999</v>
      </c>
      <c r="AA22" s="382">
        <v>38613862.909999996</v>
      </c>
      <c r="AB22" s="382">
        <v>10254363.810000001</v>
      </c>
      <c r="AC22" s="382">
        <v>38985326.240000002</v>
      </c>
      <c r="AD22" s="382">
        <v>10387259.859999999</v>
      </c>
      <c r="AE22" s="382">
        <f t="shared" si="2"/>
        <v>37302022.900416665</v>
      </c>
      <c r="AF22" s="382">
        <f t="shared" si="0"/>
        <v>9591312.0166666657</v>
      </c>
    </row>
    <row r="23" spans="1:32">
      <c r="A23" s="20">
        <v>15</v>
      </c>
      <c r="C23" s="5" t="s">
        <v>1698</v>
      </c>
      <c r="D23" s="5" t="str">
        <f t="shared" si="1"/>
        <v>00038</v>
      </c>
      <c r="E23" s="382">
        <v>31021437.920000002</v>
      </c>
      <c r="F23" s="382">
        <v>22938009.989999998</v>
      </c>
      <c r="G23" s="382">
        <v>31038899.719999999</v>
      </c>
      <c r="H23" s="382">
        <v>22991192.850000001</v>
      </c>
      <c r="I23" s="382">
        <v>31046740.219999999</v>
      </c>
      <c r="J23" s="382">
        <v>23004209.059999999</v>
      </c>
      <c r="K23" s="382">
        <v>31199451.789999999</v>
      </c>
      <c r="L23" s="382">
        <v>23048829.640000001</v>
      </c>
      <c r="M23" s="382">
        <v>31254403.899999999</v>
      </c>
      <c r="N23" s="382">
        <v>23087875.199999999</v>
      </c>
      <c r="O23" s="382">
        <v>31253245.510000002</v>
      </c>
      <c r="P23" s="382">
        <v>23143836.149999999</v>
      </c>
      <c r="Q23" s="382">
        <v>31454455.699999999</v>
      </c>
      <c r="R23" s="382">
        <v>23201133.760000002</v>
      </c>
      <c r="S23" s="382">
        <v>31547721.050000001</v>
      </c>
      <c r="T23" s="382">
        <v>23258634.899999999</v>
      </c>
      <c r="U23" s="382">
        <v>31552793.73</v>
      </c>
      <c r="V23" s="382">
        <v>23312037.420000002</v>
      </c>
      <c r="W23" s="382">
        <v>31570517.539999999</v>
      </c>
      <c r="X23" s="382">
        <v>23369884.199999999</v>
      </c>
      <c r="Y23" s="382">
        <v>31579299.510000002</v>
      </c>
      <c r="Z23" s="382">
        <v>23426957.690000001</v>
      </c>
      <c r="AA23" s="382">
        <v>31630260</v>
      </c>
      <c r="AB23" s="382">
        <v>23478212.280000001</v>
      </c>
      <c r="AC23" s="382">
        <v>31764135.859999999</v>
      </c>
      <c r="AD23" s="382">
        <v>23534532.66</v>
      </c>
      <c r="AE23" s="382">
        <f t="shared" si="2"/>
        <v>31376714.629999995</v>
      </c>
      <c r="AF23" s="382">
        <f t="shared" si="0"/>
        <v>23213256.206250001</v>
      </c>
    </row>
    <row r="24" spans="1:32">
      <c r="A24" s="20">
        <v>16</v>
      </c>
      <c r="C24" s="5" t="s">
        <v>1699</v>
      </c>
      <c r="D24" s="5" t="str">
        <f t="shared" si="1"/>
        <v>00038</v>
      </c>
      <c r="E24" s="382">
        <v>7895829.7400000002</v>
      </c>
      <c r="F24" s="382">
        <v>2875066.34</v>
      </c>
      <c r="G24" s="382">
        <v>7921283.5999999996</v>
      </c>
      <c r="H24" s="382">
        <v>2887699.67</v>
      </c>
      <c r="I24" s="382">
        <v>7942537.4500000002</v>
      </c>
      <c r="J24" s="382">
        <v>2900373.7199999997</v>
      </c>
      <c r="K24" s="382">
        <v>8012268.1900000004</v>
      </c>
      <c r="L24" s="382">
        <v>2904989.02</v>
      </c>
      <c r="M24" s="382">
        <v>8029887.7400000002</v>
      </c>
      <c r="N24" s="382">
        <v>2917808.65</v>
      </c>
      <c r="O24" s="382">
        <v>8029887.7400000002</v>
      </c>
      <c r="P24" s="382">
        <v>2930656.4699999997</v>
      </c>
      <c r="Q24" s="382">
        <v>8142370.3600000003</v>
      </c>
      <c r="R24" s="382">
        <v>2942067.37</v>
      </c>
      <c r="S24" s="382">
        <v>8142931.5599999996</v>
      </c>
      <c r="T24" s="382">
        <v>2953661.59</v>
      </c>
      <c r="U24" s="382">
        <v>8143368.9199999999</v>
      </c>
      <c r="V24" s="382">
        <v>2966690.2800000003</v>
      </c>
      <c r="W24" s="382">
        <v>8146052.8200000003</v>
      </c>
      <c r="X24" s="382">
        <v>2979162.77</v>
      </c>
      <c r="Y24" s="382">
        <v>8167832.2000000002</v>
      </c>
      <c r="Z24" s="382">
        <v>2992196.45</v>
      </c>
      <c r="AA24" s="382">
        <v>8168799.6500000004</v>
      </c>
      <c r="AB24" s="382">
        <v>3005264.98</v>
      </c>
      <c r="AC24" s="382">
        <v>8710463.1500000004</v>
      </c>
      <c r="AD24" s="382">
        <v>3016966.62</v>
      </c>
      <c r="AE24" s="382">
        <f t="shared" si="2"/>
        <v>8095863.8895833343</v>
      </c>
      <c r="AF24" s="382">
        <f t="shared" si="0"/>
        <v>2943882.2875000001</v>
      </c>
    </row>
    <row r="25" spans="1:32">
      <c r="A25" s="20">
        <v>17</v>
      </c>
      <c r="C25" s="5" t="s">
        <v>1700</v>
      </c>
      <c r="D25" s="5" t="str">
        <f t="shared" si="1"/>
        <v>00038</v>
      </c>
      <c r="E25" s="382">
        <v>33686399.469999999</v>
      </c>
      <c r="F25" s="382">
        <v>11533257.710000001</v>
      </c>
      <c r="G25" s="382">
        <v>33614058.350000001</v>
      </c>
      <c r="H25" s="382">
        <v>11952752.060000001</v>
      </c>
      <c r="I25" s="382">
        <v>33706884.939999998</v>
      </c>
      <c r="J25" s="382">
        <v>12056509.779999999</v>
      </c>
      <c r="K25" s="382">
        <v>33922787.780000001</v>
      </c>
      <c r="L25" s="382">
        <v>12163405.59</v>
      </c>
      <c r="M25" s="382">
        <v>33628845.560000002</v>
      </c>
      <c r="N25" s="382">
        <v>12271600.630000001</v>
      </c>
      <c r="O25" s="382">
        <v>33876412.810000002</v>
      </c>
      <c r="P25" s="382">
        <v>12378954.49</v>
      </c>
      <c r="Q25" s="382">
        <v>34036179.149999999</v>
      </c>
      <c r="R25" s="382">
        <v>12485497.289999999</v>
      </c>
      <c r="S25" s="382">
        <v>34216383.450000003</v>
      </c>
      <c r="T25" s="382">
        <v>12594736.720000001</v>
      </c>
      <c r="U25" s="382">
        <v>34531469.799999997</v>
      </c>
      <c r="V25" s="382">
        <v>12703589.76</v>
      </c>
      <c r="W25" s="382">
        <v>34648005.299999997</v>
      </c>
      <c r="X25" s="382">
        <v>12814756.890000001</v>
      </c>
      <c r="Y25" s="382">
        <v>34809170.100000001</v>
      </c>
      <c r="Z25" s="382">
        <v>12926143.59</v>
      </c>
      <c r="AA25" s="382">
        <v>34925807.119999997</v>
      </c>
      <c r="AB25" s="382">
        <v>13037817.550000001</v>
      </c>
      <c r="AC25" s="382">
        <v>35450283.200000003</v>
      </c>
      <c r="AD25" s="382">
        <v>13149746.33</v>
      </c>
      <c r="AE25" s="382">
        <f t="shared" si="2"/>
        <v>34207028.807916671</v>
      </c>
      <c r="AF25" s="382">
        <f t="shared" si="0"/>
        <v>12477272.197500004</v>
      </c>
    </row>
    <row r="26" spans="1:32">
      <c r="A26" s="20">
        <v>18</v>
      </c>
      <c r="C26" s="5" t="s">
        <v>1701</v>
      </c>
      <c r="D26" s="5" t="str">
        <f t="shared" si="1"/>
        <v>00038</v>
      </c>
      <c r="E26" s="382">
        <v>13055611.970000001</v>
      </c>
      <c r="F26" s="382">
        <v>19024335.030000001</v>
      </c>
      <c r="G26" s="382">
        <v>13056123.84</v>
      </c>
      <c r="H26" s="382">
        <v>19050574.940000001</v>
      </c>
      <c r="I26" s="382">
        <v>13056069.41</v>
      </c>
      <c r="J26" s="382">
        <v>19066831.210000001</v>
      </c>
      <c r="K26" s="382">
        <v>13055702.51</v>
      </c>
      <c r="L26" s="382">
        <v>19085787</v>
      </c>
      <c r="M26" s="382">
        <v>13054970.4</v>
      </c>
      <c r="N26" s="382">
        <v>19118747.829999998</v>
      </c>
      <c r="O26" s="382">
        <v>13053900.07</v>
      </c>
      <c r="P26" s="382">
        <v>19153496.52</v>
      </c>
      <c r="Q26" s="382">
        <v>13051661.68</v>
      </c>
      <c r="R26" s="382">
        <v>19181442.25</v>
      </c>
      <c r="S26" s="382">
        <v>13050987.859999999</v>
      </c>
      <c r="T26" s="382">
        <v>19213941.760000002</v>
      </c>
      <c r="U26" s="382">
        <v>13049850.09</v>
      </c>
      <c r="V26" s="382">
        <v>19238161.149999999</v>
      </c>
      <c r="W26" s="382">
        <v>13049170.619999999</v>
      </c>
      <c r="X26" s="382">
        <v>19265905.129999999</v>
      </c>
      <c r="Y26" s="382">
        <v>13026986.630000001</v>
      </c>
      <c r="Z26" s="382">
        <v>19294246.84</v>
      </c>
      <c r="AA26" s="382">
        <v>13026707.18</v>
      </c>
      <c r="AB26" s="382">
        <v>19323220.690000001</v>
      </c>
      <c r="AC26" s="382">
        <v>13026506.49</v>
      </c>
      <c r="AD26" s="382">
        <v>19356328.68</v>
      </c>
      <c r="AE26" s="382">
        <f t="shared" si="2"/>
        <v>13047765.793333331</v>
      </c>
      <c r="AF26" s="382">
        <f t="shared" si="0"/>
        <v>19181890.597916666</v>
      </c>
    </row>
    <row r="27" spans="1:32">
      <c r="A27" s="20">
        <v>19</v>
      </c>
      <c r="C27" s="5" t="s">
        <v>1702</v>
      </c>
      <c r="D27" s="5" t="str">
        <f t="shared" si="1"/>
        <v>00038</v>
      </c>
      <c r="E27" s="382">
        <v>8242824.79</v>
      </c>
      <c r="F27" s="382">
        <v>3356811.97</v>
      </c>
      <c r="G27" s="382">
        <v>8260321.46</v>
      </c>
      <c r="H27" s="382">
        <v>3369498.74</v>
      </c>
      <c r="I27" s="382">
        <v>8280203.46</v>
      </c>
      <c r="J27" s="382">
        <v>3382302.23</v>
      </c>
      <c r="K27" s="382">
        <v>8307075.9299999997</v>
      </c>
      <c r="L27" s="382">
        <v>3394658.36</v>
      </c>
      <c r="M27" s="382">
        <v>8324970.5300000003</v>
      </c>
      <c r="N27" s="382">
        <v>3407280.62</v>
      </c>
      <c r="O27" s="382">
        <v>8343035.1200000001</v>
      </c>
      <c r="P27" s="382">
        <v>3420184.32</v>
      </c>
      <c r="Q27" s="382">
        <v>8361379.8799999999</v>
      </c>
      <c r="R27" s="382">
        <v>3433113.42</v>
      </c>
      <c r="S27" s="382">
        <v>8378389.4000000004</v>
      </c>
      <c r="T27" s="382">
        <v>3445002.36</v>
      </c>
      <c r="U27" s="382">
        <v>8376949.3700000001</v>
      </c>
      <c r="V27" s="382">
        <v>3450401.25</v>
      </c>
      <c r="W27" s="382">
        <v>8384162.5599999996</v>
      </c>
      <c r="X27" s="382">
        <v>3463087.87</v>
      </c>
      <c r="Y27" s="382">
        <v>8395362.3300000001</v>
      </c>
      <c r="Z27" s="382">
        <v>3474665.14</v>
      </c>
      <c r="AA27" s="382">
        <v>8420057.2799999993</v>
      </c>
      <c r="AB27" s="382">
        <v>3487645.61</v>
      </c>
      <c r="AC27" s="382">
        <v>8433778.1199999992</v>
      </c>
      <c r="AD27" s="382">
        <v>3500679.52</v>
      </c>
      <c r="AE27" s="382">
        <f t="shared" si="2"/>
        <v>8347517.3979166662</v>
      </c>
      <c r="AF27" s="382">
        <f t="shared" si="0"/>
        <v>3429715.4720833325</v>
      </c>
    </row>
    <row r="28" spans="1:32">
      <c r="A28" s="20">
        <v>20</v>
      </c>
      <c r="C28" s="5" t="s">
        <v>1703</v>
      </c>
      <c r="D28" s="5" t="str">
        <f t="shared" si="1"/>
        <v>00038</v>
      </c>
      <c r="E28" s="382">
        <v>1670380.77</v>
      </c>
      <c r="F28" s="382">
        <v>680211.56</v>
      </c>
      <c r="G28" s="382">
        <v>1671090.47</v>
      </c>
      <c r="H28" s="382">
        <v>683246.09</v>
      </c>
      <c r="I28" s="382">
        <v>1671090.47</v>
      </c>
      <c r="J28" s="382">
        <v>686281.9</v>
      </c>
      <c r="K28" s="382">
        <v>1673664.92</v>
      </c>
      <c r="L28" s="382">
        <v>689317.71</v>
      </c>
      <c r="M28" s="382">
        <v>1675639.27</v>
      </c>
      <c r="N28" s="382">
        <v>692358.20000000007</v>
      </c>
      <c r="O28" s="382">
        <v>1675639.27</v>
      </c>
      <c r="P28" s="382">
        <v>695402.28</v>
      </c>
      <c r="Q28" s="382">
        <v>1696382.46</v>
      </c>
      <c r="R28" s="382">
        <v>698446.36</v>
      </c>
      <c r="S28" s="382">
        <v>1702358.19</v>
      </c>
      <c r="T28" s="382">
        <v>701528.12</v>
      </c>
      <c r="U28" s="382">
        <v>1710451.51</v>
      </c>
      <c r="V28" s="382">
        <v>712208.36</v>
      </c>
      <c r="W28" s="382">
        <v>1713381.5899999999</v>
      </c>
      <c r="X28" s="382">
        <v>715315.68</v>
      </c>
      <c r="Y28" s="382">
        <v>1719312.94</v>
      </c>
      <c r="Z28" s="382">
        <v>718428.32000000007</v>
      </c>
      <c r="AA28" s="382">
        <v>1721031</v>
      </c>
      <c r="AB28" s="382">
        <v>721551.74</v>
      </c>
      <c r="AC28" s="382">
        <v>1828166.3</v>
      </c>
      <c r="AD28" s="382">
        <v>712745.85</v>
      </c>
      <c r="AE28" s="382">
        <f t="shared" si="2"/>
        <v>1698276.3020833333</v>
      </c>
      <c r="AF28" s="382">
        <f t="shared" si="0"/>
        <v>700880.28874999995</v>
      </c>
    </row>
    <row r="29" spans="1:32">
      <c r="A29" s="20">
        <v>21</v>
      </c>
      <c r="C29" s="5" t="s">
        <v>1704</v>
      </c>
      <c r="D29" s="5" t="str">
        <f t="shared" si="1"/>
        <v>00038</v>
      </c>
      <c r="E29" s="382">
        <v>0</v>
      </c>
      <c r="F29" s="382">
        <v>-256.08</v>
      </c>
      <c r="G29" s="382">
        <v>0</v>
      </c>
      <c r="H29" s="382">
        <v>-256.08</v>
      </c>
      <c r="I29" s="382">
        <v>0</v>
      </c>
      <c r="J29" s="382">
        <v>-256.08</v>
      </c>
      <c r="K29" s="382">
        <v>0</v>
      </c>
      <c r="L29" s="382">
        <v>-256.08</v>
      </c>
      <c r="M29" s="382">
        <v>0</v>
      </c>
      <c r="N29" s="382">
        <v>-256.08</v>
      </c>
      <c r="O29" s="382">
        <v>0</v>
      </c>
      <c r="P29" s="382">
        <v>-256.08</v>
      </c>
      <c r="Q29" s="382">
        <v>0</v>
      </c>
      <c r="R29" s="382">
        <v>-256.08</v>
      </c>
      <c r="S29" s="382">
        <v>0</v>
      </c>
      <c r="T29" s="382">
        <v>-256.08</v>
      </c>
      <c r="U29" s="382">
        <v>0</v>
      </c>
      <c r="V29" s="382">
        <v>-256.08</v>
      </c>
      <c r="W29" s="382">
        <v>0</v>
      </c>
      <c r="X29" s="382">
        <v>-256.08</v>
      </c>
      <c r="Y29" s="382">
        <v>0</v>
      </c>
      <c r="Z29" s="382">
        <v>-256.08</v>
      </c>
      <c r="AA29" s="382">
        <v>0</v>
      </c>
      <c r="AB29" s="382">
        <v>-256.08</v>
      </c>
      <c r="AC29" s="382">
        <v>0</v>
      </c>
      <c r="AD29" s="382">
        <v>-256.08</v>
      </c>
      <c r="AE29" s="382">
        <f t="shared" si="2"/>
        <v>0</v>
      </c>
      <c r="AF29" s="382">
        <f t="shared" si="0"/>
        <v>-256.08</v>
      </c>
    </row>
    <row r="30" spans="1:32">
      <c r="A30" s="20">
        <v>22</v>
      </c>
      <c r="C30" s="5" t="s">
        <v>1705</v>
      </c>
      <c r="D30" s="5" t="str">
        <f t="shared" si="1"/>
        <v>00038</v>
      </c>
      <c r="E30" s="382">
        <v>302126.86</v>
      </c>
      <c r="F30" s="382">
        <v>250563.73</v>
      </c>
      <c r="G30" s="382">
        <v>302126.86</v>
      </c>
      <c r="H30" s="382">
        <v>250563.73</v>
      </c>
      <c r="I30" s="382">
        <v>302126.86</v>
      </c>
      <c r="J30" s="382">
        <v>250563.73</v>
      </c>
      <c r="K30" s="382">
        <v>493301.43</v>
      </c>
      <c r="L30" s="382">
        <v>250563.73</v>
      </c>
      <c r="M30" s="382">
        <v>493301.43</v>
      </c>
      <c r="N30" s="382">
        <v>309237.99</v>
      </c>
      <c r="O30" s="382">
        <v>493301.43</v>
      </c>
      <c r="P30" s="382">
        <v>309237.99</v>
      </c>
      <c r="Q30" s="382">
        <v>493301.43</v>
      </c>
      <c r="R30" s="382">
        <v>309237.99</v>
      </c>
      <c r="S30" s="382">
        <v>493301.43</v>
      </c>
      <c r="T30" s="382">
        <v>309237.99</v>
      </c>
      <c r="U30" s="382">
        <v>493301.43</v>
      </c>
      <c r="V30" s="382">
        <v>309237.99</v>
      </c>
      <c r="W30" s="382">
        <v>493301.43</v>
      </c>
      <c r="X30" s="382">
        <v>309237.99</v>
      </c>
      <c r="Y30" s="382">
        <v>493301.43</v>
      </c>
      <c r="Z30" s="382">
        <v>309237.99</v>
      </c>
      <c r="AA30" s="382">
        <v>493301.43</v>
      </c>
      <c r="AB30" s="382">
        <v>309237.99</v>
      </c>
      <c r="AC30" s="382">
        <v>493301.43</v>
      </c>
      <c r="AD30" s="382">
        <v>309237.99</v>
      </c>
      <c r="AE30" s="382">
        <f t="shared" si="2"/>
        <v>453473.39458333328</v>
      </c>
      <c r="AF30" s="382">
        <f t="shared" si="0"/>
        <v>292124.66416666668</v>
      </c>
    </row>
    <row r="31" spans="1:32">
      <c r="A31" s="20">
        <v>23</v>
      </c>
      <c r="C31" s="5" t="s">
        <v>1706</v>
      </c>
      <c r="D31" s="5" t="str">
        <f t="shared" si="1"/>
        <v>00038</v>
      </c>
      <c r="E31" s="382">
        <v>0</v>
      </c>
      <c r="F31" s="382">
        <v>11145.130000000001</v>
      </c>
      <c r="G31" s="382">
        <v>0</v>
      </c>
      <c r="H31" s="382">
        <v>11145.130000000001</v>
      </c>
      <c r="I31" s="382">
        <v>0</v>
      </c>
      <c r="J31" s="382">
        <v>11145.130000000001</v>
      </c>
      <c r="K31" s="382">
        <v>0</v>
      </c>
      <c r="L31" s="382">
        <v>11145.130000000001</v>
      </c>
      <c r="M31" s="382">
        <v>0</v>
      </c>
      <c r="N31" s="382">
        <v>11145.130000000001</v>
      </c>
      <c r="O31" s="382">
        <v>0</v>
      </c>
      <c r="P31" s="382">
        <v>11145.130000000001</v>
      </c>
      <c r="Q31" s="382">
        <v>0</v>
      </c>
      <c r="R31" s="382">
        <v>11145.130000000001</v>
      </c>
      <c r="S31" s="382">
        <v>0</v>
      </c>
      <c r="T31" s="382">
        <v>11145.130000000001</v>
      </c>
      <c r="U31" s="382">
        <v>0</v>
      </c>
      <c r="V31" s="382">
        <v>11145.130000000001</v>
      </c>
      <c r="W31" s="382">
        <v>0</v>
      </c>
      <c r="X31" s="382">
        <v>11145.130000000001</v>
      </c>
      <c r="Y31" s="382">
        <v>0</v>
      </c>
      <c r="Z31" s="382">
        <v>11145.130000000001</v>
      </c>
      <c r="AA31" s="382">
        <v>0</v>
      </c>
      <c r="AB31" s="382">
        <v>11145.130000000001</v>
      </c>
      <c r="AC31" s="382">
        <v>0</v>
      </c>
      <c r="AD31" s="382">
        <v>11145.130000000001</v>
      </c>
      <c r="AE31" s="382">
        <f t="shared" si="2"/>
        <v>0</v>
      </c>
      <c r="AF31" s="382">
        <f t="shared" si="0"/>
        <v>11145.130000000003</v>
      </c>
    </row>
    <row r="32" spans="1:32">
      <c r="A32" s="20">
        <v>24</v>
      </c>
      <c r="C32" s="5" t="s">
        <v>1707</v>
      </c>
      <c r="D32" s="5" t="str">
        <f t="shared" si="1"/>
        <v>00038</v>
      </c>
      <c r="E32" s="382">
        <v>4663838.87</v>
      </c>
      <c r="F32" s="382">
        <v>953510.37</v>
      </c>
      <c r="G32" s="382">
        <v>4663838.87</v>
      </c>
      <c r="H32" s="382">
        <v>956157.87</v>
      </c>
      <c r="I32" s="382">
        <v>4663838.87</v>
      </c>
      <c r="J32" s="382">
        <v>960977.17</v>
      </c>
      <c r="K32" s="382">
        <v>4472664.3</v>
      </c>
      <c r="L32" s="382">
        <v>965796.47</v>
      </c>
      <c r="M32" s="382">
        <v>4472664.3</v>
      </c>
      <c r="N32" s="382">
        <v>1023293.96</v>
      </c>
      <c r="O32" s="382">
        <v>4472664.3</v>
      </c>
      <c r="P32" s="382">
        <v>1027915.71</v>
      </c>
      <c r="Q32" s="382">
        <v>4503031.37</v>
      </c>
      <c r="R32" s="382">
        <v>1032537.46</v>
      </c>
      <c r="S32" s="382">
        <v>4503031.37</v>
      </c>
      <c r="T32" s="382">
        <v>1037190.59</v>
      </c>
      <c r="U32" s="382">
        <v>4503031.37</v>
      </c>
      <c r="V32" s="382">
        <v>1041843.72</v>
      </c>
      <c r="W32" s="382">
        <v>4503031.37</v>
      </c>
      <c r="X32" s="382">
        <v>1046496.85</v>
      </c>
      <c r="Y32" s="382">
        <v>4503031.37</v>
      </c>
      <c r="Z32" s="382">
        <v>1051149.98</v>
      </c>
      <c r="AA32" s="382">
        <v>4503031.37</v>
      </c>
      <c r="AB32" s="382">
        <v>1055803.1100000001</v>
      </c>
      <c r="AC32" s="382">
        <v>4503031.37</v>
      </c>
      <c r="AD32" s="382">
        <v>1060456.24</v>
      </c>
      <c r="AE32" s="382">
        <f t="shared" si="2"/>
        <v>4528941.1649999991</v>
      </c>
      <c r="AF32" s="382">
        <f t="shared" si="0"/>
        <v>1017178.8495833332</v>
      </c>
    </row>
    <row r="33" spans="1:32">
      <c r="A33" s="20">
        <v>25</v>
      </c>
      <c r="C33" s="5" t="s">
        <v>1708</v>
      </c>
      <c r="D33" s="5" t="str">
        <f t="shared" si="1"/>
        <v>00038</v>
      </c>
      <c r="E33" s="382">
        <v>95752.02</v>
      </c>
      <c r="F33" s="382">
        <v>19866.060000000001</v>
      </c>
      <c r="G33" s="382">
        <v>76479.02</v>
      </c>
      <c r="H33" s="382">
        <v>1979.07</v>
      </c>
      <c r="I33" s="382">
        <v>76479.02</v>
      </c>
      <c r="J33" s="382">
        <v>3086.1</v>
      </c>
      <c r="K33" s="382">
        <v>76479.02</v>
      </c>
      <c r="L33" s="382">
        <v>4193.13</v>
      </c>
      <c r="M33" s="382">
        <v>76479.02</v>
      </c>
      <c r="N33" s="382">
        <v>5300.16</v>
      </c>
      <c r="O33" s="382">
        <v>76479.02</v>
      </c>
      <c r="P33" s="382">
        <v>6407.1900000000005</v>
      </c>
      <c r="Q33" s="382">
        <v>76479.02</v>
      </c>
      <c r="R33" s="382">
        <v>7514.22</v>
      </c>
      <c r="S33" s="382">
        <v>76479.02</v>
      </c>
      <c r="T33" s="382">
        <v>8621.25</v>
      </c>
      <c r="U33" s="382">
        <v>76479.02</v>
      </c>
      <c r="V33" s="382">
        <v>9728.2800000000007</v>
      </c>
      <c r="W33" s="382">
        <v>76479.02</v>
      </c>
      <c r="X33" s="382">
        <v>10835.31</v>
      </c>
      <c r="Y33" s="382">
        <v>76479.02</v>
      </c>
      <c r="Z33" s="382">
        <v>11942.34</v>
      </c>
      <c r="AA33" s="382">
        <v>76479.02</v>
      </c>
      <c r="AB33" s="382">
        <v>13049.37</v>
      </c>
      <c r="AC33" s="382">
        <v>76479.02</v>
      </c>
      <c r="AD33" s="382">
        <v>14156.4</v>
      </c>
      <c r="AE33" s="382">
        <f t="shared" si="2"/>
        <v>77282.061666666676</v>
      </c>
      <c r="AF33" s="382">
        <f t="shared" si="0"/>
        <v>8305.6374999999989</v>
      </c>
    </row>
    <row r="34" spans="1:32">
      <c r="A34" s="20">
        <v>26</v>
      </c>
      <c r="C34" s="5" t="s">
        <v>1709</v>
      </c>
      <c r="D34" s="5" t="str">
        <f t="shared" si="1"/>
        <v>00038</v>
      </c>
      <c r="E34" s="382">
        <v>109816.96000000001</v>
      </c>
      <c r="F34" s="382">
        <v>18119.98</v>
      </c>
      <c r="G34" s="382">
        <v>106237.48</v>
      </c>
      <c r="H34" s="382">
        <v>14996.24</v>
      </c>
      <c r="I34" s="382">
        <v>106237.48</v>
      </c>
      <c r="J34" s="382">
        <v>15437.130000000001</v>
      </c>
      <c r="K34" s="382">
        <v>106237.48</v>
      </c>
      <c r="L34" s="382">
        <v>15878.02</v>
      </c>
      <c r="M34" s="382">
        <v>106237.48</v>
      </c>
      <c r="N34" s="382">
        <v>16318.91</v>
      </c>
      <c r="O34" s="382">
        <v>106237.48</v>
      </c>
      <c r="P34" s="382">
        <v>16759.8</v>
      </c>
      <c r="Q34" s="382">
        <v>106237.48</v>
      </c>
      <c r="R34" s="382">
        <v>17200.689999999999</v>
      </c>
      <c r="S34" s="382">
        <v>106237.48</v>
      </c>
      <c r="T34" s="382">
        <v>17641.580000000002</v>
      </c>
      <c r="U34" s="382">
        <v>106237.48</v>
      </c>
      <c r="V34" s="382">
        <v>18082.47</v>
      </c>
      <c r="W34" s="382">
        <v>106237.48</v>
      </c>
      <c r="X34" s="382">
        <v>18523.36</v>
      </c>
      <c r="Y34" s="382">
        <v>106237.48</v>
      </c>
      <c r="Z34" s="382">
        <v>18964.25</v>
      </c>
      <c r="AA34" s="382">
        <v>106237.48</v>
      </c>
      <c r="AB34" s="382">
        <v>19405.14</v>
      </c>
      <c r="AC34" s="382">
        <v>106237.48</v>
      </c>
      <c r="AD34" s="382">
        <v>19846.03</v>
      </c>
      <c r="AE34" s="382">
        <f t="shared" si="2"/>
        <v>106386.625</v>
      </c>
      <c r="AF34" s="382">
        <f t="shared" si="0"/>
        <v>17349.216250000001</v>
      </c>
    </row>
    <row r="35" spans="1:32">
      <c r="A35" s="20">
        <v>27</v>
      </c>
      <c r="C35" s="5" t="s">
        <v>1710</v>
      </c>
      <c r="D35" s="5" t="str">
        <f t="shared" si="1"/>
        <v>00038</v>
      </c>
      <c r="E35" s="382">
        <v>134180.20000000001</v>
      </c>
      <c r="F35" s="382">
        <v>94636.51</v>
      </c>
      <c r="G35" s="382">
        <v>134180.20000000001</v>
      </c>
      <c r="H35" s="382">
        <v>94988.73</v>
      </c>
      <c r="I35" s="382">
        <v>134180.20000000001</v>
      </c>
      <c r="J35" s="382">
        <v>95340.95</v>
      </c>
      <c r="K35" s="382">
        <v>134180.20000000001</v>
      </c>
      <c r="L35" s="382">
        <v>95693.17</v>
      </c>
      <c r="M35" s="382">
        <v>134180.20000000001</v>
      </c>
      <c r="N35" s="382">
        <v>96045.39</v>
      </c>
      <c r="O35" s="382">
        <v>134180.20000000001</v>
      </c>
      <c r="P35" s="382">
        <v>96397.61</v>
      </c>
      <c r="Q35" s="382">
        <v>134180.20000000001</v>
      </c>
      <c r="R35" s="382">
        <v>97449.83</v>
      </c>
      <c r="S35" s="382">
        <v>134180.20000000001</v>
      </c>
      <c r="T35" s="382">
        <v>97802.05</v>
      </c>
      <c r="U35" s="382">
        <v>134180.20000000001</v>
      </c>
      <c r="V35" s="382">
        <v>98154.27</v>
      </c>
      <c r="W35" s="382">
        <v>134180.20000000001</v>
      </c>
      <c r="X35" s="382">
        <v>98506.49</v>
      </c>
      <c r="Y35" s="382">
        <v>129342.7</v>
      </c>
      <c r="Z35" s="382">
        <v>94021.21</v>
      </c>
      <c r="AA35" s="382">
        <v>129342.7</v>
      </c>
      <c r="AB35" s="382">
        <v>94360.73</v>
      </c>
      <c r="AC35" s="382">
        <v>129342.7</v>
      </c>
      <c r="AD35" s="382">
        <v>94700.25</v>
      </c>
      <c r="AE35" s="382">
        <f t="shared" si="2"/>
        <v>133172.38749999998</v>
      </c>
      <c r="AF35" s="382">
        <f t="shared" si="0"/>
        <v>96119.067500000005</v>
      </c>
    </row>
    <row r="36" spans="1:32">
      <c r="A36" s="20">
        <v>28</v>
      </c>
      <c r="C36" s="5" t="s">
        <v>1711</v>
      </c>
      <c r="D36" s="5" t="str">
        <f t="shared" si="1"/>
        <v>00038</v>
      </c>
      <c r="E36" s="382">
        <v>3269505.08</v>
      </c>
      <c r="F36" s="382">
        <v>1139452.31</v>
      </c>
      <c r="G36" s="382">
        <v>3268747.02</v>
      </c>
      <c r="H36" s="382">
        <v>1156208.53</v>
      </c>
      <c r="I36" s="382">
        <v>3264607.26</v>
      </c>
      <c r="J36" s="382">
        <v>1172960.8600000001</v>
      </c>
      <c r="K36" s="382">
        <v>3264177.16</v>
      </c>
      <c r="L36" s="382">
        <v>1189691.98</v>
      </c>
      <c r="M36" s="382">
        <v>3171083.53</v>
      </c>
      <c r="N36" s="382">
        <v>1118467.5</v>
      </c>
      <c r="O36" s="382">
        <v>3276918.55</v>
      </c>
      <c r="P36" s="382">
        <v>1145419.3</v>
      </c>
      <c r="Q36" s="382">
        <v>3308036.71</v>
      </c>
      <c r="R36" s="382">
        <v>1162213.51</v>
      </c>
      <c r="S36" s="382">
        <v>3336005.32</v>
      </c>
      <c r="T36" s="382">
        <v>1179167.2</v>
      </c>
      <c r="U36" s="382">
        <v>3401129.25</v>
      </c>
      <c r="V36" s="382">
        <v>1165480.1200000001</v>
      </c>
      <c r="W36" s="382">
        <v>3436589.67</v>
      </c>
      <c r="X36" s="382">
        <v>1180410.9099999999</v>
      </c>
      <c r="Y36" s="382">
        <v>3434686.6</v>
      </c>
      <c r="Z36" s="382">
        <v>1198023.44</v>
      </c>
      <c r="AA36" s="382">
        <v>3311139.81</v>
      </c>
      <c r="AB36" s="382">
        <v>1134439.42</v>
      </c>
      <c r="AC36" s="382">
        <v>3417540.39</v>
      </c>
      <c r="AD36" s="382">
        <v>1151409.01</v>
      </c>
      <c r="AE36" s="382">
        <f t="shared" si="2"/>
        <v>3318053.6345833335</v>
      </c>
      <c r="AF36" s="382">
        <f t="shared" si="0"/>
        <v>1162326.1191666666</v>
      </c>
    </row>
    <row r="37" spans="1:32">
      <c r="A37" s="20">
        <v>29</v>
      </c>
      <c r="C37" s="5" t="s">
        <v>1712</v>
      </c>
      <c r="D37" s="5" t="str">
        <f t="shared" si="1"/>
        <v>00038</v>
      </c>
      <c r="E37" s="382">
        <v>0</v>
      </c>
      <c r="F37" s="382">
        <v>0</v>
      </c>
      <c r="G37" s="382">
        <v>0</v>
      </c>
      <c r="H37" s="382">
        <v>0</v>
      </c>
      <c r="I37" s="382">
        <v>0</v>
      </c>
      <c r="J37" s="382">
        <v>0</v>
      </c>
      <c r="K37" s="382">
        <v>0</v>
      </c>
      <c r="L37" s="382">
        <v>0</v>
      </c>
      <c r="M37" s="382">
        <v>0</v>
      </c>
      <c r="N37" s="382">
        <v>0</v>
      </c>
      <c r="O37" s="382">
        <v>0</v>
      </c>
      <c r="P37" s="382">
        <v>0</v>
      </c>
      <c r="Q37" s="382">
        <v>0</v>
      </c>
      <c r="R37" s="382">
        <v>0</v>
      </c>
      <c r="S37" s="382">
        <v>0</v>
      </c>
      <c r="T37" s="382">
        <v>0</v>
      </c>
      <c r="U37" s="382">
        <v>0</v>
      </c>
      <c r="V37" s="382">
        <v>0</v>
      </c>
      <c r="W37" s="382">
        <v>0</v>
      </c>
      <c r="X37" s="382">
        <v>0</v>
      </c>
      <c r="Y37" s="382">
        <v>0</v>
      </c>
      <c r="Z37" s="382">
        <v>0</v>
      </c>
      <c r="AA37" s="382">
        <v>0</v>
      </c>
      <c r="AB37" s="382">
        <v>0</v>
      </c>
      <c r="AC37" s="382">
        <v>0</v>
      </c>
      <c r="AD37" s="382">
        <v>0</v>
      </c>
      <c r="AE37" s="382">
        <f t="shared" si="2"/>
        <v>0</v>
      </c>
      <c r="AF37" s="382">
        <f t="shared" si="0"/>
        <v>0</v>
      </c>
    </row>
    <row r="38" spans="1:32">
      <c r="A38" s="20">
        <v>30</v>
      </c>
      <c r="C38" s="5" t="s">
        <v>1713</v>
      </c>
      <c r="D38" s="5" t="str">
        <f t="shared" si="1"/>
        <v>00038</v>
      </c>
      <c r="E38" s="382">
        <v>1249569.52</v>
      </c>
      <c r="F38" s="382">
        <v>351955.78</v>
      </c>
      <c r="G38" s="382">
        <v>1235682.6299999999</v>
      </c>
      <c r="H38" s="382">
        <v>341775.95</v>
      </c>
      <c r="I38" s="382">
        <v>1235682.6299999999</v>
      </c>
      <c r="J38" s="382">
        <v>345441.81</v>
      </c>
      <c r="K38" s="382">
        <v>1191740.79</v>
      </c>
      <c r="L38" s="382">
        <v>305165.83</v>
      </c>
      <c r="M38" s="382">
        <v>1191740.79</v>
      </c>
      <c r="N38" s="382">
        <v>308701.33</v>
      </c>
      <c r="O38" s="382">
        <v>1191740.79</v>
      </c>
      <c r="P38" s="382">
        <v>312236.83</v>
      </c>
      <c r="Q38" s="382">
        <v>1242502.31</v>
      </c>
      <c r="R38" s="382">
        <v>315772.33</v>
      </c>
      <c r="S38" s="382">
        <v>1242502.31</v>
      </c>
      <c r="T38" s="382">
        <v>319458.42</v>
      </c>
      <c r="U38" s="382">
        <v>1243203.67</v>
      </c>
      <c r="V38" s="382">
        <v>323144.51</v>
      </c>
      <c r="W38" s="382">
        <v>1245869.3900000001</v>
      </c>
      <c r="X38" s="382">
        <v>326832.68</v>
      </c>
      <c r="Y38" s="382">
        <v>1258973.99</v>
      </c>
      <c r="Z38" s="382">
        <v>330528.76</v>
      </c>
      <c r="AA38" s="382">
        <v>1258973.99</v>
      </c>
      <c r="AB38" s="382">
        <v>334263.72000000003</v>
      </c>
      <c r="AC38" s="382">
        <v>1274963.3900000001</v>
      </c>
      <c r="AD38" s="382">
        <v>337998.68</v>
      </c>
      <c r="AE38" s="382">
        <f t="shared" si="2"/>
        <v>1233406.6454166668</v>
      </c>
      <c r="AF38" s="382">
        <f t="shared" si="0"/>
        <v>325691.61666666676</v>
      </c>
    </row>
    <row r="39" spans="1:32">
      <c r="A39" s="20">
        <v>31</v>
      </c>
      <c r="C39" s="5" t="s">
        <v>1714</v>
      </c>
      <c r="D39" s="5" t="str">
        <f t="shared" si="1"/>
        <v>00038</v>
      </c>
      <c r="E39" s="382">
        <v>762893.03</v>
      </c>
      <c r="F39" s="382">
        <v>-192533.71</v>
      </c>
      <c r="G39" s="382">
        <v>751342.85</v>
      </c>
      <c r="H39" s="382">
        <v>-219726.51</v>
      </c>
      <c r="I39" s="382">
        <v>751342.85</v>
      </c>
      <c r="J39" s="382">
        <v>-216483.21</v>
      </c>
      <c r="K39" s="382">
        <v>751342.85</v>
      </c>
      <c r="L39" s="382">
        <v>-213239.91</v>
      </c>
      <c r="M39" s="382">
        <v>751342.85</v>
      </c>
      <c r="N39" s="382">
        <v>-209996.61000000002</v>
      </c>
      <c r="O39" s="382">
        <v>751342.85</v>
      </c>
      <c r="P39" s="382">
        <v>-206753.31</v>
      </c>
      <c r="Q39" s="382">
        <v>701039.87</v>
      </c>
      <c r="R39" s="382">
        <v>-202135.01</v>
      </c>
      <c r="S39" s="382">
        <v>701039.87</v>
      </c>
      <c r="T39" s="382">
        <v>-199108.85</v>
      </c>
      <c r="U39" s="382">
        <v>682167.97</v>
      </c>
      <c r="V39" s="382">
        <v>-289476.39</v>
      </c>
      <c r="W39" s="382">
        <v>682167.97</v>
      </c>
      <c r="X39" s="382">
        <v>-286531.7</v>
      </c>
      <c r="Y39" s="382">
        <v>668987.59</v>
      </c>
      <c r="Z39" s="382">
        <v>-295567.39</v>
      </c>
      <c r="AA39" s="382">
        <v>668987.59</v>
      </c>
      <c r="AB39" s="382">
        <v>-292679.60000000003</v>
      </c>
      <c r="AC39" s="382">
        <v>668987.59</v>
      </c>
      <c r="AD39" s="382">
        <v>-289041.81</v>
      </c>
      <c r="AE39" s="382">
        <f t="shared" si="2"/>
        <v>714753.78500000003</v>
      </c>
      <c r="AF39" s="382">
        <f t="shared" si="0"/>
        <v>-239373.85416666666</v>
      </c>
    </row>
    <row r="40" spans="1:32">
      <c r="A40" s="20">
        <v>32</v>
      </c>
      <c r="C40" s="5" t="s">
        <v>1715</v>
      </c>
      <c r="D40" s="5" t="str">
        <f t="shared" si="1"/>
        <v>00038</v>
      </c>
      <c r="E40" s="382">
        <v>282215.55</v>
      </c>
      <c r="F40" s="382">
        <v>54221.94</v>
      </c>
      <c r="G40" s="382">
        <v>282215.55</v>
      </c>
      <c r="H40" s="382">
        <v>54955.700000000004</v>
      </c>
      <c r="I40" s="382">
        <v>295144.49</v>
      </c>
      <c r="J40" s="382">
        <v>55689.46</v>
      </c>
      <c r="K40" s="382">
        <v>295264.92</v>
      </c>
      <c r="L40" s="382">
        <v>56456.840000000004</v>
      </c>
      <c r="M40" s="382">
        <v>295264.92</v>
      </c>
      <c r="N40" s="382">
        <v>57224.53</v>
      </c>
      <c r="O40" s="382">
        <v>295264.92</v>
      </c>
      <c r="P40" s="382">
        <v>57992.22</v>
      </c>
      <c r="Q40" s="382">
        <v>295264.92</v>
      </c>
      <c r="R40" s="382">
        <v>58759.91</v>
      </c>
      <c r="S40" s="382">
        <v>295264.92</v>
      </c>
      <c r="T40" s="382">
        <v>59527.6</v>
      </c>
      <c r="U40" s="382">
        <v>295264.92</v>
      </c>
      <c r="V40" s="382">
        <v>60295.29</v>
      </c>
      <c r="W40" s="382">
        <v>278979.77</v>
      </c>
      <c r="X40" s="382">
        <v>50427.83</v>
      </c>
      <c r="Y40" s="382">
        <v>278979.77</v>
      </c>
      <c r="Z40" s="382">
        <v>51153.18</v>
      </c>
      <c r="AA40" s="382">
        <v>278979.77</v>
      </c>
      <c r="AB40" s="382">
        <v>51878.53</v>
      </c>
      <c r="AC40" s="382">
        <v>278979.77</v>
      </c>
      <c r="AD40" s="382">
        <v>52603.880000000005</v>
      </c>
      <c r="AE40" s="382">
        <f t="shared" si="2"/>
        <v>288873.8775</v>
      </c>
      <c r="AF40" s="382">
        <f t="shared" si="0"/>
        <v>55647.833333333343</v>
      </c>
    </row>
    <row r="41" spans="1:32">
      <c r="A41" s="20">
        <v>33</v>
      </c>
      <c r="C41" s="5" t="s">
        <v>1716</v>
      </c>
      <c r="D41" s="5" t="str">
        <f t="shared" si="1"/>
        <v>00038</v>
      </c>
      <c r="E41" s="382">
        <v>190417.76</v>
      </c>
      <c r="F41" s="382">
        <v>88118.38</v>
      </c>
      <c r="G41" s="382">
        <v>190417.76</v>
      </c>
      <c r="H41" s="382">
        <v>88841.97</v>
      </c>
      <c r="I41" s="382">
        <v>190417.76</v>
      </c>
      <c r="J41" s="382">
        <v>89565.56</v>
      </c>
      <c r="K41" s="382">
        <v>190417.76</v>
      </c>
      <c r="L41" s="382">
        <v>90289.150000000009</v>
      </c>
      <c r="M41" s="382">
        <v>190417.76</v>
      </c>
      <c r="N41" s="382">
        <v>91012.74</v>
      </c>
      <c r="O41" s="382">
        <v>190417.76</v>
      </c>
      <c r="P41" s="382">
        <v>91736.33</v>
      </c>
      <c r="Q41" s="382">
        <v>190417.76</v>
      </c>
      <c r="R41" s="382">
        <v>92459.92</v>
      </c>
      <c r="S41" s="382">
        <v>190417.76</v>
      </c>
      <c r="T41" s="382">
        <v>93183.51</v>
      </c>
      <c r="U41" s="382">
        <v>190417.76</v>
      </c>
      <c r="V41" s="382">
        <v>93907.1</v>
      </c>
      <c r="W41" s="382">
        <v>190417.76</v>
      </c>
      <c r="X41" s="382">
        <v>94630.69</v>
      </c>
      <c r="Y41" s="382">
        <v>190417.76</v>
      </c>
      <c r="Z41" s="382">
        <v>95354.28</v>
      </c>
      <c r="AA41" s="382">
        <v>190417.76</v>
      </c>
      <c r="AB41" s="382">
        <v>96077.87</v>
      </c>
      <c r="AC41" s="382">
        <v>190417.76</v>
      </c>
      <c r="AD41" s="382">
        <v>96801.46</v>
      </c>
      <c r="AE41" s="382">
        <f t="shared" si="2"/>
        <v>190417.76</v>
      </c>
      <c r="AF41" s="382">
        <f t="shared" si="0"/>
        <v>92459.92</v>
      </c>
    </row>
    <row r="42" spans="1:32">
      <c r="A42" s="20">
        <v>34</v>
      </c>
      <c r="C42" s="5" t="s">
        <v>1717</v>
      </c>
      <c r="D42" s="5" t="str">
        <f t="shared" si="1"/>
        <v>00038</v>
      </c>
      <c r="E42" s="382">
        <v>277306.52</v>
      </c>
      <c r="F42" s="382">
        <v>16909.22</v>
      </c>
      <c r="G42" s="382">
        <v>275688.77</v>
      </c>
      <c r="H42" s="382">
        <v>17456.77</v>
      </c>
      <c r="I42" s="382">
        <v>275688.77</v>
      </c>
      <c r="J42" s="382">
        <v>19609.439999999999</v>
      </c>
      <c r="K42" s="382">
        <v>275688.77</v>
      </c>
      <c r="L42" s="382">
        <v>21762.11</v>
      </c>
      <c r="M42" s="382">
        <v>275688.77</v>
      </c>
      <c r="N42" s="382">
        <v>23914.78</v>
      </c>
      <c r="O42" s="382">
        <v>275688.77</v>
      </c>
      <c r="P42" s="382">
        <v>26067.45</v>
      </c>
      <c r="Q42" s="382">
        <v>275688.77</v>
      </c>
      <c r="R42" s="382">
        <v>28220.12</v>
      </c>
      <c r="S42" s="382">
        <v>275688.77</v>
      </c>
      <c r="T42" s="382">
        <v>30372.79</v>
      </c>
      <c r="U42" s="382">
        <v>275688.77</v>
      </c>
      <c r="V42" s="382">
        <v>32525.46</v>
      </c>
      <c r="W42" s="382">
        <v>275688.77</v>
      </c>
      <c r="X42" s="382">
        <v>34678.129999999997</v>
      </c>
      <c r="Y42" s="382">
        <v>275688.77</v>
      </c>
      <c r="Z42" s="382">
        <v>36830.800000000003</v>
      </c>
      <c r="AA42" s="382">
        <v>275688.77</v>
      </c>
      <c r="AB42" s="382">
        <v>38983.47</v>
      </c>
      <c r="AC42" s="382">
        <v>295285.8</v>
      </c>
      <c r="AD42" s="382">
        <v>41136.14</v>
      </c>
      <c r="AE42" s="382">
        <f t="shared" si="2"/>
        <v>276572.71916666668</v>
      </c>
      <c r="AF42" s="382">
        <f t="shared" si="0"/>
        <v>28287.000000000004</v>
      </c>
    </row>
    <row r="43" spans="1:32">
      <c r="A43" s="20">
        <v>35</v>
      </c>
      <c r="C43" s="5" t="s">
        <v>1718</v>
      </c>
      <c r="D43" s="5" t="str">
        <f t="shared" si="1"/>
        <v>00038</v>
      </c>
      <c r="E43" s="382">
        <v>739181.59</v>
      </c>
      <c r="F43" s="382">
        <v>610711.89</v>
      </c>
      <c r="G43" s="382">
        <v>739181.59</v>
      </c>
      <c r="H43" s="382">
        <v>610791.97</v>
      </c>
      <c r="I43" s="382">
        <v>739181.59</v>
      </c>
      <c r="J43" s="382">
        <v>610872.05000000005</v>
      </c>
      <c r="K43" s="382">
        <v>742560.91</v>
      </c>
      <c r="L43" s="382">
        <v>610952.13</v>
      </c>
      <c r="M43" s="382">
        <v>742560.91</v>
      </c>
      <c r="N43" s="382">
        <v>611032.57000000007</v>
      </c>
      <c r="O43" s="382">
        <v>742560.91</v>
      </c>
      <c r="P43" s="382">
        <v>611113.01</v>
      </c>
      <c r="Q43" s="382">
        <v>742560.91</v>
      </c>
      <c r="R43" s="382">
        <v>611193.45000000007</v>
      </c>
      <c r="S43" s="382">
        <v>742560.91</v>
      </c>
      <c r="T43" s="382">
        <v>611273.89</v>
      </c>
      <c r="U43" s="382">
        <v>742560.91</v>
      </c>
      <c r="V43" s="382">
        <v>611354.32999999996</v>
      </c>
      <c r="W43" s="382">
        <v>742560.91</v>
      </c>
      <c r="X43" s="382">
        <v>611434.77</v>
      </c>
      <c r="Y43" s="382">
        <v>742560.91</v>
      </c>
      <c r="Z43" s="382">
        <v>611515.21</v>
      </c>
      <c r="AA43" s="382">
        <v>742560.91</v>
      </c>
      <c r="AB43" s="382">
        <v>611595.65</v>
      </c>
      <c r="AC43" s="382">
        <v>742560.91</v>
      </c>
      <c r="AD43" s="382">
        <v>611676.09</v>
      </c>
      <c r="AE43" s="382">
        <f t="shared" si="2"/>
        <v>741856.88500000013</v>
      </c>
      <c r="AF43" s="382">
        <f t="shared" si="0"/>
        <v>611193.58500000008</v>
      </c>
    </row>
    <row r="44" spans="1:32">
      <c r="A44" s="20">
        <v>36</v>
      </c>
      <c r="C44" s="5" t="s">
        <v>1719</v>
      </c>
      <c r="D44" s="5" t="str">
        <f t="shared" si="1"/>
        <v>00038</v>
      </c>
      <c r="E44" s="382">
        <v>116694.26000000001</v>
      </c>
      <c r="F44" s="382">
        <v>67489.430000000008</v>
      </c>
      <c r="G44" s="382">
        <v>116694.26000000001</v>
      </c>
      <c r="H44" s="382">
        <v>68382.14</v>
      </c>
      <c r="I44" s="382">
        <v>116694.26000000001</v>
      </c>
      <c r="J44" s="382">
        <v>69274.850000000006</v>
      </c>
      <c r="K44" s="382">
        <v>116694.26000000001</v>
      </c>
      <c r="L44" s="382">
        <v>70167.56</v>
      </c>
      <c r="M44" s="382">
        <v>116694.26000000001</v>
      </c>
      <c r="N44" s="382">
        <v>71060.27</v>
      </c>
      <c r="O44" s="382">
        <v>116694.26000000001</v>
      </c>
      <c r="P44" s="382">
        <v>71952.98</v>
      </c>
      <c r="Q44" s="382">
        <v>116694.26000000001</v>
      </c>
      <c r="R44" s="382">
        <v>72845.69</v>
      </c>
      <c r="S44" s="382">
        <v>116694.26000000001</v>
      </c>
      <c r="T44" s="382">
        <v>73738.400000000009</v>
      </c>
      <c r="U44" s="382">
        <v>116694.26000000001</v>
      </c>
      <c r="V44" s="382">
        <v>74631.11</v>
      </c>
      <c r="W44" s="382">
        <v>116694.26000000001</v>
      </c>
      <c r="X44" s="382">
        <v>75523.820000000007</v>
      </c>
      <c r="Y44" s="382">
        <v>116694.26000000001</v>
      </c>
      <c r="Z44" s="382">
        <v>76416.53</v>
      </c>
      <c r="AA44" s="382">
        <v>116694.26000000001</v>
      </c>
      <c r="AB44" s="382">
        <v>77309.240000000005</v>
      </c>
      <c r="AC44" s="382">
        <v>116694.26000000001</v>
      </c>
      <c r="AD44" s="382">
        <v>78201.95</v>
      </c>
      <c r="AE44" s="382">
        <f t="shared" si="2"/>
        <v>116694.26000000001</v>
      </c>
      <c r="AF44" s="382">
        <f t="shared" si="0"/>
        <v>72845.69</v>
      </c>
    </row>
    <row r="45" spans="1:32">
      <c r="A45" s="20">
        <v>37</v>
      </c>
      <c r="C45" s="5" t="s">
        <v>1720</v>
      </c>
      <c r="D45" s="5" t="str">
        <f t="shared" si="1"/>
        <v>00038</v>
      </c>
      <c r="E45" s="382">
        <v>7208.81</v>
      </c>
      <c r="F45" s="382">
        <v>-2917.36</v>
      </c>
      <c r="G45" s="382">
        <v>7208.81</v>
      </c>
      <c r="H45" s="382">
        <v>-2854.2200000000003</v>
      </c>
      <c r="I45" s="382">
        <v>7208.81</v>
      </c>
      <c r="J45" s="382">
        <v>-2791.08</v>
      </c>
      <c r="K45" s="382">
        <v>7208.81</v>
      </c>
      <c r="L45" s="382">
        <v>-2727.94</v>
      </c>
      <c r="M45" s="382">
        <v>7208.81</v>
      </c>
      <c r="N45" s="382">
        <v>-2664.8</v>
      </c>
      <c r="O45" s="382">
        <v>7208.81</v>
      </c>
      <c r="P45" s="382">
        <v>-2601.66</v>
      </c>
      <c r="Q45" s="382">
        <v>7208.81</v>
      </c>
      <c r="R45" s="382">
        <v>-2538.52</v>
      </c>
      <c r="S45" s="382">
        <v>7208.81</v>
      </c>
      <c r="T45" s="382">
        <v>-2475.38</v>
      </c>
      <c r="U45" s="382">
        <v>7208.81</v>
      </c>
      <c r="V45" s="382">
        <v>-2412.2400000000002</v>
      </c>
      <c r="W45" s="382">
        <v>7208.81</v>
      </c>
      <c r="X45" s="382">
        <v>-2349.1</v>
      </c>
      <c r="Y45" s="382">
        <v>7208.81</v>
      </c>
      <c r="Z45" s="382">
        <v>-2285.96</v>
      </c>
      <c r="AA45" s="382">
        <v>7208.81</v>
      </c>
      <c r="AB45" s="382">
        <v>-2222.8200000000002</v>
      </c>
      <c r="AC45" s="382">
        <v>7208.81</v>
      </c>
      <c r="AD45" s="382">
        <v>-2159.6799999999998</v>
      </c>
      <c r="AE45" s="382">
        <f t="shared" si="2"/>
        <v>7208.8099999999986</v>
      </c>
      <c r="AF45" s="382">
        <f t="shared" si="0"/>
        <v>-2538.52</v>
      </c>
    </row>
    <row r="46" spans="1:32">
      <c r="A46" s="20">
        <v>38</v>
      </c>
      <c r="B46" s="384" t="s">
        <v>81</v>
      </c>
      <c r="C46" s="385"/>
      <c r="D46" s="384" t="s">
        <v>1721</v>
      </c>
      <c r="E46" s="386">
        <f t="shared" ref="E46:AF46" si="3">SUBTOTAL(9,E10:E45)</f>
        <v>166219892.83000007</v>
      </c>
      <c r="F46" s="386">
        <f t="shared" si="3"/>
        <v>80705966.12000002</v>
      </c>
      <c r="G46" s="386">
        <f t="shared" si="3"/>
        <v>166170977.93000001</v>
      </c>
      <c r="H46" s="386">
        <f t="shared" si="3"/>
        <v>81956066.480000004</v>
      </c>
      <c r="I46" s="386">
        <f t="shared" si="3"/>
        <v>166354838.25999999</v>
      </c>
      <c r="J46" s="386">
        <f t="shared" si="3"/>
        <v>82303533.879999995</v>
      </c>
      <c r="K46" s="386">
        <f t="shared" si="3"/>
        <v>166799471.37999997</v>
      </c>
      <c r="L46" s="386">
        <f t="shared" si="3"/>
        <v>82630691.260000005</v>
      </c>
      <c r="M46" s="386">
        <f t="shared" si="3"/>
        <v>167119466.22999996</v>
      </c>
      <c r="N46" s="386">
        <f t="shared" si="3"/>
        <v>83048741.769999966</v>
      </c>
      <c r="O46" s="386">
        <f t="shared" si="3"/>
        <v>167560879.63</v>
      </c>
      <c r="P46" s="386">
        <f t="shared" si="3"/>
        <v>83473613.359999985</v>
      </c>
      <c r="Q46" s="386">
        <f t="shared" si="3"/>
        <v>168385999.12</v>
      </c>
      <c r="R46" s="386">
        <f t="shared" si="3"/>
        <v>83882596.349999979</v>
      </c>
      <c r="S46" s="386">
        <f t="shared" si="3"/>
        <v>168732643.50999999</v>
      </c>
      <c r="T46" s="386">
        <f t="shared" si="3"/>
        <v>84297028.050000027</v>
      </c>
      <c r="U46" s="386">
        <f t="shared" si="3"/>
        <v>170207593.34999996</v>
      </c>
      <c r="V46" s="386">
        <f t="shared" si="3"/>
        <v>84575659.36999999</v>
      </c>
      <c r="W46" s="386">
        <f t="shared" si="3"/>
        <v>170629891.94999999</v>
      </c>
      <c r="X46" s="386">
        <f t="shared" si="3"/>
        <v>84951612.799999982</v>
      </c>
      <c r="Y46" s="386">
        <f t="shared" si="3"/>
        <v>171151546.11000001</v>
      </c>
      <c r="Z46" s="386">
        <f t="shared" si="3"/>
        <v>85352250.530000001</v>
      </c>
      <c r="AA46" s="386">
        <f t="shared" si="3"/>
        <v>171458875.71000004</v>
      </c>
      <c r="AB46" s="386">
        <f t="shared" si="3"/>
        <v>85685521.460000008</v>
      </c>
      <c r="AC46" s="386">
        <f t="shared" si="3"/>
        <v>173795321.89000002</v>
      </c>
      <c r="AD46" s="386">
        <f t="shared" si="3"/>
        <v>86090834.789999977</v>
      </c>
      <c r="AE46" s="386">
        <f t="shared" si="3"/>
        <v>168714982.54499999</v>
      </c>
      <c r="AF46" s="386">
        <f t="shared" si="3"/>
        <v>83796309.647083312</v>
      </c>
    </row>
    <row r="47" spans="1:32">
      <c r="A47" s="20">
        <v>39</v>
      </c>
      <c r="B47" s="380" t="s">
        <v>107</v>
      </c>
      <c r="C47" s="380" t="s">
        <v>385</v>
      </c>
      <c r="D47" s="387"/>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row>
    <row r="48" spans="1:32">
      <c r="A48" s="20">
        <v>40</v>
      </c>
      <c r="C48" s="5" t="s">
        <v>1722</v>
      </c>
      <c r="D48" s="5" t="str">
        <f>RIGHT(C48,5)</f>
        <v>00048</v>
      </c>
      <c r="E48" s="382">
        <v>138157.95000000001</v>
      </c>
      <c r="F48" s="382">
        <v>138157.97</v>
      </c>
      <c r="G48" s="382">
        <v>138157.95000000001</v>
      </c>
      <c r="H48" s="382">
        <v>138157.97</v>
      </c>
      <c r="I48" s="382">
        <v>138157.95000000001</v>
      </c>
      <c r="J48" s="382">
        <v>138157.97</v>
      </c>
      <c r="K48" s="382">
        <v>138157.95000000001</v>
      </c>
      <c r="L48" s="382">
        <v>138157.97</v>
      </c>
      <c r="M48" s="382">
        <v>138157.95000000001</v>
      </c>
      <c r="N48" s="382">
        <v>138157.97</v>
      </c>
      <c r="O48" s="382">
        <v>138157.95000000001</v>
      </c>
      <c r="P48" s="382">
        <v>138157.97</v>
      </c>
      <c r="Q48" s="382">
        <v>138157.95000000001</v>
      </c>
      <c r="R48" s="382">
        <v>138157.97</v>
      </c>
      <c r="S48" s="382">
        <v>138157.95000000001</v>
      </c>
      <c r="T48" s="382">
        <v>138157.97</v>
      </c>
      <c r="U48" s="382">
        <v>138157.95000000001</v>
      </c>
      <c r="V48" s="382">
        <v>138157.97</v>
      </c>
      <c r="W48" s="382">
        <v>138157.95000000001</v>
      </c>
      <c r="X48" s="382">
        <v>138157.97</v>
      </c>
      <c r="Y48" s="382">
        <v>138157.95000000001</v>
      </c>
      <c r="Z48" s="382">
        <v>138157.97</v>
      </c>
      <c r="AA48" s="382">
        <v>138157.95000000001</v>
      </c>
      <c r="AB48" s="382">
        <v>138157.97</v>
      </c>
      <c r="AC48" s="382">
        <v>138157.95000000001</v>
      </c>
      <c r="AD48" s="382">
        <v>138157.97</v>
      </c>
      <c r="AE48" s="382">
        <f t="shared" ref="AE48:AF88" si="4">+(E48+AC48+(+G48+I48+K48+M48+O48+Q48+S48+U48+W48+Y48+AA48)*2)/24</f>
        <v>138157.94999999998</v>
      </c>
      <c r="AF48" s="382">
        <f t="shared" si="4"/>
        <v>138157.97</v>
      </c>
    </row>
    <row r="49" spans="1:32">
      <c r="A49" s="20">
        <v>41</v>
      </c>
      <c r="C49" s="5" t="s">
        <v>1723</v>
      </c>
      <c r="D49" s="383" t="s">
        <v>1724</v>
      </c>
      <c r="E49" s="382">
        <v>0</v>
      </c>
      <c r="F49" s="382">
        <v>0</v>
      </c>
      <c r="G49" s="382">
        <v>0</v>
      </c>
      <c r="H49" s="382">
        <v>0</v>
      </c>
      <c r="I49" s="382">
        <v>0</v>
      </c>
      <c r="J49" s="382">
        <v>0</v>
      </c>
      <c r="K49" s="382">
        <v>0</v>
      </c>
      <c r="L49" s="382">
        <v>0</v>
      </c>
      <c r="M49" s="382">
        <v>0</v>
      </c>
      <c r="N49" s="382">
        <v>0</v>
      </c>
      <c r="O49" s="382">
        <v>0</v>
      </c>
      <c r="P49" s="382">
        <v>0</v>
      </c>
      <c r="Q49" s="382">
        <v>0</v>
      </c>
      <c r="R49" s="382">
        <v>0</v>
      </c>
      <c r="S49" s="382">
        <v>0</v>
      </c>
      <c r="T49" s="382">
        <v>0</v>
      </c>
      <c r="U49" s="382">
        <v>0</v>
      </c>
      <c r="V49" s="382">
        <v>0</v>
      </c>
      <c r="W49" s="382">
        <v>0</v>
      </c>
      <c r="X49" s="382">
        <v>0</v>
      </c>
      <c r="Y49" s="382">
        <v>0</v>
      </c>
      <c r="Z49" s="382">
        <v>0</v>
      </c>
      <c r="AA49" s="382">
        <v>0</v>
      </c>
      <c r="AB49" s="382">
        <v>0</v>
      </c>
      <c r="AC49" s="382">
        <v>0</v>
      </c>
      <c r="AD49" s="382">
        <v>0</v>
      </c>
      <c r="AE49" s="382">
        <f t="shared" si="4"/>
        <v>0</v>
      </c>
      <c r="AF49" s="382">
        <f t="shared" si="4"/>
        <v>0</v>
      </c>
    </row>
    <row r="50" spans="1:32">
      <c r="A50" s="20">
        <v>42</v>
      </c>
      <c r="C50" s="5" t="s">
        <v>1725</v>
      </c>
      <c r="D50" s="383" t="s">
        <v>1724</v>
      </c>
      <c r="E50" s="382">
        <v>0</v>
      </c>
      <c r="F50" s="382">
        <v>0</v>
      </c>
      <c r="G50" s="382">
        <v>0</v>
      </c>
      <c r="H50" s="382">
        <v>0</v>
      </c>
      <c r="I50" s="382">
        <v>0</v>
      </c>
      <c r="J50" s="382">
        <v>0</v>
      </c>
      <c r="K50" s="382">
        <v>0</v>
      </c>
      <c r="L50" s="382">
        <v>0</v>
      </c>
      <c r="M50" s="382">
        <v>0</v>
      </c>
      <c r="N50" s="382">
        <v>0</v>
      </c>
      <c r="O50" s="382">
        <v>0</v>
      </c>
      <c r="P50" s="382">
        <v>0</v>
      </c>
      <c r="Q50" s="382">
        <v>0</v>
      </c>
      <c r="R50" s="382">
        <v>0</v>
      </c>
      <c r="S50" s="382">
        <v>45037.37</v>
      </c>
      <c r="T50" s="382">
        <v>1876.6000000000001</v>
      </c>
      <c r="U50" s="382">
        <v>45037.37</v>
      </c>
      <c r="V50" s="382">
        <v>1970.43</v>
      </c>
      <c r="W50" s="382">
        <v>45037.37</v>
      </c>
      <c r="X50" s="382">
        <v>2064.2600000000002</v>
      </c>
      <c r="Y50" s="382">
        <v>45037.37</v>
      </c>
      <c r="Z50" s="382">
        <v>2158.09</v>
      </c>
      <c r="AA50" s="382">
        <v>45037.37</v>
      </c>
      <c r="AB50" s="382">
        <v>2251.92</v>
      </c>
      <c r="AC50" s="382">
        <v>45037.37</v>
      </c>
      <c r="AD50" s="382">
        <v>2345.75</v>
      </c>
      <c r="AE50" s="382">
        <f t="shared" si="4"/>
        <v>20642.127916666668</v>
      </c>
      <c r="AF50" s="382">
        <f t="shared" si="4"/>
        <v>957.84791666666672</v>
      </c>
    </row>
    <row r="51" spans="1:32">
      <c r="A51" s="20">
        <v>43</v>
      </c>
      <c r="C51" s="5" t="s">
        <v>1726</v>
      </c>
      <c r="D51" s="383" t="s">
        <v>1724</v>
      </c>
      <c r="E51" s="382">
        <v>0</v>
      </c>
      <c r="F51" s="382">
        <v>0</v>
      </c>
      <c r="G51" s="382">
        <v>0</v>
      </c>
      <c r="H51" s="382">
        <v>0</v>
      </c>
      <c r="I51" s="382">
        <v>0</v>
      </c>
      <c r="J51" s="382">
        <v>0</v>
      </c>
      <c r="K51" s="382">
        <v>0</v>
      </c>
      <c r="L51" s="382">
        <v>0</v>
      </c>
      <c r="M51" s="382">
        <v>0</v>
      </c>
      <c r="N51" s="382">
        <v>0</v>
      </c>
      <c r="O51" s="382">
        <v>0</v>
      </c>
      <c r="P51" s="382">
        <v>0</v>
      </c>
      <c r="Q51" s="382">
        <v>0</v>
      </c>
      <c r="R51" s="382">
        <v>0</v>
      </c>
      <c r="S51" s="382">
        <v>1218966.19</v>
      </c>
      <c r="T51" s="382">
        <v>22371.94</v>
      </c>
      <c r="U51" s="382">
        <v>1218966.19</v>
      </c>
      <c r="V51" s="382">
        <v>24856.100000000002</v>
      </c>
      <c r="W51" s="382">
        <v>1218966.19</v>
      </c>
      <c r="X51" s="382">
        <v>27395.61</v>
      </c>
      <c r="Y51" s="382">
        <v>1218966.19</v>
      </c>
      <c r="Z51" s="382">
        <v>29935.119999999999</v>
      </c>
      <c r="AA51" s="382">
        <v>1218966.19</v>
      </c>
      <c r="AB51" s="382">
        <v>32474.63</v>
      </c>
      <c r="AC51" s="382">
        <v>1218966.19</v>
      </c>
      <c r="AD51" s="382">
        <v>35014.14</v>
      </c>
      <c r="AE51" s="382">
        <f t="shared" si="4"/>
        <v>558692.83708333329</v>
      </c>
      <c r="AF51" s="382">
        <f t="shared" si="4"/>
        <v>12878.372499999999</v>
      </c>
    </row>
    <row r="52" spans="1:32">
      <c r="A52" s="20">
        <v>44</v>
      </c>
      <c r="C52" s="5" t="s">
        <v>1727</v>
      </c>
      <c r="D52" s="5" t="str">
        <f t="shared" ref="D52:D88" si="5">RIGHT(C52,5)</f>
        <v>00048</v>
      </c>
      <c r="E52" s="382">
        <v>1462199.5</v>
      </c>
      <c r="F52" s="382">
        <v>13029.470000000001</v>
      </c>
      <c r="G52" s="382">
        <v>1462199.5</v>
      </c>
      <c r="H52" s="382">
        <v>24932.98</v>
      </c>
      <c r="I52" s="382">
        <v>1462199.5</v>
      </c>
      <c r="J52" s="382">
        <v>36836.5</v>
      </c>
      <c r="K52" s="382">
        <v>1462199.5</v>
      </c>
      <c r="L52" s="382">
        <v>13255.26</v>
      </c>
      <c r="M52" s="382">
        <v>1264003.56</v>
      </c>
      <c r="N52" s="382">
        <v>16301.630000000001</v>
      </c>
      <c r="O52" s="382">
        <v>1264003.56</v>
      </c>
      <c r="P52" s="382">
        <v>18930.740000000002</v>
      </c>
      <c r="Q52" s="382">
        <v>1264003.56</v>
      </c>
      <c r="R52" s="382">
        <v>21559.850000000002</v>
      </c>
      <c r="S52" s="382">
        <v>0</v>
      </c>
      <c r="T52" s="382">
        <v>-55.35</v>
      </c>
      <c r="U52" s="382">
        <v>0</v>
      </c>
      <c r="V52" s="382">
        <v>-55.35</v>
      </c>
      <c r="W52" s="382">
        <v>0</v>
      </c>
      <c r="X52" s="382">
        <v>-55.35</v>
      </c>
      <c r="Y52" s="382">
        <v>0</v>
      </c>
      <c r="Z52" s="382">
        <v>0</v>
      </c>
      <c r="AA52" s="382">
        <v>0</v>
      </c>
      <c r="AB52" s="382">
        <v>0</v>
      </c>
      <c r="AC52" s="382">
        <v>0</v>
      </c>
      <c r="AD52" s="382">
        <v>0</v>
      </c>
      <c r="AE52" s="382">
        <f t="shared" si="4"/>
        <v>742475.74416666676</v>
      </c>
      <c r="AF52" s="382">
        <f t="shared" si="4"/>
        <v>11513.803749999997</v>
      </c>
    </row>
    <row r="53" spans="1:32">
      <c r="A53" s="20">
        <v>45</v>
      </c>
      <c r="C53" s="5" t="s">
        <v>1728</v>
      </c>
      <c r="D53" s="5" t="str">
        <f t="shared" si="5"/>
        <v>00048</v>
      </c>
      <c r="E53" s="382">
        <v>211404.97</v>
      </c>
      <c r="F53" s="382">
        <v>0</v>
      </c>
      <c r="G53" s="382">
        <v>211404.97</v>
      </c>
      <c r="H53" s="382">
        <v>0</v>
      </c>
      <c r="I53" s="382">
        <v>211404.97</v>
      </c>
      <c r="J53" s="382">
        <v>0</v>
      </c>
      <c r="K53" s="382">
        <v>211404.97</v>
      </c>
      <c r="L53" s="382">
        <v>0</v>
      </c>
      <c r="M53" s="382">
        <v>211404.97</v>
      </c>
      <c r="N53" s="382">
        <v>0</v>
      </c>
      <c r="O53" s="382">
        <v>211404.97</v>
      </c>
      <c r="P53" s="382">
        <v>0</v>
      </c>
      <c r="Q53" s="382">
        <v>211404.97</v>
      </c>
      <c r="R53" s="382">
        <v>0</v>
      </c>
      <c r="S53" s="382">
        <v>211404.97</v>
      </c>
      <c r="T53" s="382">
        <v>0</v>
      </c>
      <c r="U53" s="382">
        <v>211404.97</v>
      </c>
      <c r="V53" s="382">
        <v>0</v>
      </c>
      <c r="W53" s="382">
        <v>211404.97</v>
      </c>
      <c r="X53" s="382">
        <v>0</v>
      </c>
      <c r="Y53" s="382">
        <v>211404.97</v>
      </c>
      <c r="Z53" s="382">
        <v>0</v>
      </c>
      <c r="AA53" s="382">
        <v>211404.97</v>
      </c>
      <c r="AB53" s="382">
        <v>0</v>
      </c>
      <c r="AC53" s="382">
        <v>211404.97</v>
      </c>
      <c r="AD53" s="382">
        <v>0</v>
      </c>
      <c r="AE53" s="382">
        <f t="shared" si="4"/>
        <v>211404.97000000006</v>
      </c>
      <c r="AF53" s="382">
        <f t="shared" si="4"/>
        <v>0</v>
      </c>
    </row>
    <row r="54" spans="1:32">
      <c r="A54" s="20">
        <v>46</v>
      </c>
      <c r="C54" s="5" t="s">
        <v>1729</v>
      </c>
      <c r="D54" s="5" t="str">
        <f t="shared" si="5"/>
        <v>00048</v>
      </c>
      <c r="E54" s="382">
        <v>1018396.75</v>
      </c>
      <c r="F54" s="382">
        <v>744741.84</v>
      </c>
      <c r="G54" s="382">
        <v>1018396.75</v>
      </c>
      <c r="H54" s="382">
        <v>746082.73</v>
      </c>
      <c r="I54" s="382">
        <v>1018396.75</v>
      </c>
      <c r="J54" s="382">
        <v>747423.62</v>
      </c>
      <c r="K54" s="382">
        <v>1018396.75</v>
      </c>
      <c r="L54" s="382">
        <v>748764.51</v>
      </c>
      <c r="M54" s="382">
        <v>1018396.75</v>
      </c>
      <c r="N54" s="382">
        <v>750105.4</v>
      </c>
      <c r="O54" s="382">
        <v>1018396.75</v>
      </c>
      <c r="P54" s="382">
        <v>751446.29</v>
      </c>
      <c r="Q54" s="382">
        <v>1018396.75</v>
      </c>
      <c r="R54" s="382">
        <v>752787.18</v>
      </c>
      <c r="S54" s="382">
        <v>1018396.75</v>
      </c>
      <c r="T54" s="382">
        <v>754128.07000000007</v>
      </c>
      <c r="U54" s="382">
        <v>1018396.75</v>
      </c>
      <c r="V54" s="382">
        <v>755468.96</v>
      </c>
      <c r="W54" s="382">
        <v>1018396.75</v>
      </c>
      <c r="X54" s="382">
        <v>756809.85</v>
      </c>
      <c r="Y54" s="382">
        <v>1018396.75</v>
      </c>
      <c r="Z54" s="382">
        <v>758150.74</v>
      </c>
      <c r="AA54" s="382">
        <v>1018396.75</v>
      </c>
      <c r="AB54" s="382">
        <v>759491.63</v>
      </c>
      <c r="AC54" s="382">
        <v>1018396.75</v>
      </c>
      <c r="AD54" s="382">
        <v>760832.52</v>
      </c>
      <c r="AE54" s="382">
        <f t="shared" si="4"/>
        <v>1018396.75</v>
      </c>
      <c r="AF54" s="382">
        <f t="shared" si="4"/>
        <v>752787.18</v>
      </c>
    </row>
    <row r="55" spans="1:32">
      <c r="A55" s="20">
        <v>47</v>
      </c>
      <c r="C55" s="5" t="s">
        <v>1730</v>
      </c>
      <c r="D55" s="5" t="str">
        <f t="shared" si="5"/>
        <v>00048</v>
      </c>
      <c r="E55" s="382">
        <v>15654814.939999999</v>
      </c>
      <c r="F55" s="382">
        <v>10457877.060000001</v>
      </c>
      <c r="G55" s="382">
        <v>15654814.939999999</v>
      </c>
      <c r="H55" s="382">
        <v>10481620.199999999</v>
      </c>
      <c r="I55" s="382">
        <v>15654814.939999999</v>
      </c>
      <c r="J55" s="382">
        <v>10505363.34</v>
      </c>
      <c r="K55" s="382">
        <v>15654814.939999999</v>
      </c>
      <c r="L55" s="382">
        <v>10529106.48</v>
      </c>
      <c r="M55" s="382">
        <v>15655125.16</v>
      </c>
      <c r="N55" s="382">
        <v>10552849.619999999</v>
      </c>
      <c r="O55" s="382">
        <v>15655125.16</v>
      </c>
      <c r="P55" s="382">
        <v>10576593.23</v>
      </c>
      <c r="Q55" s="382">
        <v>15655125.16</v>
      </c>
      <c r="R55" s="382">
        <v>10600336.84</v>
      </c>
      <c r="S55" s="382">
        <v>15655125.16</v>
      </c>
      <c r="T55" s="382">
        <v>10624080.449999999</v>
      </c>
      <c r="U55" s="382">
        <v>15655125.16</v>
      </c>
      <c r="V55" s="382">
        <v>10647824.060000001</v>
      </c>
      <c r="W55" s="382">
        <v>15655125.16</v>
      </c>
      <c r="X55" s="382">
        <v>10671567.67</v>
      </c>
      <c r="Y55" s="382">
        <v>15655125.16</v>
      </c>
      <c r="Z55" s="382">
        <v>10695311.279999999</v>
      </c>
      <c r="AA55" s="382">
        <v>15655125.16</v>
      </c>
      <c r="AB55" s="382">
        <v>10719054.890000001</v>
      </c>
      <c r="AC55" s="382">
        <v>15655125.16</v>
      </c>
      <c r="AD55" s="382">
        <v>10742798.5</v>
      </c>
      <c r="AE55" s="382">
        <f t="shared" si="4"/>
        <v>15655034.679166667</v>
      </c>
      <c r="AF55" s="382">
        <f t="shared" si="4"/>
        <v>10600337.153333334</v>
      </c>
    </row>
    <row r="56" spans="1:32">
      <c r="A56" s="20">
        <v>48</v>
      </c>
      <c r="C56" s="5" t="s">
        <v>1731</v>
      </c>
      <c r="D56" s="5" t="str">
        <f t="shared" si="5"/>
        <v>00048</v>
      </c>
      <c r="E56" s="382">
        <v>156138.81</v>
      </c>
      <c r="F56" s="382">
        <v>164120.37</v>
      </c>
      <c r="G56" s="382">
        <v>156138.81</v>
      </c>
      <c r="H56" s="382">
        <v>164173.71</v>
      </c>
      <c r="I56" s="382">
        <v>156138.81</v>
      </c>
      <c r="J56" s="382">
        <v>164227.05000000002</v>
      </c>
      <c r="K56" s="382">
        <v>156138.81</v>
      </c>
      <c r="L56" s="382">
        <v>164280.39000000001</v>
      </c>
      <c r="M56" s="382">
        <v>156138.81</v>
      </c>
      <c r="N56" s="382">
        <v>164333.73000000001</v>
      </c>
      <c r="O56" s="382">
        <v>156138.81</v>
      </c>
      <c r="P56" s="382">
        <v>164387.07</v>
      </c>
      <c r="Q56" s="382">
        <v>156138.81</v>
      </c>
      <c r="R56" s="382">
        <v>164440.41</v>
      </c>
      <c r="S56" s="382">
        <v>156138.81</v>
      </c>
      <c r="T56" s="382">
        <v>164493.75</v>
      </c>
      <c r="U56" s="382">
        <v>156138.81</v>
      </c>
      <c r="V56" s="382">
        <v>164547.09</v>
      </c>
      <c r="W56" s="382">
        <v>156138.81</v>
      </c>
      <c r="X56" s="382">
        <v>164600.43</v>
      </c>
      <c r="Y56" s="382">
        <v>156138.81</v>
      </c>
      <c r="Z56" s="382">
        <v>164653.76999999999</v>
      </c>
      <c r="AA56" s="382">
        <v>156138.81</v>
      </c>
      <c r="AB56" s="382">
        <v>164707.11000000002</v>
      </c>
      <c r="AC56" s="382">
        <v>156138.81</v>
      </c>
      <c r="AD56" s="382">
        <v>164760.45000000001</v>
      </c>
      <c r="AE56" s="382">
        <f t="shared" si="4"/>
        <v>156138.81000000003</v>
      </c>
      <c r="AF56" s="382">
        <f t="shared" si="4"/>
        <v>164440.41</v>
      </c>
    </row>
    <row r="57" spans="1:32">
      <c r="A57" s="20">
        <v>49</v>
      </c>
      <c r="C57" s="5" t="s">
        <v>1732</v>
      </c>
      <c r="D57" s="5" t="str">
        <f t="shared" si="5"/>
        <v>00048</v>
      </c>
      <c r="E57" s="382">
        <v>1922322.92</v>
      </c>
      <c r="F57" s="382">
        <v>603821.39</v>
      </c>
      <c r="G57" s="382">
        <v>1922322.92</v>
      </c>
      <c r="H57" s="382">
        <v>606833.03</v>
      </c>
      <c r="I57" s="382">
        <v>1922322.92</v>
      </c>
      <c r="J57" s="382">
        <v>609844.67000000004</v>
      </c>
      <c r="K57" s="382">
        <v>1922322.92</v>
      </c>
      <c r="L57" s="382">
        <v>612856.31000000006</v>
      </c>
      <c r="M57" s="382">
        <v>1922322.92</v>
      </c>
      <c r="N57" s="382">
        <v>615867.95000000007</v>
      </c>
      <c r="O57" s="382">
        <v>1922322.92</v>
      </c>
      <c r="P57" s="382">
        <v>618879.59</v>
      </c>
      <c r="Q57" s="382">
        <v>1922322.92</v>
      </c>
      <c r="R57" s="382">
        <v>621891.23</v>
      </c>
      <c r="S57" s="382">
        <v>1922322.92</v>
      </c>
      <c r="T57" s="382">
        <v>624902.87</v>
      </c>
      <c r="U57" s="382">
        <v>1922322.92</v>
      </c>
      <c r="V57" s="382">
        <v>627914.51</v>
      </c>
      <c r="W57" s="382">
        <v>1922322.92</v>
      </c>
      <c r="X57" s="382">
        <v>630926.15</v>
      </c>
      <c r="Y57" s="382">
        <v>1922322.92</v>
      </c>
      <c r="Z57" s="382">
        <v>633937.79</v>
      </c>
      <c r="AA57" s="382">
        <v>1922322.92</v>
      </c>
      <c r="AB57" s="382">
        <v>636949.43000000005</v>
      </c>
      <c r="AC57" s="382">
        <v>1922322.92</v>
      </c>
      <c r="AD57" s="382">
        <v>639961.07000000007</v>
      </c>
      <c r="AE57" s="382">
        <f t="shared" si="4"/>
        <v>1922322.9200000006</v>
      </c>
      <c r="AF57" s="382">
        <f t="shared" si="4"/>
        <v>621891.23</v>
      </c>
    </row>
    <row r="58" spans="1:32">
      <c r="A58" s="20">
        <v>50</v>
      </c>
      <c r="C58" s="5" t="s">
        <v>1733</v>
      </c>
      <c r="D58" s="5" t="str">
        <f t="shared" si="5"/>
        <v>00048</v>
      </c>
      <c r="E58" s="382">
        <v>248393.9</v>
      </c>
      <c r="F58" s="382">
        <v>0</v>
      </c>
      <c r="G58" s="382">
        <v>248393.9</v>
      </c>
      <c r="H58" s="382">
        <v>0</v>
      </c>
      <c r="I58" s="382">
        <v>248393.9</v>
      </c>
      <c r="J58" s="382">
        <v>0</v>
      </c>
      <c r="K58" s="382">
        <v>248393.9</v>
      </c>
      <c r="L58" s="382">
        <v>0</v>
      </c>
      <c r="M58" s="382">
        <v>248393.9</v>
      </c>
      <c r="N58" s="382">
        <v>0</v>
      </c>
      <c r="O58" s="382">
        <v>248393.9</v>
      </c>
      <c r="P58" s="382">
        <v>0</v>
      </c>
      <c r="Q58" s="382">
        <v>248393.9</v>
      </c>
      <c r="R58" s="382">
        <v>0</v>
      </c>
      <c r="S58" s="382">
        <v>248393.9</v>
      </c>
      <c r="T58" s="382">
        <v>0</v>
      </c>
      <c r="U58" s="382">
        <v>248393.9</v>
      </c>
      <c r="V58" s="382">
        <v>0</v>
      </c>
      <c r="W58" s="382">
        <v>248393.9</v>
      </c>
      <c r="X58" s="382">
        <v>0</v>
      </c>
      <c r="Y58" s="382">
        <v>248393.9</v>
      </c>
      <c r="Z58" s="382">
        <v>0</v>
      </c>
      <c r="AA58" s="382">
        <v>248393.9</v>
      </c>
      <c r="AB58" s="382">
        <v>0</v>
      </c>
      <c r="AC58" s="382">
        <v>248393.9</v>
      </c>
      <c r="AD58" s="382">
        <v>0</v>
      </c>
      <c r="AE58" s="382">
        <f t="shared" si="4"/>
        <v>248393.89999999994</v>
      </c>
      <c r="AF58" s="382">
        <f t="shared" si="4"/>
        <v>0</v>
      </c>
    </row>
    <row r="59" spans="1:32">
      <c r="A59" s="20">
        <v>51</v>
      </c>
      <c r="C59" s="5" t="s">
        <v>1734</v>
      </c>
      <c r="D59" s="5" t="str">
        <f t="shared" si="5"/>
        <v>00048</v>
      </c>
      <c r="E59" s="382">
        <v>694595.46</v>
      </c>
      <c r="F59" s="382">
        <v>650729.32000000007</v>
      </c>
      <c r="G59" s="382">
        <v>694595.46</v>
      </c>
      <c r="H59" s="382">
        <v>651435.49</v>
      </c>
      <c r="I59" s="382">
        <v>694595.46</v>
      </c>
      <c r="J59" s="382">
        <v>652141.66</v>
      </c>
      <c r="K59" s="382">
        <v>694595.46</v>
      </c>
      <c r="L59" s="382">
        <v>652847.82999999996</v>
      </c>
      <c r="M59" s="382">
        <v>694595.46</v>
      </c>
      <c r="N59" s="382">
        <v>653554</v>
      </c>
      <c r="O59" s="382">
        <v>694595.46</v>
      </c>
      <c r="P59" s="382">
        <v>654260.17000000004</v>
      </c>
      <c r="Q59" s="382">
        <v>694595.46</v>
      </c>
      <c r="R59" s="382">
        <v>654966.34</v>
      </c>
      <c r="S59" s="382">
        <v>694595.46</v>
      </c>
      <c r="T59" s="382">
        <v>655672.51</v>
      </c>
      <c r="U59" s="382">
        <v>694595.46</v>
      </c>
      <c r="V59" s="382">
        <v>656378.68000000005</v>
      </c>
      <c r="W59" s="382">
        <v>696354.23</v>
      </c>
      <c r="X59" s="382">
        <v>657084.85</v>
      </c>
      <c r="Y59" s="382">
        <v>696354.23</v>
      </c>
      <c r="Z59" s="382">
        <v>657792.81000000006</v>
      </c>
      <c r="AA59" s="382">
        <v>696354.23</v>
      </c>
      <c r="AB59" s="382">
        <v>658500.77</v>
      </c>
      <c r="AC59" s="382">
        <v>696354.23</v>
      </c>
      <c r="AD59" s="382">
        <v>659208.73</v>
      </c>
      <c r="AE59" s="382">
        <f t="shared" si="4"/>
        <v>695108.43458333344</v>
      </c>
      <c r="AF59" s="382">
        <f t="shared" si="4"/>
        <v>654967.01124999998</v>
      </c>
    </row>
    <row r="60" spans="1:32">
      <c r="A60" s="20">
        <v>52</v>
      </c>
      <c r="C60" s="5" t="s">
        <v>1735</v>
      </c>
      <c r="D60" s="5" t="str">
        <f t="shared" si="5"/>
        <v>00048</v>
      </c>
      <c r="E60" s="382">
        <v>116215505.77</v>
      </c>
      <c r="F60" s="382">
        <v>32094891.120000001</v>
      </c>
      <c r="G60" s="382">
        <v>116259430.98999999</v>
      </c>
      <c r="H60" s="382">
        <v>32222265.420000002</v>
      </c>
      <c r="I60" s="382">
        <v>116277062.5</v>
      </c>
      <c r="J60" s="382">
        <v>32333674.149999999</v>
      </c>
      <c r="K60" s="382">
        <v>116554207.98</v>
      </c>
      <c r="L60" s="382">
        <v>32396381.260000002</v>
      </c>
      <c r="M60" s="382">
        <v>116665372.44</v>
      </c>
      <c r="N60" s="382">
        <v>32517791.899999999</v>
      </c>
      <c r="O60" s="382">
        <v>116702608.93000001</v>
      </c>
      <c r="P60" s="382">
        <v>32638396.640000001</v>
      </c>
      <c r="Q60" s="382">
        <v>116465551.87</v>
      </c>
      <c r="R60" s="382">
        <v>32732611.809999999</v>
      </c>
      <c r="S60" s="382">
        <v>118516927.93000001</v>
      </c>
      <c r="T60" s="382">
        <v>32828802.34</v>
      </c>
      <c r="U60" s="382">
        <v>124516793.95</v>
      </c>
      <c r="V60" s="382">
        <v>32952257.469999999</v>
      </c>
      <c r="W60" s="382">
        <v>124078296.61</v>
      </c>
      <c r="X60" s="382">
        <v>33080472.940000001</v>
      </c>
      <c r="Y60" s="382">
        <v>126451082.04000001</v>
      </c>
      <c r="Z60" s="382">
        <v>33178731.600000001</v>
      </c>
      <c r="AA60" s="382">
        <v>126324857.81</v>
      </c>
      <c r="AB60" s="382">
        <v>33300964.210000001</v>
      </c>
      <c r="AC60" s="382">
        <v>126326841.52</v>
      </c>
      <c r="AD60" s="382">
        <v>33409444.109999999</v>
      </c>
      <c r="AE60" s="382">
        <f t="shared" si="4"/>
        <v>120006947.22458334</v>
      </c>
      <c r="AF60" s="382">
        <f t="shared" si="4"/>
        <v>32744543.112916667</v>
      </c>
    </row>
    <row r="61" spans="1:32">
      <c r="A61" s="20">
        <v>53</v>
      </c>
      <c r="C61" s="5" t="s">
        <v>1736</v>
      </c>
      <c r="D61" s="5" t="str">
        <f t="shared" si="5"/>
        <v>00048</v>
      </c>
      <c r="E61" s="382">
        <v>92694639.489999995</v>
      </c>
      <c r="F61" s="382">
        <v>23090891.559999999</v>
      </c>
      <c r="G61" s="382">
        <v>93505603.920000002</v>
      </c>
      <c r="H61" s="382">
        <v>25316342.140000001</v>
      </c>
      <c r="I61" s="382">
        <v>93924843.650000006</v>
      </c>
      <c r="J61" s="382">
        <v>25638157.260000002</v>
      </c>
      <c r="K61" s="382">
        <v>94583057.189999998</v>
      </c>
      <c r="L61" s="382">
        <v>25948415.870000001</v>
      </c>
      <c r="M61" s="382">
        <v>94966403.109999999</v>
      </c>
      <c r="N61" s="382">
        <v>26273333.899999999</v>
      </c>
      <c r="O61" s="382">
        <v>95322795.450000003</v>
      </c>
      <c r="P61" s="382">
        <v>26598699.530000001</v>
      </c>
      <c r="Q61" s="382">
        <v>95672199.230000004</v>
      </c>
      <c r="R61" s="382">
        <v>26918136.309999999</v>
      </c>
      <c r="S61" s="382">
        <v>95834826.640000001</v>
      </c>
      <c r="T61" s="382">
        <v>27245880.219999999</v>
      </c>
      <c r="U61" s="382">
        <v>98464943.840000004</v>
      </c>
      <c r="V61" s="382">
        <v>27557739.870000001</v>
      </c>
      <c r="W61" s="382">
        <v>100022193.33</v>
      </c>
      <c r="X61" s="382">
        <v>27895510.469999999</v>
      </c>
      <c r="Y61" s="382">
        <v>101207971.86</v>
      </c>
      <c r="Z61" s="382">
        <v>28236406.899999999</v>
      </c>
      <c r="AA61" s="382">
        <v>101647106.15000001</v>
      </c>
      <c r="AB61" s="382">
        <v>28577764.199999999</v>
      </c>
      <c r="AC61" s="382">
        <v>104034895.53</v>
      </c>
      <c r="AD61" s="382">
        <v>28925627.489999998</v>
      </c>
      <c r="AE61" s="382">
        <f t="shared" si="4"/>
        <v>96959725.99000001</v>
      </c>
      <c r="AF61" s="382">
        <f t="shared" si="4"/>
        <v>26851220.516249999</v>
      </c>
    </row>
    <row r="62" spans="1:32">
      <c r="A62" s="20">
        <v>54</v>
      </c>
      <c r="C62" s="5" t="s">
        <v>1737</v>
      </c>
      <c r="D62" s="5" t="str">
        <f t="shared" si="5"/>
        <v>00048</v>
      </c>
      <c r="E62" s="382">
        <v>104619049.14</v>
      </c>
      <c r="F62" s="382">
        <v>77976433.870000005</v>
      </c>
      <c r="G62" s="382">
        <v>104881883.69</v>
      </c>
      <c r="H62" s="382">
        <v>78141018.370000005</v>
      </c>
      <c r="I62" s="382">
        <v>104901019.84999999</v>
      </c>
      <c r="J62" s="382">
        <v>78311095.030000001</v>
      </c>
      <c r="K62" s="382">
        <v>105286077.40000001</v>
      </c>
      <c r="L62" s="382">
        <v>78288688.239999995</v>
      </c>
      <c r="M62" s="382">
        <v>105312542.72</v>
      </c>
      <c r="N62" s="382">
        <v>78478882.959999993</v>
      </c>
      <c r="O62" s="382">
        <v>105514592.22</v>
      </c>
      <c r="P62" s="382">
        <v>78646841.200000003</v>
      </c>
      <c r="Q62" s="382">
        <v>106209913.69</v>
      </c>
      <c r="R62" s="382">
        <v>78604607.079999998</v>
      </c>
      <c r="S62" s="382">
        <v>106513976.93000001</v>
      </c>
      <c r="T62" s="382">
        <v>78786803.459999993</v>
      </c>
      <c r="U62" s="382">
        <v>106817882.7</v>
      </c>
      <c r="V62" s="382">
        <v>78940495.859999999</v>
      </c>
      <c r="W62" s="382">
        <v>108232058.02</v>
      </c>
      <c r="X62" s="382">
        <v>79115075.980000004</v>
      </c>
      <c r="Y62" s="382">
        <v>109521330.18000001</v>
      </c>
      <c r="Z62" s="382">
        <v>79301282.829999998</v>
      </c>
      <c r="AA62" s="382">
        <v>109710368.93000001</v>
      </c>
      <c r="AB62" s="382">
        <v>79470161.739999995</v>
      </c>
      <c r="AC62" s="382">
        <v>111111541.59</v>
      </c>
      <c r="AD62" s="382">
        <v>79550518.760000005</v>
      </c>
      <c r="AE62" s="382">
        <f t="shared" si="4"/>
        <v>106730578.47458334</v>
      </c>
      <c r="AF62" s="382">
        <f t="shared" si="4"/>
        <v>78737369.088750005</v>
      </c>
    </row>
    <row r="63" spans="1:32">
      <c r="A63" s="20">
        <v>55</v>
      </c>
      <c r="C63" s="5" t="s">
        <v>1738</v>
      </c>
      <c r="D63" s="5" t="str">
        <f t="shared" si="5"/>
        <v>00048</v>
      </c>
      <c r="E63" s="382">
        <v>2097766.77</v>
      </c>
      <c r="F63" s="382">
        <v>1351826.1</v>
      </c>
      <c r="G63" s="382">
        <v>2097766.77</v>
      </c>
      <c r="H63" s="382">
        <v>1354937.79</v>
      </c>
      <c r="I63" s="382">
        <v>2097766.77</v>
      </c>
      <c r="J63" s="382">
        <v>1358049.48</v>
      </c>
      <c r="K63" s="382">
        <v>2097766.77</v>
      </c>
      <c r="L63" s="382">
        <v>1361161.17</v>
      </c>
      <c r="M63" s="382">
        <v>2097766.77</v>
      </c>
      <c r="N63" s="382">
        <v>1364272.8599999999</v>
      </c>
      <c r="O63" s="382">
        <v>2097766.77</v>
      </c>
      <c r="P63" s="382">
        <v>1367384.55</v>
      </c>
      <c r="Q63" s="382">
        <v>2097766.77</v>
      </c>
      <c r="R63" s="382">
        <v>1370496.24</v>
      </c>
      <c r="S63" s="382">
        <v>2097766.77</v>
      </c>
      <c r="T63" s="382">
        <v>1373607.93</v>
      </c>
      <c r="U63" s="382">
        <v>2097766.77</v>
      </c>
      <c r="V63" s="382">
        <v>1376719.62</v>
      </c>
      <c r="W63" s="382">
        <v>2097766.77</v>
      </c>
      <c r="X63" s="382">
        <v>1379831.31</v>
      </c>
      <c r="Y63" s="382">
        <v>2097766.77</v>
      </c>
      <c r="Z63" s="382">
        <v>1382943</v>
      </c>
      <c r="AA63" s="382">
        <v>2097766.77</v>
      </c>
      <c r="AB63" s="382">
        <v>1386054.69</v>
      </c>
      <c r="AC63" s="382">
        <v>2097766.77</v>
      </c>
      <c r="AD63" s="382">
        <v>1389166.38</v>
      </c>
      <c r="AE63" s="382">
        <f t="shared" si="4"/>
        <v>2097766.77</v>
      </c>
      <c r="AF63" s="382">
        <f t="shared" si="4"/>
        <v>1370496.24</v>
      </c>
    </row>
    <row r="64" spans="1:32">
      <c r="A64" s="20">
        <v>56</v>
      </c>
      <c r="C64" s="5" t="s">
        <v>1739</v>
      </c>
      <c r="D64" s="5" t="str">
        <f t="shared" si="5"/>
        <v>00048</v>
      </c>
      <c r="E64" s="382">
        <v>17272773.109999999</v>
      </c>
      <c r="F64" s="382">
        <v>5498340.7800000003</v>
      </c>
      <c r="G64" s="382">
        <v>17266225.050000001</v>
      </c>
      <c r="H64" s="382">
        <v>5498798.8300000001</v>
      </c>
      <c r="I64" s="382">
        <v>17285504.41</v>
      </c>
      <c r="J64" s="382">
        <v>5526293.1600000001</v>
      </c>
      <c r="K64" s="382">
        <v>17593191.02</v>
      </c>
      <c r="L64" s="382">
        <v>5528884.4400000004</v>
      </c>
      <c r="M64" s="382">
        <v>19002153.670000002</v>
      </c>
      <c r="N64" s="382">
        <v>5550117.21</v>
      </c>
      <c r="O64" s="382">
        <v>18627223.870000001</v>
      </c>
      <c r="P64" s="382">
        <v>5600586.04</v>
      </c>
      <c r="Q64" s="382">
        <v>18642629.920000002</v>
      </c>
      <c r="R64" s="382">
        <v>5608774.54</v>
      </c>
      <c r="S64" s="382">
        <v>18649072.68</v>
      </c>
      <c r="T64" s="382">
        <v>5587676.0600000005</v>
      </c>
      <c r="U64" s="382">
        <v>18939081.23</v>
      </c>
      <c r="V64" s="382">
        <v>5608120.0999999996</v>
      </c>
      <c r="W64" s="382">
        <v>19089181.18</v>
      </c>
      <c r="X64" s="382">
        <v>5633017.4299999997</v>
      </c>
      <c r="Y64" s="382">
        <v>19094039.09</v>
      </c>
      <c r="Z64" s="382">
        <v>5646871.7699999996</v>
      </c>
      <c r="AA64" s="382">
        <v>19160722.449999999</v>
      </c>
      <c r="AB64" s="382">
        <v>5668925.6799999997</v>
      </c>
      <c r="AC64" s="382">
        <v>19408480.73</v>
      </c>
      <c r="AD64" s="382">
        <v>5699582.8399999999</v>
      </c>
      <c r="AE64" s="382">
        <f t="shared" si="4"/>
        <v>18474137.624166667</v>
      </c>
      <c r="AF64" s="382">
        <f t="shared" si="4"/>
        <v>5588085.5891666664</v>
      </c>
    </row>
    <row r="65" spans="1:32">
      <c r="A65" s="20">
        <v>57</v>
      </c>
      <c r="C65" s="5" t="s">
        <v>1740</v>
      </c>
      <c r="D65" s="5" t="str">
        <f t="shared" si="5"/>
        <v>00048</v>
      </c>
      <c r="E65" s="382">
        <v>96653910.25</v>
      </c>
      <c r="F65" s="382">
        <v>35585124.18</v>
      </c>
      <c r="G65" s="382">
        <v>97100135.989999995</v>
      </c>
      <c r="H65" s="382">
        <v>37759252.689999998</v>
      </c>
      <c r="I65" s="382">
        <v>97678453.129999995</v>
      </c>
      <c r="J65" s="382">
        <v>38068092.109999999</v>
      </c>
      <c r="K65" s="382">
        <v>98245523.709999993</v>
      </c>
      <c r="L65" s="382">
        <v>38332157.579999998</v>
      </c>
      <c r="M65" s="382">
        <v>98572544.659999996</v>
      </c>
      <c r="N65" s="382">
        <v>38643447.859999999</v>
      </c>
      <c r="O65" s="382">
        <v>99114618.930000007</v>
      </c>
      <c r="P65" s="382">
        <v>38954957.719999999</v>
      </c>
      <c r="Q65" s="382">
        <v>99721922.590000004</v>
      </c>
      <c r="R65" s="382">
        <v>39261725.060000002</v>
      </c>
      <c r="S65" s="382">
        <v>100039472.84999999</v>
      </c>
      <c r="T65" s="382">
        <v>39572790.329999998</v>
      </c>
      <c r="U65" s="382">
        <v>100674248.29000001</v>
      </c>
      <c r="V65" s="382">
        <v>39876481.789999999</v>
      </c>
      <c r="W65" s="382">
        <v>101124838.45</v>
      </c>
      <c r="X65" s="382">
        <v>40196912.469999999</v>
      </c>
      <c r="Y65" s="382">
        <v>101601738.56</v>
      </c>
      <c r="Z65" s="382">
        <v>40518400.5</v>
      </c>
      <c r="AA65" s="382">
        <v>102045253.23999999</v>
      </c>
      <c r="AB65" s="382">
        <v>40834111.810000002</v>
      </c>
      <c r="AC65" s="382">
        <v>103118408.27</v>
      </c>
      <c r="AD65" s="382">
        <v>41126803.579999998</v>
      </c>
      <c r="AE65" s="382">
        <f t="shared" si="4"/>
        <v>99650409.138333336</v>
      </c>
      <c r="AF65" s="382">
        <f t="shared" si="4"/>
        <v>39197857.81666667</v>
      </c>
    </row>
    <row r="66" spans="1:32">
      <c r="A66" s="20">
        <v>58</v>
      </c>
      <c r="C66" s="5" t="s">
        <v>1741</v>
      </c>
      <c r="D66" s="5" t="str">
        <f t="shared" si="5"/>
        <v>00048</v>
      </c>
      <c r="E66" s="382">
        <v>62682144.079999998</v>
      </c>
      <c r="F66" s="382">
        <v>90197398.549999997</v>
      </c>
      <c r="G66" s="382">
        <v>62676251.93</v>
      </c>
      <c r="H66" s="382">
        <v>90308243.879999995</v>
      </c>
      <c r="I66" s="382">
        <v>62671819.130000003</v>
      </c>
      <c r="J66" s="382">
        <v>90424601.980000004</v>
      </c>
      <c r="K66" s="382">
        <v>62631056.32</v>
      </c>
      <c r="L66" s="382">
        <v>90416027.969999999</v>
      </c>
      <c r="M66" s="382">
        <v>62635881.340000004</v>
      </c>
      <c r="N66" s="382">
        <v>90550565.489999995</v>
      </c>
      <c r="O66" s="382">
        <v>62655086.25</v>
      </c>
      <c r="P66" s="382">
        <v>90682565.650000006</v>
      </c>
      <c r="Q66" s="382">
        <v>62601366.740000002</v>
      </c>
      <c r="R66" s="382">
        <v>90751438.930000007</v>
      </c>
      <c r="S66" s="382">
        <v>62593850.630000003</v>
      </c>
      <c r="T66" s="382">
        <v>90867785.560000002</v>
      </c>
      <c r="U66" s="382">
        <v>62579065.420000002</v>
      </c>
      <c r="V66" s="382">
        <v>90958949.069999993</v>
      </c>
      <c r="W66" s="382">
        <v>62517414.43</v>
      </c>
      <c r="X66" s="382">
        <v>90893055.010000005</v>
      </c>
      <c r="Y66" s="382">
        <v>62498182.07</v>
      </c>
      <c r="Z66" s="382">
        <v>91001452.140000001</v>
      </c>
      <c r="AA66" s="382">
        <v>62511307.030000001</v>
      </c>
      <c r="AB66" s="382">
        <v>91089817.930000007</v>
      </c>
      <c r="AC66" s="382">
        <v>62481619.82</v>
      </c>
      <c r="AD66" s="382">
        <v>91189844.709999993</v>
      </c>
      <c r="AE66" s="382">
        <f t="shared" si="4"/>
        <v>62596096.936666675</v>
      </c>
      <c r="AF66" s="382">
        <f t="shared" si="4"/>
        <v>90719843.769999981</v>
      </c>
    </row>
    <row r="67" spans="1:32">
      <c r="A67" s="20">
        <v>59</v>
      </c>
      <c r="C67" s="5" t="s">
        <v>1742</v>
      </c>
      <c r="D67" s="5" t="str">
        <f t="shared" si="5"/>
        <v>00048</v>
      </c>
      <c r="E67" s="382">
        <v>0</v>
      </c>
      <c r="F67" s="382">
        <v>0.01</v>
      </c>
      <c r="G67" s="382">
        <v>0</v>
      </c>
      <c r="H67" s="382">
        <v>0</v>
      </c>
      <c r="I67" s="382">
        <v>0</v>
      </c>
      <c r="J67" s="382">
        <v>0</v>
      </c>
      <c r="K67" s="382">
        <v>0</v>
      </c>
      <c r="L67" s="382">
        <v>0</v>
      </c>
      <c r="M67" s="382">
        <v>84.22</v>
      </c>
      <c r="N67" s="382">
        <v>0</v>
      </c>
      <c r="O67" s="382">
        <v>266.74</v>
      </c>
      <c r="P67" s="382">
        <v>0</v>
      </c>
      <c r="Q67" s="382">
        <v>8.2900000000000009</v>
      </c>
      <c r="R67" s="382">
        <v>0</v>
      </c>
      <c r="S67" s="382">
        <v>8.2900000000000009</v>
      </c>
      <c r="T67" s="382">
        <v>0</v>
      </c>
      <c r="U67" s="382">
        <v>8.2900000000000009</v>
      </c>
      <c r="V67" s="382">
        <v>0</v>
      </c>
      <c r="W67" s="382">
        <v>0</v>
      </c>
      <c r="X67" s="382">
        <v>0</v>
      </c>
      <c r="Y67" s="382">
        <v>0</v>
      </c>
      <c r="Z67" s="382">
        <v>0</v>
      </c>
      <c r="AA67" s="382">
        <v>0</v>
      </c>
      <c r="AB67" s="382">
        <v>0</v>
      </c>
      <c r="AC67" s="382">
        <v>0</v>
      </c>
      <c r="AD67" s="382">
        <v>0</v>
      </c>
      <c r="AE67" s="382">
        <f t="shared" si="4"/>
        <v>31.319166666666675</v>
      </c>
      <c r="AF67" s="382">
        <f t="shared" si="4"/>
        <v>4.1666666666666669E-4</v>
      </c>
    </row>
    <row r="68" spans="1:32">
      <c r="A68" s="20">
        <v>60</v>
      </c>
      <c r="C68" s="5" t="s">
        <v>1743</v>
      </c>
      <c r="D68" s="5" t="str">
        <f t="shared" si="5"/>
        <v>00048</v>
      </c>
      <c r="E68" s="382">
        <v>22396766.760000002</v>
      </c>
      <c r="F68" s="382">
        <v>10064163.189999999</v>
      </c>
      <c r="G68" s="382">
        <v>22422726.420000002</v>
      </c>
      <c r="H68" s="382">
        <v>10089605.369999999</v>
      </c>
      <c r="I68" s="382">
        <v>22477744.91</v>
      </c>
      <c r="J68" s="382">
        <v>10123556.560000001</v>
      </c>
      <c r="K68" s="382">
        <v>22505631.300000001</v>
      </c>
      <c r="L68" s="382">
        <v>10156190.449999999</v>
      </c>
      <c r="M68" s="382">
        <v>22545845.949999999</v>
      </c>
      <c r="N68" s="382">
        <v>10188689.130000001</v>
      </c>
      <c r="O68" s="382">
        <v>22563095.640000001</v>
      </c>
      <c r="P68" s="382">
        <v>10216471.189999999</v>
      </c>
      <c r="Q68" s="382">
        <v>22573355.190000001</v>
      </c>
      <c r="R68" s="382">
        <v>10242765.01</v>
      </c>
      <c r="S68" s="382">
        <v>22601346.260000002</v>
      </c>
      <c r="T68" s="382">
        <v>10271850.640000001</v>
      </c>
      <c r="U68" s="382">
        <v>22639692.629999999</v>
      </c>
      <c r="V68" s="382">
        <v>10303384.59</v>
      </c>
      <c r="W68" s="382">
        <v>22684900.82</v>
      </c>
      <c r="X68" s="382">
        <v>10337027.880000001</v>
      </c>
      <c r="Y68" s="382">
        <v>22735612.050000001</v>
      </c>
      <c r="Z68" s="382">
        <v>10371238.060000001</v>
      </c>
      <c r="AA68" s="382">
        <v>22771682.199999999</v>
      </c>
      <c r="AB68" s="382">
        <v>10392819.869999999</v>
      </c>
      <c r="AC68" s="382">
        <v>22894603.239999998</v>
      </c>
      <c r="AD68" s="382">
        <v>10424710.199999999</v>
      </c>
      <c r="AE68" s="382">
        <f t="shared" si="4"/>
        <v>22597276.530833334</v>
      </c>
      <c r="AF68" s="382">
        <f t="shared" si="4"/>
        <v>10244836.287083333</v>
      </c>
    </row>
    <row r="69" spans="1:32">
      <c r="A69" s="20">
        <v>61</v>
      </c>
      <c r="C69" s="5" t="s">
        <v>1744</v>
      </c>
      <c r="D69" s="5" t="str">
        <f t="shared" si="5"/>
        <v>00048</v>
      </c>
      <c r="E69" s="382">
        <v>7893079.4900000002</v>
      </c>
      <c r="F69" s="382">
        <v>3461142.49</v>
      </c>
      <c r="G69" s="382">
        <v>7898819.6699999999</v>
      </c>
      <c r="H69" s="382">
        <v>3475341.77</v>
      </c>
      <c r="I69" s="382">
        <v>7906988.7000000002</v>
      </c>
      <c r="J69" s="382">
        <v>3489691.29</v>
      </c>
      <c r="K69" s="382">
        <v>7906423.9800000004</v>
      </c>
      <c r="L69" s="382">
        <v>3501688.89</v>
      </c>
      <c r="M69" s="382">
        <v>7952697.8499999996</v>
      </c>
      <c r="N69" s="382">
        <v>3516639.6</v>
      </c>
      <c r="O69" s="382">
        <v>7955859.4000000004</v>
      </c>
      <c r="P69" s="382">
        <v>3531263.85</v>
      </c>
      <c r="Q69" s="382">
        <v>7970526.0099999998</v>
      </c>
      <c r="R69" s="382">
        <v>3546255.4</v>
      </c>
      <c r="S69" s="382">
        <v>7983826.5</v>
      </c>
      <c r="T69" s="382">
        <v>3564945.13</v>
      </c>
      <c r="U69" s="382">
        <v>7993577.25</v>
      </c>
      <c r="V69" s="382">
        <v>3563768.7199999997</v>
      </c>
      <c r="W69" s="382">
        <v>8053174.6200000001</v>
      </c>
      <c r="X69" s="382">
        <v>3570588.37</v>
      </c>
      <c r="Y69" s="382">
        <v>8107872.7300000004</v>
      </c>
      <c r="Z69" s="382">
        <v>3585218.3</v>
      </c>
      <c r="AA69" s="382">
        <v>8155184.9199999999</v>
      </c>
      <c r="AB69" s="382">
        <v>3608551.79</v>
      </c>
      <c r="AC69" s="382">
        <v>8205835.1900000004</v>
      </c>
      <c r="AD69" s="382">
        <v>3618348.63</v>
      </c>
      <c r="AE69" s="382">
        <f t="shared" si="4"/>
        <v>7994534.0808333345</v>
      </c>
      <c r="AF69" s="382">
        <f t="shared" si="4"/>
        <v>3541141.5558333336</v>
      </c>
    </row>
    <row r="70" spans="1:32">
      <c r="A70" s="20">
        <v>62</v>
      </c>
      <c r="C70" s="5" t="s">
        <v>1745</v>
      </c>
      <c r="D70" s="5" t="str">
        <f t="shared" si="5"/>
        <v>00048</v>
      </c>
      <c r="E70" s="382">
        <v>0</v>
      </c>
      <c r="F70" s="382">
        <v>-305.76</v>
      </c>
      <c r="G70" s="382">
        <v>0</v>
      </c>
      <c r="H70" s="382">
        <v>-305.76</v>
      </c>
      <c r="I70" s="382">
        <v>0</v>
      </c>
      <c r="J70" s="382">
        <v>-305.76</v>
      </c>
      <c r="K70" s="382">
        <v>0</v>
      </c>
      <c r="L70" s="382">
        <v>-305.76</v>
      </c>
      <c r="M70" s="382">
        <v>0</v>
      </c>
      <c r="N70" s="382">
        <v>-305.76</v>
      </c>
      <c r="O70" s="382">
        <v>0</v>
      </c>
      <c r="P70" s="382">
        <v>-305.76</v>
      </c>
      <c r="Q70" s="382">
        <v>0</v>
      </c>
      <c r="R70" s="382">
        <v>-305.76</v>
      </c>
      <c r="S70" s="382">
        <v>0</v>
      </c>
      <c r="T70" s="382">
        <v>-305.76</v>
      </c>
      <c r="U70" s="382">
        <v>0</v>
      </c>
      <c r="V70" s="382">
        <v>-305.76</v>
      </c>
      <c r="W70" s="382">
        <v>0</v>
      </c>
      <c r="X70" s="382">
        <v>-305.76</v>
      </c>
      <c r="Y70" s="382">
        <v>0</v>
      </c>
      <c r="Z70" s="382">
        <v>-305.76</v>
      </c>
      <c r="AA70" s="382">
        <v>0</v>
      </c>
      <c r="AB70" s="382">
        <v>-305.76</v>
      </c>
      <c r="AC70" s="382">
        <v>0</v>
      </c>
      <c r="AD70" s="382">
        <v>-305.76</v>
      </c>
      <c r="AE70" s="382">
        <f t="shared" si="4"/>
        <v>0</v>
      </c>
      <c r="AF70" s="382">
        <f t="shared" si="4"/>
        <v>-305.76000000000005</v>
      </c>
    </row>
    <row r="71" spans="1:32">
      <c r="A71" s="20">
        <v>63</v>
      </c>
      <c r="C71" s="5" t="s">
        <v>1746</v>
      </c>
      <c r="D71" s="5" t="str">
        <f t="shared" si="5"/>
        <v>00048</v>
      </c>
      <c r="E71" s="382">
        <v>2020069.02</v>
      </c>
      <c r="F71" s="382">
        <v>0</v>
      </c>
      <c r="G71" s="382">
        <v>2020069.02</v>
      </c>
      <c r="H71" s="382">
        <v>0</v>
      </c>
      <c r="I71" s="382">
        <v>2020069.02</v>
      </c>
      <c r="J71" s="382">
        <v>0</v>
      </c>
      <c r="K71" s="382">
        <v>2020069.02</v>
      </c>
      <c r="L71" s="382">
        <v>0</v>
      </c>
      <c r="M71" s="382">
        <v>2020069.02</v>
      </c>
      <c r="N71" s="382">
        <v>0</v>
      </c>
      <c r="O71" s="382">
        <v>2020069.02</v>
      </c>
      <c r="P71" s="382">
        <v>0</v>
      </c>
      <c r="Q71" s="382">
        <v>2020069.02</v>
      </c>
      <c r="R71" s="382">
        <v>0</v>
      </c>
      <c r="S71" s="382">
        <v>2020069.02</v>
      </c>
      <c r="T71" s="382">
        <v>0</v>
      </c>
      <c r="U71" s="382">
        <v>2020069.02</v>
      </c>
      <c r="V71" s="382">
        <v>0</v>
      </c>
      <c r="W71" s="382">
        <v>2020069.02</v>
      </c>
      <c r="X71" s="382">
        <v>0</v>
      </c>
      <c r="Y71" s="382">
        <v>2020069.02</v>
      </c>
      <c r="Z71" s="382">
        <v>0</v>
      </c>
      <c r="AA71" s="382">
        <v>2020069.02</v>
      </c>
      <c r="AB71" s="382">
        <v>0</v>
      </c>
      <c r="AC71" s="382">
        <v>2020069.02</v>
      </c>
      <c r="AD71" s="382">
        <v>0</v>
      </c>
      <c r="AE71" s="382">
        <f t="shared" si="4"/>
        <v>2020069.0199999998</v>
      </c>
      <c r="AF71" s="382">
        <f t="shared" si="4"/>
        <v>0</v>
      </c>
    </row>
    <row r="72" spans="1:32">
      <c r="A72" s="20">
        <v>64</v>
      </c>
      <c r="C72" s="5" t="s">
        <v>1747</v>
      </c>
      <c r="D72" s="5" t="str">
        <f t="shared" si="5"/>
        <v>00048</v>
      </c>
      <c r="E72" s="382">
        <v>0</v>
      </c>
      <c r="F72" s="382">
        <v>4703.88</v>
      </c>
      <c r="G72" s="382">
        <v>0</v>
      </c>
      <c r="H72" s="382">
        <v>4703.88</v>
      </c>
      <c r="I72" s="382">
        <v>0</v>
      </c>
      <c r="J72" s="382">
        <v>4703.88</v>
      </c>
      <c r="K72" s="382">
        <v>0</v>
      </c>
      <c r="L72" s="382">
        <v>4703.88</v>
      </c>
      <c r="M72" s="382">
        <v>0</v>
      </c>
      <c r="N72" s="382">
        <v>4703.88</v>
      </c>
      <c r="O72" s="382">
        <v>0</v>
      </c>
      <c r="P72" s="382">
        <v>4703.88</v>
      </c>
      <c r="Q72" s="382">
        <v>7933.28</v>
      </c>
      <c r="R72" s="382">
        <v>4703.88</v>
      </c>
      <c r="S72" s="382">
        <v>7933.28</v>
      </c>
      <c r="T72" s="382">
        <v>4703.88</v>
      </c>
      <c r="U72" s="382">
        <v>7933.28</v>
      </c>
      <c r="V72" s="382">
        <v>4703.88</v>
      </c>
      <c r="W72" s="382">
        <v>7933.28</v>
      </c>
      <c r="X72" s="382">
        <v>4703.88</v>
      </c>
      <c r="Y72" s="382">
        <v>7933.28</v>
      </c>
      <c r="Z72" s="382">
        <v>4703.88</v>
      </c>
      <c r="AA72" s="382">
        <v>7933.28</v>
      </c>
      <c r="AB72" s="382">
        <v>4703.88</v>
      </c>
      <c r="AC72" s="382">
        <v>7933.28</v>
      </c>
      <c r="AD72" s="382">
        <v>4703.88</v>
      </c>
      <c r="AE72" s="382">
        <f t="shared" si="4"/>
        <v>4297.1933333333336</v>
      </c>
      <c r="AF72" s="382">
        <f t="shared" si="4"/>
        <v>4703.8799999999992</v>
      </c>
    </row>
    <row r="73" spans="1:32">
      <c r="A73" s="20">
        <v>65</v>
      </c>
      <c r="C73" s="5" t="s">
        <v>1748</v>
      </c>
      <c r="D73" s="5" t="str">
        <f t="shared" si="5"/>
        <v>00048</v>
      </c>
      <c r="E73" s="382">
        <v>9058502.9499999993</v>
      </c>
      <c r="F73" s="382">
        <v>4768990.34</v>
      </c>
      <c r="G73" s="382">
        <v>9061443.8399999999</v>
      </c>
      <c r="H73" s="382">
        <v>4778350.79</v>
      </c>
      <c r="I73" s="382">
        <v>9088752.9399999995</v>
      </c>
      <c r="J73" s="382">
        <v>4787714.28</v>
      </c>
      <c r="K73" s="382">
        <v>9088752.9399999995</v>
      </c>
      <c r="L73" s="382">
        <v>4797105.99</v>
      </c>
      <c r="M73" s="382">
        <v>9089973.9100000001</v>
      </c>
      <c r="N73" s="382">
        <v>4806497.7</v>
      </c>
      <c r="O73" s="382">
        <v>9089973.9100000001</v>
      </c>
      <c r="P73" s="382">
        <v>4815890.67</v>
      </c>
      <c r="Q73" s="382">
        <v>9089973.9100000001</v>
      </c>
      <c r="R73" s="382">
        <v>4825283.6399999997</v>
      </c>
      <c r="S73" s="382">
        <v>9089973.9100000001</v>
      </c>
      <c r="T73" s="382">
        <v>4834676.6100000003</v>
      </c>
      <c r="U73" s="382">
        <v>9089973.9100000001</v>
      </c>
      <c r="V73" s="382">
        <v>4844069.58</v>
      </c>
      <c r="W73" s="382">
        <v>9089973.9100000001</v>
      </c>
      <c r="X73" s="382">
        <v>4853462.55</v>
      </c>
      <c r="Y73" s="382">
        <v>9114642.0399999991</v>
      </c>
      <c r="Z73" s="382">
        <v>4862855.5199999996</v>
      </c>
      <c r="AA73" s="382">
        <v>9114642.0399999991</v>
      </c>
      <c r="AB73" s="382">
        <v>4872273.9800000004</v>
      </c>
      <c r="AC73" s="382">
        <v>9154112.3399999999</v>
      </c>
      <c r="AD73" s="382">
        <v>4881692.4400000004</v>
      </c>
      <c r="AE73" s="382">
        <f t="shared" si="4"/>
        <v>9092865.4087499958</v>
      </c>
      <c r="AF73" s="382">
        <f t="shared" si="4"/>
        <v>4825293.5583333336</v>
      </c>
    </row>
    <row r="74" spans="1:32">
      <c r="A74" s="20">
        <v>66</v>
      </c>
      <c r="C74" s="5" t="s">
        <v>1749</v>
      </c>
      <c r="D74" s="5" t="str">
        <f t="shared" si="5"/>
        <v>00048</v>
      </c>
      <c r="E74" s="382">
        <v>156603.45000000001</v>
      </c>
      <c r="F74" s="382">
        <v>49359.15</v>
      </c>
      <c r="G74" s="382">
        <v>111436.64</v>
      </c>
      <c r="H74" s="382">
        <v>6459.17</v>
      </c>
      <c r="I74" s="382">
        <v>111436.64</v>
      </c>
      <c r="J74" s="382">
        <v>8072.22</v>
      </c>
      <c r="K74" s="382">
        <v>108088.64</v>
      </c>
      <c r="L74" s="382">
        <v>6337.27</v>
      </c>
      <c r="M74" s="382">
        <v>108088.64</v>
      </c>
      <c r="N74" s="382">
        <v>7901.85</v>
      </c>
      <c r="O74" s="382">
        <v>109957.52</v>
      </c>
      <c r="P74" s="382">
        <v>9466.43</v>
      </c>
      <c r="Q74" s="382">
        <v>98185.52</v>
      </c>
      <c r="R74" s="382">
        <v>-713.93000000000006</v>
      </c>
      <c r="S74" s="382">
        <v>98185.52</v>
      </c>
      <c r="T74" s="382">
        <v>707.31000000000006</v>
      </c>
      <c r="U74" s="382">
        <v>98185.52</v>
      </c>
      <c r="V74" s="382">
        <v>2128.5500000000002</v>
      </c>
      <c r="W74" s="382">
        <v>98185.52</v>
      </c>
      <c r="X74" s="382">
        <v>3549.79</v>
      </c>
      <c r="Y74" s="382">
        <v>98185.52</v>
      </c>
      <c r="Z74" s="382">
        <v>4971.03</v>
      </c>
      <c r="AA74" s="382">
        <v>98185.52</v>
      </c>
      <c r="AB74" s="382">
        <v>6392.27</v>
      </c>
      <c r="AC74" s="382">
        <v>98185.52</v>
      </c>
      <c r="AD74" s="382">
        <v>7813.51</v>
      </c>
      <c r="AE74" s="382">
        <f t="shared" si="4"/>
        <v>105459.64041666668</v>
      </c>
      <c r="AF74" s="382">
        <f t="shared" si="4"/>
        <v>6988.190833333334</v>
      </c>
    </row>
    <row r="75" spans="1:32">
      <c r="A75" s="20">
        <v>67</v>
      </c>
      <c r="C75" s="5" t="s">
        <v>1750</v>
      </c>
      <c r="D75" s="5" t="str">
        <f t="shared" si="5"/>
        <v>00048</v>
      </c>
      <c r="E75" s="382">
        <v>405458.97000000003</v>
      </c>
      <c r="F75" s="382">
        <v>78546.759999999995</v>
      </c>
      <c r="G75" s="382">
        <v>390507.36</v>
      </c>
      <c r="H75" s="382">
        <v>65277.8</v>
      </c>
      <c r="I75" s="382">
        <v>390507.36</v>
      </c>
      <c r="J75" s="382">
        <v>66898.41</v>
      </c>
      <c r="K75" s="382">
        <v>390507.36</v>
      </c>
      <c r="L75" s="382">
        <v>68519.02</v>
      </c>
      <c r="M75" s="382">
        <v>390507.36</v>
      </c>
      <c r="N75" s="382">
        <v>70139.63</v>
      </c>
      <c r="O75" s="382">
        <v>390507.36</v>
      </c>
      <c r="P75" s="382">
        <v>71760.240000000005</v>
      </c>
      <c r="Q75" s="382">
        <v>416985.31</v>
      </c>
      <c r="R75" s="382">
        <v>73078.86</v>
      </c>
      <c r="S75" s="382">
        <v>416985.31</v>
      </c>
      <c r="T75" s="382">
        <v>74809.350000000006</v>
      </c>
      <c r="U75" s="382">
        <v>416985.31</v>
      </c>
      <c r="V75" s="382">
        <v>76539.839999999997</v>
      </c>
      <c r="W75" s="382">
        <v>416985.31</v>
      </c>
      <c r="X75" s="382">
        <v>78270.33</v>
      </c>
      <c r="Y75" s="382">
        <v>416985.31</v>
      </c>
      <c r="Z75" s="382">
        <v>80000.820000000007</v>
      </c>
      <c r="AA75" s="382">
        <v>416985.31</v>
      </c>
      <c r="AB75" s="382">
        <v>81731.31</v>
      </c>
      <c r="AC75" s="382">
        <v>416985.31</v>
      </c>
      <c r="AD75" s="382">
        <v>83461.8</v>
      </c>
      <c r="AE75" s="382">
        <f t="shared" si="4"/>
        <v>405472.56666666665</v>
      </c>
      <c r="AF75" s="382">
        <f t="shared" si="4"/>
        <v>74002.490833333344</v>
      </c>
    </row>
    <row r="76" spans="1:32">
      <c r="A76" s="20">
        <v>68</v>
      </c>
      <c r="C76" s="5" t="s">
        <v>1751</v>
      </c>
      <c r="D76" s="5" t="str">
        <f t="shared" si="5"/>
        <v>00048</v>
      </c>
      <c r="E76" s="382">
        <v>229070.62</v>
      </c>
      <c r="F76" s="382">
        <v>97535.14</v>
      </c>
      <c r="G76" s="382">
        <v>229070.62</v>
      </c>
      <c r="H76" s="382">
        <v>98136.45</v>
      </c>
      <c r="I76" s="382">
        <v>229070.62</v>
      </c>
      <c r="J76" s="382">
        <v>98737.760000000009</v>
      </c>
      <c r="K76" s="382">
        <v>229070.62</v>
      </c>
      <c r="L76" s="382">
        <v>99339.07</v>
      </c>
      <c r="M76" s="382">
        <v>229070.62</v>
      </c>
      <c r="N76" s="382">
        <v>99940.38</v>
      </c>
      <c r="O76" s="382">
        <v>229070.62</v>
      </c>
      <c r="P76" s="382">
        <v>100541.69</v>
      </c>
      <c r="Q76" s="382">
        <v>229070.62</v>
      </c>
      <c r="R76" s="382">
        <v>101143</v>
      </c>
      <c r="S76" s="382">
        <v>229070.62</v>
      </c>
      <c r="T76" s="382">
        <v>101744.31</v>
      </c>
      <c r="U76" s="382">
        <v>229070.62</v>
      </c>
      <c r="V76" s="382">
        <v>102345.62</v>
      </c>
      <c r="W76" s="382">
        <v>213725.31</v>
      </c>
      <c r="X76" s="382">
        <v>87601.62</v>
      </c>
      <c r="Y76" s="382">
        <v>213725.31</v>
      </c>
      <c r="Z76" s="382">
        <v>88162.650000000009</v>
      </c>
      <c r="AA76" s="382">
        <v>213725.31</v>
      </c>
      <c r="AB76" s="382">
        <v>88723.680000000008</v>
      </c>
      <c r="AC76" s="382">
        <v>213725.31</v>
      </c>
      <c r="AD76" s="382">
        <v>89284.71</v>
      </c>
      <c r="AE76" s="382">
        <f t="shared" si="4"/>
        <v>224594.90458333338</v>
      </c>
      <c r="AF76" s="382">
        <f t="shared" si="4"/>
        <v>96652.17958333336</v>
      </c>
    </row>
    <row r="77" spans="1:32">
      <c r="A77" s="20">
        <v>69</v>
      </c>
      <c r="C77" s="5" t="s">
        <v>1752</v>
      </c>
      <c r="D77" s="5" t="str">
        <f t="shared" si="5"/>
        <v>00048</v>
      </c>
      <c r="E77" s="382">
        <v>8760593.6600000001</v>
      </c>
      <c r="F77" s="382">
        <v>3138126.48</v>
      </c>
      <c r="G77" s="382">
        <v>8818649.2400000002</v>
      </c>
      <c r="H77" s="382">
        <v>3183024.52</v>
      </c>
      <c r="I77" s="382">
        <v>8868940.7200000007</v>
      </c>
      <c r="J77" s="382">
        <v>3211362</v>
      </c>
      <c r="K77" s="382">
        <v>8750125.9000000004</v>
      </c>
      <c r="L77" s="382">
        <v>3113550.25</v>
      </c>
      <c r="M77" s="382">
        <v>8805451.2899999991</v>
      </c>
      <c r="N77" s="382">
        <v>3111198.95</v>
      </c>
      <c r="O77" s="382">
        <v>8921776.3699999992</v>
      </c>
      <c r="P77" s="382">
        <v>3166426.89</v>
      </c>
      <c r="Q77" s="382">
        <v>9083479.9000000004</v>
      </c>
      <c r="R77" s="382">
        <v>3212503.31</v>
      </c>
      <c r="S77" s="382">
        <v>9223031.8399999999</v>
      </c>
      <c r="T77" s="382">
        <v>3242782.82</v>
      </c>
      <c r="U77" s="382">
        <v>9494482.4299999997</v>
      </c>
      <c r="V77" s="382">
        <v>3270750.74</v>
      </c>
      <c r="W77" s="382">
        <v>9417208.1799999997</v>
      </c>
      <c r="X77" s="382">
        <v>3263819.7800000003</v>
      </c>
      <c r="Y77" s="382">
        <v>9352511.5899999999</v>
      </c>
      <c r="Z77" s="382">
        <v>3274068.69</v>
      </c>
      <c r="AA77" s="382">
        <v>9460510.1699999999</v>
      </c>
      <c r="AB77" s="382">
        <v>3314102.13</v>
      </c>
      <c r="AC77" s="382">
        <v>9743723.7799999993</v>
      </c>
      <c r="AD77" s="382">
        <v>3362587.25</v>
      </c>
      <c r="AE77" s="382">
        <f t="shared" si="4"/>
        <v>9120693.8625000007</v>
      </c>
      <c r="AF77" s="382">
        <f t="shared" si="4"/>
        <v>3217828.9120833334</v>
      </c>
    </row>
    <row r="78" spans="1:32">
      <c r="A78" s="20">
        <v>70</v>
      </c>
      <c r="C78" s="5" t="s">
        <v>1753</v>
      </c>
      <c r="D78" s="5" t="str">
        <f t="shared" si="5"/>
        <v>00048</v>
      </c>
      <c r="E78" s="382">
        <v>23837.02</v>
      </c>
      <c r="F78" s="382">
        <v>7873.37</v>
      </c>
      <c r="G78" s="382">
        <v>23837.02</v>
      </c>
      <c r="H78" s="382">
        <v>7979.4400000000005</v>
      </c>
      <c r="I78" s="382">
        <v>23837.02</v>
      </c>
      <c r="J78" s="382">
        <v>8085.51</v>
      </c>
      <c r="K78" s="382">
        <v>23837.02</v>
      </c>
      <c r="L78" s="382">
        <v>8191.58</v>
      </c>
      <c r="M78" s="382">
        <v>23837.02</v>
      </c>
      <c r="N78" s="382">
        <v>8297.65</v>
      </c>
      <c r="O78" s="382">
        <v>23837.02</v>
      </c>
      <c r="P78" s="382">
        <v>8403.7199999999993</v>
      </c>
      <c r="Q78" s="382">
        <v>23837.02</v>
      </c>
      <c r="R78" s="382">
        <v>8509.7900000000009</v>
      </c>
      <c r="S78" s="382">
        <v>23837.02</v>
      </c>
      <c r="T78" s="382">
        <v>8615.86</v>
      </c>
      <c r="U78" s="382">
        <v>23837.02</v>
      </c>
      <c r="V78" s="382">
        <v>8721.93</v>
      </c>
      <c r="W78" s="382">
        <v>23837.02</v>
      </c>
      <c r="X78" s="382">
        <v>8828</v>
      </c>
      <c r="Y78" s="382">
        <v>23837.02</v>
      </c>
      <c r="Z78" s="382">
        <v>8934.07</v>
      </c>
      <c r="AA78" s="382">
        <v>23837.02</v>
      </c>
      <c r="AB78" s="382">
        <v>9040.14</v>
      </c>
      <c r="AC78" s="382">
        <v>23837.02</v>
      </c>
      <c r="AD78" s="382">
        <v>9146.2100000000009</v>
      </c>
      <c r="AE78" s="382">
        <f t="shared" si="4"/>
        <v>23837.02</v>
      </c>
      <c r="AF78" s="382">
        <f t="shared" si="4"/>
        <v>8509.7900000000009</v>
      </c>
    </row>
    <row r="79" spans="1:32">
      <c r="A79" s="20">
        <v>71</v>
      </c>
      <c r="C79" s="5" t="s">
        <v>1754</v>
      </c>
      <c r="D79" s="5" t="str">
        <f t="shared" si="5"/>
        <v>00048</v>
      </c>
      <c r="E79" s="382">
        <v>3971799.3200000003</v>
      </c>
      <c r="F79" s="382">
        <v>1312806.96</v>
      </c>
      <c r="G79" s="382">
        <v>3863493.63</v>
      </c>
      <c r="H79" s="382">
        <v>1194522.3</v>
      </c>
      <c r="I79" s="382">
        <v>3878926.6</v>
      </c>
      <c r="J79" s="382">
        <v>1205984</v>
      </c>
      <c r="K79" s="382">
        <v>3849269.2199999997</v>
      </c>
      <c r="L79" s="382">
        <v>1142869.51</v>
      </c>
      <c r="M79" s="382">
        <v>3872066.56</v>
      </c>
      <c r="N79" s="382">
        <v>1154589.01</v>
      </c>
      <c r="O79" s="382">
        <v>3874271.3</v>
      </c>
      <c r="P79" s="382">
        <v>1166076.1400000001</v>
      </c>
      <c r="Q79" s="382">
        <v>3850816.8</v>
      </c>
      <c r="R79" s="382">
        <v>1141452.55</v>
      </c>
      <c r="S79" s="382">
        <v>3849567.26</v>
      </c>
      <c r="T79" s="382">
        <v>1152876.6400000001</v>
      </c>
      <c r="U79" s="382">
        <v>3894827.79</v>
      </c>
      <c r="V79" s="382">
        <v>1164297.02</v>
      </c>
      <c r="W79" s="382">
        <v>3936679.34</v>
      </c>
      <c r="X79" s="382">
        <v>1175851.68</v>
      </c>
      <c r="Y79" s="382">
        <v>4028179.52</v>
      </c>
      <c r="Z79" s="382">
        <v>1187530.5</v>
      </c>
      <c r="AA79" s="382">
        <v>4030331.48</v>
      </c>
      <c r="AB79" s="382">
        <v>1199480.77</v>
      </c>
      <c r="AC79" s="382">
        <v>4107335.77</v>
      </c>
      <c r="AD79" s="382">
        <v>1211437.42</v>
      </c>
      <c r="AE79" s="382">
        <f t="shared" si="4"/>
        <v>3913999.7537500001</v>
      </c>
      <c r="AF79" s="382">
        <f t="shared" si="4"/>
        <v>1178971.0258333331</v>
      </c>
    </row>
    <row r="80" spans="1:32">
      <c r="A80" s="20">
        <v>72</v>
      </c>
      <c r="C80" s="5" t="s">
        <v>1755</v>
      </c>
      <c r="D80" s="5" t="str">
        <f t="shared" si="5"/>
        <v>00048</v>
      </c>
      <c r="E80" s="382">
        <v>127444.74</v>
      </c>
      <c r="F80" s="382">
        <v>113108.3</v>
      </c>
      <c r="G80" s="382">
        <v>127444.74</v>
      </c>
      <c r="H80" s="382">
        <v>113303.72</v>
      </c>
      <c r="I80" s="382">
        <v>127444.74</v>
      </c>
      <c r="J80" s="382">
        <v>113499.14</v>
      </c>
      <c r="K80" s="382">
        <v>127444.74</v>
      </c>
      <c r="L80" s="382">
        <v>113694.56</v>
      </c>
      <c r="M80" s="382">
        <v>127444.74</v>
      </c>
      <c r="N80" s="382">
        <v>113889.98</v>
      </c>
      <c r="O80" s="382">
        <v>127444.74</v>
      </c>
      <c r="P80" s="382">
        <v>114085.40000000001</v>
      </c>
      <c r="Q80" s="382">
        <v>127444.74</v>
      </c>
      <c r="R80" s="382">
        <v>114280.82</v>
      </c>
      <c r="S80" s="382">
        <v>127444.74</v>
      </c>
      <c r="T80" s="382">
        <v>114476.24</v>
      </c>
      <c r="U80" s="382">
        <v>127444.74</v>
      </c>
      <c r="V80" s="382">
        <v>114671.66</v>
      </c>
      <c r="W80" s="382">
        <v>127444.74</v>
      </c>
      <c r="X80" s="382">
        <v>114867.08</v>
      </c>
      <c r="Y80" s="382">
        <v>127444.74</v>
      </c>
      <c r="Z80" s="382">
        <v>115062.5</v>
      </c>
      <c r="AA80" s="382">
        <v>131231.01999999999</v>
      </c>
      <c r="AB80" s="382">
        <v>115257.92</v>
      </c>
      <c r="AC80" s="382">
        <v>131231.01999999999</v>
      </c>
      <c r="AD80" s="382">
        <v>115459.14</v>
      </c>
      <c r="AE80" s="382">
        <f t="shared" si="4"/>
        <v>127918.02500000002</v>
      </c>
      <c r="AF80" s="382">
        <f t="shared" si="4"/>
        <v>114281.06166666665</v>
      </c>
    </row>
    <row r="81" spans="1:32">
      <c r="A81" s="20">
        <v>73</v>
      </c>
      <c r="C81" s="5" t="s">
        <v>1756</v>
      </c>
      <c r="D81" s="5" t="str">
        <f t="shared" si="5"/>
        <v>00048</v>
      </c>
      <c r="E81" s="382">
        <v>29277.34</v>
      </c>
      <c r="F81" s="382">
        <v>17773.5</v>
      </c>
      <c r="G81" s="382">
        <v>29277.34</v>
      </c>
      <c r="H81" s="382">
        <v>17885.73</v>
      </c>
      <c r="I81" s="382">
        <v>29277.34</v>
      </c>
      <c r="J81" s="382">
        <v>17997.96</v>
      </c>
      <c r="K81" s="382">
        <v>29277.34</v>
      </c>
      <c r="L81" s="382">
        <v>18110.189999999999</v>
      </c>
      <c r="M81" s="382">
        <v>29277.34</v>
      </c>
      <c r="N81" s="382">
        <v>18222.420000000002</v>
      </c>
      <c r="O81" s="382">
        <v>29277.34</v>
      </c>
      <c r="P81" s="382">
        <v>18334.650000000001</v>
      </c>
      <c r="Q81" s="382">
        <v>29277.34</v>
      </c>
      <c r="R81" s="382">
        <v>18446.88</v>
      </c>
      <c r="S81" s="382">
        <v>29277.34</v>
      </c>
      <c r="T81" s="382">
        <v>18559.11</v>
      </c>
      <c r="U81" s="382">
        <v>29277.34</v>
      </c>
      <c r="V81" s="382">
        <v>18671.34</v>
      </c>
      <c r="W81" s="382">
        <v>29277.34</v>
      </c>
      <c r="X81" s="382">
        <v>18783.57</v>
      </c>
      <c r="Y81" s="382">
        <v>29277.34</v>
      </c>
      <c r="Z81" s="382">
        <v>18895.8</v>
      </c>
      <c r="AA81" s="382">
        <v>29277.34</v>
      </c>
      <c r="AB81" s="382">
        <v>19008.03</v>
      </c>
      <c r="AC81" s="382">
        <v>29277.34</v>
      </c>
      <c r="AD81" s="382">
        <v>19120.260000000002</v>
      </c>
      <c r="AE81" s="382">
        <f t="shared" si="4"/>
        <v>29277.340000000007</v>
      </c>
      <c r="AF81" s="382">
        <f t="shared" si="4"/>
        <v>18446.88</v>
      </c>
    </row>
    <row r="82" spans="1:32">
      <c r="A82" s="20">
        <v>74</v>
      </c>
      <c r="C82" s="5" t="s">
        <v>1757</v>
      </c>
      <c r="D82" s="5" t="str">
        <f t="shared" si="5"/>
        <v>00048</v>
      </c>
      <c r="E82" s="382">
        <v>2049363.37</v>
      </c>
      <c r="F82" s="382">
        <v>-57559.61</v>
      </c>
      <c r="G82" s="382">
        <v>2046909.69</v>
      </c>
      <c r="H82" s="382">
        <v>-47789.93</v>
      </c>
      <c r="I82" s="382">
        <v>2046909.69</v>
      </c>
      <c r="J82" s="382">
        <v>-38954.1</v>
      </c>
      <c r="K82" s="382">
        <v>2049564.57</v>
      </c>
      <c r="L82" s="382">
        <v>-30118.27</v>
      </c>
      <c r="M82" s="382">
        <v>2171182.4</v>
      </c>
      <c r="N82" s="382">
        <v>-20938.61</v>
      </c>
      <c r="O82" s="382">
        <v>2157237.2999999998</v>
      </c>
      <c r="P82" s="382">
        <v>-21649.010000000002</v>
      </c>
      <c r="Q82" s="382">
        <v>2009336.78</v>
      </c>
      <c r="R82" s="382">
        <v>-12336.94</v>
      </c>
      <c r="S82" s="382">
        <v>2013824.82</v>
      </c>
      <c r="T82" s="382">
        <v>-3663.3</v>
      </c>
      <c r="U82" s="382">
        <v>2013673.54</v>
      </c>
      <c r="V82" s="382">
        <v>-32883.51</v>
      </c>
      <c r="W82" s="382">
        <v>2013673.54</v>
      </c>
      <c r="X82" s="382">
        <v>-24191.16</v>
      </c>
      <c r="Y82" s="382">
        <v>2025302.52</v>
      </c>
      <c r="Z82" s="382">
        <v>-15498.81</v>
      </c>
      <c r="AA82" s="382">
        <v>2050850.76</v>
      </c>
      <c r="AB82" s="382">
        <v>-51808.15</v>
      </c>
      <c r="AC82" s="382">
        <v>2034522.57</v>
      </c>
      <c r="AD82" s="382">
        <v>-169172.19</v>
      </c>
      <c r="AE82" s="382">
        <f t="shared" si="4"/>
        <v>2053367.3816666666</v>
      </c>
      <c r="AF82" s="382">
        <f t="shared" si="4"/>
        <v>-34433.140833333338</v>
      </c>
    </row>
    <row r="83" spans="1:32">
      <c r="A83" s="20">
        <v>75</v>
      </c>
      <c r="C83" s="5" t="s">
        <v>1758</v>
      </c>
      <c r="D83" s="5" t="str">
        <f t="shared" si="5"/>
        <v>00048</v>
      </c>
      <c r="E83" s="382">
        <v>545338.96</v>
      </c>
      <c r="F83" s="382">
        <v>127285.94</v>
      </c>
      <c r="G83" s="382">
        <v>546461.77</v>
      </c>
      <c r="H83" s="382">
        <v>128703.82</v>
      </c>
      <c r="I83" s="382">
        <v>546461.77</v>
      </c>
      <c r="J83" s="382">
        <v>130124.62000000001</v>
      </c>
      <c r="K83" s="382">
        <v>546461.77</v>
      </c>
      <c r="L83" s="382">
        <v>131545.42000000001</v>
      </c>
      <c r="M83" s="382">
        <v>546461.77</v>
      </c>
      <c r="N83" s="382">
        <v>132966.22</v>
      </c>
      <c r="O83" s="382">
        <v>579833.59</v>
      </c>
      <c r="P83" s="382">
        <v>134387.01999999999</v>
      </c>
      <c r="Q83" s="382">
        <v>579833.59</v>
      </c>
      <c r="R83" s="382">
        <v>135894.59</v>
      </c>
      <c r="S83" s="382">
        <v>579833.59</v>
      </c>
      <c r="T83" s="382">
        <v>137402.16</v>
      </c>
      <c r="U83" s="382">
        <v>579833.59</v>
      </c>
      <c r="V83" s="382">
        <v>138909.73000000001</v>
      </c>
      <c r="W83" s="382">
        <v>579833.59</v>
      </c>
      <c r="X83" s="382">
        <v>141167.30000000002</v>
      </c>
      <c r="Y83" s="382">
        <v>579833.59</v>
      </c>
      <c r="Z83" s="382">
        <v>142674.87</v>
      </c>
      <c r="AA83" s="382">
        <v>579833.59</v>
      </c>
      <c r="AB83" s="382">
        <v>144182.44</v>
      </c>
      <c r="AC83" s="382">
        <v>579833.59</v>
      </c>
      <c r="AD83" s="382">
        <v>145690.01</v>
      </c>
      <c r="AE83" s="382">
        <f t="shared" si="4"/>
        <v>567272.37374999991</v>
      </c>
      <c r="AF83" s="382">
        <f t="shared" si="4"/>
        <v>136203.84708333333</v>
      </c>
    </row>
    <row r="84" spans="1:32">
      <c r="A84" s="20">
        <v>76</v>
      </c>
      <c r="C84" s="5" t="s">
        <v>1759</v>
      </c>
      <c r="D84" s="5" t="str">
        <f t="shared" si="5"/>
        <v>00048</v>
      </c>
      <c r="E84" s="382">
        <v>201807.75</v>
      </c>
      <c r="F84" s="382">
        <v>102554</v>
      </c>
      <c r="G84" s="382">
        <v>201807.75</v>
      </c>
      <c r="H84" s="382">
        <v>103320.87</v>
      </c>
      <c r="I84" s="382">
        <v>201807.75</v>
      </c>
      <c r="J84" s="382">
        <v>104087.74</v>
      </c>
      <c r="K84" s="382">
        <v>201807.75</v>
      </c>
      <c r="L84" s="382">
        <v>104854.61</v>
      </c>
      <c r="M84" s="382">
        <v>201807.75</v>
      </c>
      <c r="N84" s="382">
        <v>105621.48</v>
      </c>
      <c r="O84" s="382">
        <v>201807.75</v>
      </c>
      <c r="P84" s="382">
        <v>106388.35</v>
      </c>
      <c r="Q84" s="382">
        <v>194646.76</v>
      </c>
      <c r="R84" s="382">
        <v>99994.23</v>
      </c>
      <c r="S84" s="382">
        <v>194646.76</v>
      </c>
      <c r="T84" s="382">
        <v>100733.89</v>
      </c>
      <c r="U84" s="382">
        <v>194646.76</v>
      </c>
      <c r="V84" s="382">
        <v>101473.55</v>
      </c>
      <c r="W84" s="382">
        <v>194646.76</v>
      </c>
      <c r="X84" s="382">
        <v>102213.21</v>
      </c>
      <c r="Y84" s="382">
        <v>194646.76</v>
      </c>
      <c r="Z84" s="382">
        <v>102952.87</v>
      </c>
      <c r="AA84" s="382">
        <v>194646.76</v>
      </c>
      <c r="AB84" s="382">
        <v>103692.53</v>
      </c>
      <c r="AC84" s="382">
        <v>194646.76</v>
      </c>
      <c r="AD84" s="382">
        <v>104432.19</v>
      </c>
      <c r="AE84" s="382">
        <f t="shared" si="4"/>
        <v>197928.88041666665</v>
      </c>
      <c r="AF84" s="382">
        <f t="shared" si="4"/>
        <v>103235.53541666665</v>
      </c>
    </row>
    <row r="85" spans="1:32">
      <c r="A85" s="20">
        <v>77</v>
      </c>
      <c r="C85" s="5" t="s">
        <v>1760</v>
      </c>
      <c r="D85" s="5" t="str">
        <f t="shared" si="5"/>
        <v>00048</v>
      </c>
      <c r="E85" s="382">
        <v>927395.86</v>
      </c>
      <c r="F85" s="382">
        <v>47660.840000000004</v>
      </c>
      <c r="G85" s="382">
        <v>924527.73</v>
      </c>
      <c r="H85" s="382">
        <v>52034.130000000005</v>
      </c>
      <c r="I85" s="382">
        <v>924527.73</v>
      </c>
      <c r="J85" s="382">
        <v>59253.15</v>
      </c>
      <c r="K85" s="382">
        <v>924527.73</v>
      </c>
      <c r="L85" s="382">
        <v>66472.17</v>
      </c>
      <c r="M85" s="382">
        <v>924527.73</v>
      </c>
      <c r="N85" s="382">
        <v>73691.19</v>
      </c>
      <c r="O85" s="382">
        <v>924527.73</v>
      </c>
      <c r="P85" s="382">
        <v>80910.210000000006</v>
      </c>
      <c r="Q85" s="382">
        <v>924527.73</v>
      </c>
      <c r="R85" s="382">
        <v>88129.23</v>
      </c>
      <c r="S85" s="382">
        <v>924527.73</v>
      </c>
      <c r="T85" s="382">
        <v>95348.25</v>
      </c>
      <c r="U85" s="382">
        <v>924527.73</v>
      </c>
      <c r="V85" s="382">
        <v>102567.27</v>
      </c>
      <c r="W85" s="382">
        <v>927875.3</v>
      </c>
      <c r="X85" s="382">
        <v>109786.29000000001</v>
      </c>
      <c r="Y85" s="382">
        <v>927875.3</v>
      </c>
      <c r="Z85" s="382">
        <v>117031.45</v>
      </c>
      <c r="AA85" s="382">
        <v>934040.91</v>
      </c>
      <c r="AB85" s="382">
        <v>124276.61</v>
      </c>
      <c r="AC85" s="382">
        <v>934040.91</v>
      </c>
      <c r="AD85" s="382">
        <v>131569.91</v>
      </c>
      <c r="AE85" s="382">
        <f t="shared" si="4"/>
        <v>926394.31125000014</v>
      </c>
      <c r="AF85" s="382">
        <f t="shared" si="4"/>
        <v>88259.610416666663</v>
      </c>
    </row>
    <row r="86" spans="1:32">
      <c r="A86" s="20">
        <v>78</v>
      </c>
      <c r="C86" s="5" t="s">
        <v>1761</v>
      </c>
      <c r="D86" s="5" t="str">
        <f t="shared" si="5"/>
        <v>00048</v>
      </c>
      <c r="E86" s="382">
        <v>3110302.22</v>
      </c>
      <c r="F86" s="382">
        <v>2475171.79</v>
      </c>
      <c r="G86" s="382">
        <v>3110302.22</v>
      </c>
      <c r="H86" s="382">
        <v>2475508.7400000002</v>
      </c>
      <c r="I86" s="382">
        <v>3110436.9</v>
      </c>
      <c r="J86" s="382">
        <v>2475845.69</v>
      </c>
      <c r="K86" s="382">
        <v>3111725.53</v>
      </c>
      <c r="L86" s="382">
        <v>2476182.65</v>
      </c>
      <c r="M86" s="382">
        <v>3111725.53</v>
      </c>
      <c r="N86" s="382">
        <v>2476519.75</v>
      </c>
      <c r="O86" s="382">
        <v>3111603.35</v>
      </c>
      <c r="P86" s="382">
        <v>2476856.85</v>
      </c>
      <c r="Q86" s="382">
        <v>3111603.35</v>
      </c>
      <c r="R86" s="382">
        <v>2477193.94</v>
      </c>
      <c r="S86" s="382">
        <v>3111603.35</v>
      </c>
      <c r="T86" s="382">
        <v>2477531.0300000003</v>
      </c>
      <c r="U86" s="382">
        <v>3117022.37</v>
      </c>
      <c r="V86" s="382">
        <v>2477868.12</v>
      </c>
      <c r="W86" s="382">
        <v>3121124.58</v>
      </c>
      <c r="X86" s="382">
        <v>2478205.7999999998</v>
      </c>
      <c r="Y86" s="382">
        <v>3121124.58</v>
      </c>
      <c r="Z86" s="382">
        <v>2478543.92</v>
      </c>
      <c r="AA86" s="382">
        <v>3121124.58</v>
      </c>
      <c r="AB86" s="382">
        <v>2478882.04</v>
      </c>
      <c r="AC86" s="382">
        <v>3154329.2</v>
      </c>
      <c r="AD86" s="382">
        <v>2479220.16</v>
      </c>
      <c r="AE86" s="382">
        <f t="shared" si="4"/>
        <v>3115976.0041666664</v>
      </c>
      <c r="AF86" s="382">
        <f t="shared" si="4"/>
        <v>2477194.5420833337</v>
      </c>
    </row>
    <row r="87" spans="1:32">
      <c r="A87" s="20">
        <v>79</v>
      </c>
      <c r="C87" s="5" t="s">
        <v>1762</v>
      </c>
      <c r="D87" s="5" t="str">
        <f t="shared" si="5"/>
        <v>00048</v>
      </c>
      <c r="E87" s="382">
        <v>550206.34</v>
      </c>
      <c r="F87" s="382">
        <v>320770.28000000003</v>
      </c>
      <c r="G87" s="382">
        <v>550206.34</v>
      </c>
      <c r="H87" s="382">
        <v>324979.36</v>
      </c>
      <c r="I87" s="382">
        <v>550206.34</v>
      </c>
      <c r="J87" s="382">
        <v>329188.44</v>
      </c>
      <c r="K87" s="382">
        <v>550206.34</v>
      </c>
      <c r="L87" s="382">
        <v>333397.52</v>
      </c>
      <c r="M87" s="382">
        <v>550206.34</v>
      </c>
      <c r="N87" s="382">
        <v>337606.60000000003</v>
      </c>
      <c r="O87" s="382">
        <v>550206.34</v>
      </c>
      <c r="P87" s="382">
        <v>341815.68</v>
      </c>
      <c r="Q87" s="382">
        <v>525951.92000000004</v>
      </c>
      <c r="R87" s="382">
        <v>321770.34000000003</v>
      </c>
      <c r="S87" s="382">
        <v>525951.92000000004</v>
      </c>
      <c r="T87" s="382">
        <v>325793.87</v>
      </c>
      <c r="U87" s="382">
        <v>525951.92000000004</v>
      </c>
      <c r="V87" s="382">
        <v>329817.40000000002</v>
      </c>
      <c r="W87" s="382">
        <v>525951.92000000004</v>
      </c>
      <c r="X87" s="382">
        <v>333840.93</v>
      </c>
      <c r="Y87" s="382">
        <v>525951.92000000004</v>
      </c>
      <c r="Z87" s="382">
        <v>337864.46</v>
      </c>
      <c r="AA87" s="382">
        <v>525951.92000000004</v>
      </c>
      <c r="AB87" s="382">
        <v>341887.99</v>
      </c>
      <c r="AC87" s="382">
        <v>525951.92000000004</v>
      </c>
      <c r="AD87" s="382">
        <v>345911.52</v>
      </c>
      <c r="AE87" s="382">
        <f t="shared" si="4"/>
        <v>537068.52916666667</v>
      </c>
      <c r="AF87" s="382">
        <f t="shared" si="4"/>
        <v>332608.62416666665</v>
      </c>
    </row>
    <row r="88" spans="1:32">
      <c r="A88" s="20">
        <v>80</v>
      </c>
      <c r="C88" s="5" t="s">
        <v>1763</v>
      </c>
      <c r="D88" s="5" t="str">
        <f t="shared" si="5"/>
        <v>00048</v>
      </c>
      <c r="E88" s="382">
        <v>10888.06</v>
      </c>
      <c r="F88" s="382">
        <v>-4395.76</v>
      </c>
      <c r="G88" s="382">
        <v>10888.06</v>
      </c>
      <c r="H88" s="382">
        <v>-4300.3999999999996</v>
      </c>
      <c r="I88" s="382">
        <v>10888.06</v>
      </c>
      <c r="J88" s="382">
        <v>-4205.04</v>
      </c>
      <c r="K88" s="382">
        <v>10888.06</v>
      </c>
      <c r="L88" s="382">
        <v>-4109.68</v>
      </c>
      <c r="M88" s="382">
        <v>10888.06</v>
      </c>
      <c r="N88" s="382">
        <v>-4014.32</v>
      </c>
      <c r="O88" s="382">
        <v>12985.710000000001</v>
      </c>
      <c r="P88" s="382">
        <v>-3918.96</v>
      </c>
      <c r="Q88" s="382">
        <v>12985.710000000001</v>
      </c>
      <c r="R88" s="382">
        <v>-3805.23</v>
      </c>
      <c r="S88" s="382">
        <v>12985.710000000001</v>
      </c>
      <c r="T88" s="382">
        <v>-3691.5</v>
      </c>
      <c r="U88" s="382">
        <v>12985.710000000001</v>
      </c>
      <c r="V88" s="382">
        <v>-3577.77</v>
      </c>
      <c r="W88" s="382">
        <v>12985.710000000001</v>
      </c>
      <c r="X88" s="382">
        <v>-3464.04</v>
      </c>
      <c r="Y88" s="382">
        <v>12985.710000000001</v>
      </c>
      <c r="Z88" s="382">
        <v>-3350.31</v>
      </c>
      <c r="AA88" s="382">
        <v>12985.710000000001</v>
      </c>
      <c r="AB88" s="382">
        <v>-3236.58</v>
      </c>
      <c r="AC88" s="382">
        <v>12985.710000000001</v>
      </c>
      <c r="AD88" s="382">
        <v>-3122.85</v>
      </c>
      <c r="AE88" s="382">
        <f t="shared" si="4"/>
        <v>12199.091250000003</v>
      </c>
      <c r="AF88" s="382">
        <f t="shared" si="4"/>
        <v>-3786.094583333333</v>
      </c>
    </row>
    <row r="89" spans="1:32">
      <c r="A89" s="20">
        <v>81</v>
      </c>
      <c r="B89" s="384" t="s">
        <v>107</v>
      </c>
      <c r="C89" s="385"/>
      <c r="D89" s="384" t="s">
        <v>1764</v>
      </c>
      <c r="E89" s="386">
        <f t="shared" ref="E89:AF89" si="6">SUBTOTAL(9,E48:E88)</f>
        <v>576210019.71000016</v>
      </c>
      <c r="F89" s="386">
        <f t="shared" si="6"/>
        <v>304692694.86999989</v>
      </c>
      <c r="G89" s="386">
        <f t="shared" si="6"/>
        <v>577681602.6400001</v>
      </c>
      <c r="H89" s="386">
        <f t="shared" si="6"/>
        <v>309480837.00000012</v>
      </c>
      <c r="I89" s="386">
        <f t="shared" si="6"/>
        <v>578887129.49000013</v>
      </c>
      <c r="J89" s="386">
        <f t="shared" si="6"/>
        <v>310705295.72999996</v>
      </c>
      <c r="K89" s="386">
        <f t="shared" si="6"/>
        <v>580920985.41999996</v>
      </c>
      <c r="L89" s="386">
        <f t="shared" si="6"/>
        <v>311239204.5999999</v>
      </c>
      <c r="M89" s="386">
        <f t="shared" si="6"/>
        <v>583272418.28999996</v>
      </c>
      <c r="N89" s="386">
        <f t="shared" si="6"/>
        <v>312471439.2100001</v>
      </c>
      <c r="O89" s="386">
        <f t="shared" si="6"/>
        <v>584216840.6500001</v>
      </c>
      <c r="P89" s="386">
        <f t="shared" si="6"/>
        <v>313749995.52000004</v>
      </c>
      <c r="Q89" s="386">
        <f t="shared" si="6"/>
        <v>585599739.0799998</v>
      </c>
      <c r="R89" s="386">
        <f t="shared" si="6"/>
        <v>314596173.39999992</v>
      </c>
      <c r="S89" s="386">
        <f t="shared" si="6"/>
        <v>588618364.70000005</v>
      </c>
      <c r="T89" s="386">
        <f t="shared" si="6"/>
        <v>315768871.25</v>
      </c>
      <c r="U89" s="386">
        <f t="shared" si="6"/>
        <v>598832328.44999993</v>
      </c>
      <c r="V89" s="386">
        <f t="shared" si="6"/>
        <v>316875748.73000002</v>
      </c>
      <c r="W89" s="386">
        <f t="shared" si="6"/>
        <v>601967532.84999979</v>
      </c>
      <c r="X89" s="386">
        <f t="shared" si="6"/>
        <v>317897034.14999998</v>
      </c>
      <c r="Y89" s="386">
        <f t="shared" si="6"/>
        <v>607446404.66999972</v>
      </c>
      <c r="Z89" s="386">
        <f t="shared" si="6"/>
        <v>319107740.81999993</v>
      </c>
      <c r="AA89" s="386">
        <f t="shared" si="6"/>
        <v>608700709.48999977</v>
      </c>
      <c r="AB89" s="386">
        <f t="shared" si="6"/>
        <v>320289045.50000006</v>
      </c>
      <c r="AC89" s="386">
        <f t="shared" si="6"/>
        <v>614373017.27999997</v>
      </c>
      <c r="AD89" s="386">
        <f t="shared" si="6"/>
        <v>321296055.43999994</v>
      </c>
      <c r="AE89" s="386">
        <f t="shared" si="6"/>
        <v>590952964.51874983</v>
      </c>
      <c r="AF89" s="386">
        <f t="shared" si="6"/>
        <v>314597980.08874995</v>
      </c>
    </row>
    <row r="90" spans="1:32">
      <c r="A90" s="20">
        <v>82</v>
      </c>
      <c r="B90" s="380" t="s">
        <v>1765</v>
      </c>
      <c r="C90" s="380" t="s">
        <v>1766</v>
      </c>
      <c r="D90" s="387"/>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row>
    <row r="91" spans="1:32">
      <c r="A91" s="20">
        <v>83</v>
      </c>
      <c r="C91" s="5" t="s">
        <v>1767</v>
      </c>
      <c r="D91" s="5" t="str">
        <f>RIGHT(C91,5)</f>
        <v>00100</v>
      </c>
      <c r="E91" s="382">
        <v>152066.08000000002</v>
      </c>
      <c r="F91" s="382">
        <v>0</v>
      </c>
      <c r="G91" s="382">
        <v>152066.08000000002</v>
      </c>
      <c r="H91" s="382">
        <v>0</v>
      </c>
      <c r="I91" s="382">
        <v>152066.08000000002</v>
      </c>
      <c r="J91" s="382">
        <v>0</v>
      </c>
      <c r="K91" s="382">
        <v>152066.08000000002</v>
      </c>
      <c r="L91" s="382">
        <v>0</v>
      </c>
      <c r="M91" s="382">
        <v>152066.08000000002</v>
      </c>
      <c r="N91" s="382">
        <v>0</v>
      </c>
      <c r="O91" s="382">
        <v>152066.08000000002</v>
      </c>
      <c r="P91" s="382">
        <v>0</v>
      </c>
      <c r="Q91" s="382">
        <v>152066.08000000002</v>
      </c>
      <c r="R91" s="382">
        <v>0</v>
      </c>
      <c r="S91" s="382">
        <v>152066.08000000002</v>
      </c>
      <c r="T91" s="382">
        <v>0</v>
      </c>
      <c r="U91" s="382">
        <v>152066.08000000002</v>
      </c>
      <c r="V91" s="382">
        <v>0</v>
      </c>
      <c r="W91" s="382">
        <v>152066.08000000002</v>
      </c>
      <c r="X91" s="382">
        <v>0</v>
      </c>
      <c r="Y91" s="382">
        <v>152066.08000000002</v>
      </c>
      <c r="Z91" s="382">
        <v>0</v>
      </c>
      <c r="AA91" s="382">
        <v>152066.08000000002</v>
      </c>
      <c r="AB91" s="382">
        <v>0</v>
      </c>
      <c r="AC91" s="382">
        <v>152066.08000000002</v>
      </c>
      <c r="AD91" s="382">
        <v>0</v>
      </c>
      <c r="AE91" s="382">
        <f t="shared" ref="AE91:AF129" si="7">+(E91+AC91+(+G91+I91+K91+M91+O91+Q91+S91+U91+W91+Y91+AA91)*2)/24</f>
        <v>152066.08000000005</v>
      </c>
      <c r="AF91" s="382">
        <f t="shared" si="7"/>
        <v>0</v>
      </c>
    </row>
    <row r="92" spans="1:32">
      <c r="A92" s="20">
        <v>84</v>
      </c>
      <c r="C92" s="5" t="s">
        <v>1768</v>
      </c>
      <c r="D92" s="383" t="s">
        <v>1769</v>
      </c>
      <c r="E92" s="382">
        <v>0</v>
      </c>
      <c r="F92" s="382">
        <v>0</v>
      </c>
      <c r="G92" s="382">
        <v>0</v>
      </c>
      <c r="H92" s="382">
        <v>0</v>
      </c>
      <c r="I92" s="382">
        <v>0</v>
      </c>
      <c r="J92" s="382">
        <v>0</v>
      </c>
      <c r="K92" s="382">
        <v>0</v>
      </c>
      <c r="L92" s="382">
        <v>0</v>
      </c>
      <c r="M92" s="382">
        <v>0</v>
      </c>
      <c r="N92" s="382">
        <v>0</v>
      </c>
      <c r="O92" s="382">
        <v>0</v>
      </c>
      <c r="P92" s="382">
        <v>0</v>
      </c>
      <c r="Q92" s="382">
        <v>0</v>
      </c>
      <c r="R92" s="382">
        <v>0</v>
      </c>
      <c r="S92" s="382">
        <v>1826757.9</v>
      </c>
      <c r="T92" s="382">
        <v>578418.15</v>
      </c>
      <c r="U92" s="382">
        <v>1826757.9</v>
      </c>
      <c r="V92" s="382">
        <v>593641.13</v>
      </c>
      <c r="W92" s="382">
        <v>1826757.9</v>
      </c>
      <c r="X92" s="382">
        <v>608864.11</v>
      </c>
      <c r="Y92" s="382">
        <v>1826757.9</v>
      </c>
      <c r="Z92" s="382">
        <v>624087.09</v>
      </c>
      <c r="AA92" s="382">
        <v>1826757.9</v>
      </c>
      <c r="AB92" s="382">
        <v>639310.07000000007</v>
      </c>
      <c r="AC92" s="382">
        <v>1826757.9</v>
      </c>
      <c r="AD92" s="382">
        <v>654533.05000000005</v>
      </c>
      <c r="AE92" s="382">
        <f t="shared" si="7"/>
        <v>837264.03749999998</v>
      </c>
      <c r="AF92" s="382">
        <f t="shared" si="7"/>
        <v>280965.58958333329</v>
      </c>
    </row>
    <row r="93" spans="1:32">
      <c r="A93" s="20">
        <v>85</v>
      </c>
      <c r="C93" s="5" t="s">
        <v>1770</v>
      </c>
      <c r="D93" s="383" t="s">
        <v>1769</v>
      </c>
      <c r="E93" s="382">
        <v>0</v>
      </c>
      <c r="F93" s="382">
        <v>0</v>
      </c>
      <c r="G93" s="382">
        <v>0</v>
      </c>
      <c r="H93" s="382">
        <v>0</v>
      </c>
      <c r="I93" s="382">
        <v>0</v>
      </c>
      <c r="J93" s="382">
        <v>0</v>
      </c>
      <c r="K93" s="382">
        <v>0</v>
      </c>
      <c r="L93" s="382">
        <v>0</v>
      </c>
      <c r="M93" s="382">
        <v>0</v>
      </c>
      <c r="N93" s="382">
        <v>0</v>
      </c>
      <c r="O93" s="382">
        <v>0</v>
      </c>
      <c r="P93" s="382">
        <v>0</v>
      </c>
      <c r="Q93" s="382">
        <v>0</v>
      </c>
      <c r="R93" s="382">
        <v>0</v>
      </c>
      <c r="S93" s="382">
        <v>2070368.79</v>
      </c>
      <c r="T93" s="382">
        <v>183036.69</v>
      </c>
      <c r="U93" s="382">
        <v>2070368.79</v>
      </c>
      <c r="V93" s="382">
        <v>200289.76</v>
      </c>
      <c r="W93" s="382">
        <v>2070368.79</v>
      </c>
      <c r="X93" s="382">
        <v>217542.83000000002</v>
      </c>
      <c r="Y93" s="382">
        <v>2070368.79</v>
      </c>
      <c r="Z93" s="382">
        <v>234795.9</v>
      </c>
      <c r="AA93" s="382">
        <v>2076102.74</v>
      </c>
      <c r="AB93" s="382">
        <v>252611.99000000002</v>
      </c>
      <c r="AC93" s="382">
        <v>2077384.42</v>
      </c>
      <c r="AD93" s="382">
        <v>269912.84999999998</v>
      </c>
      <c r="AE93" s="382">
        <f t="shared" si="7"/>
        <v>949689.17583333328</v>
      </c>
      <c r="AF93" s="382">
        <f t="shared" si="7"/>
        <v>101936.13291666668</v>
      </c>
    </row>
    <row r="94" spans="1:32">
      <c r="A94" s="20">
        <v>86</v>
      </c>
      <c r="C94" s="5" t="s">
        <v>1771</v>
      </c>
      <c r="D94" s="383" t="s">
        <v>1769</v>
      </c>
      <c r="E94" s="382">
        <v>0</v>
      </c>
      <c r="F94" s="382">
        <v>0</v>
      </c>
      <c r="G94" s="382">
        <v>0</v>
      </c>
      <c r="H94" s="382">
        <v>0</v>
      </c>
      <c r="I94" s="382">
        <v>0</v>
      </c>
      <c r="J94" s="382">
        <v>0</v>
      </c>
      <c r="K94" s="382">
        <v>0</v>
      </c>
      <c r="L94" s="382">
        <v>0</v>
      </c>
      <c r="M94" s="382">
        <v>0</v>
      </c>
      <c r="N94" s="382">
        <v>0</v>
      </c>
      <c r="O94" s="382">
        <v>0</v>
      </c>
      <c r="P94" s="382">
        <v>0</v>
      </c>
      <c r="Q94" s="382">
        <v>0</v>
      </c>
      <c r="R94" s="382">
        <v>0</v>
      </c>
      <c r="S94" s="382">
        <v>0</v>
      </c>
      <c r="T94" s="382">
        <v>0</v>
      </c>
      <c r="U94" s="382">
        <v>0</v>
      </c>
      <c r="V94" s="382">
        <v>0</v>
      </c>
      <c r="W94" s="382">
        <v>0</v>
      </c>
      <c r="X94" s="382">
        <v>0</v>
      </c>
      <c r="Y94" s="382">
        <v>0</v>
      </c>
      <c r="Z94" s="382">
        <v>0</v>
      </c>
      <c r="AA94" s="382">
        <v>0</v>
      </c>
      <c r="AB94" s="382">
        <v>0</v>
      </c>
      <c r="AC94" s="382">
        <v>0</v>
      </c>
      <c r="AD94" s="382">
        <v>0</v>
      </c>
      <c r="AE94" s="382">
        <f t="shared" si="7"/>
        <v>0</v>
      </c>
      <c r="AF94" s="382">
        <f t="shared" si="7"/>
        <v>0</v>
      </c>
    </row>
    <row r="95" spans="1:32">
      <c r="A95" s="20">
        <v>87</v>
      </c>
      <c r="C95" s="5" t="s">
        <v>1772</v>
      </c>
      <c r="D95" s="383" t="s">
        <v>1769</v>
      </c>
      <c r="E95" s="382">
        <v>0</v>
      </c>
      <c r="F95" s="382">
        <v>0</v>
      </c>
      <c r="G95" s="382">
        <v>0</v>
      </c>
      <c r="H95" s="382">
        <v>0</v>
      </c>
      <c r="I95" s="382">
        <v>0</v>
      </c>
      <c r="J95" s="382">
        <v>0</v>
      </c>
      <c r="K95" s="382">
        <v>0</v>
      </c>
      <c r="L95" s="382">
        <v>0</v>
      </c>
      <c r="M95" s="382">
        <v>0</v>
      </c>
      <c r="N95" s="382">
        <v>0</v>
      </c>
      <c r="O95" s="382">
        <v>0</v>
      </c>
      <c r="P95" s="382">
        <v>0</v>
      </c>
      <c r="Q95" s="382">
        <v>0</v>
      </c>
      <c r="R95" s="382">
        <v>0</v>
      </c>
      <c r="S95" s="382">
        <v>4188146.93</v>
      </c>
      <c r="T95" s="382">
        <v>1247308.1499999999</v>
      </c>
      <c r="U95" s="382">
        <v>4188146.93</v>
      </c>
      <c r="V95" s="382">
        <v>1274147.19</v>
      </c>
      <c r="W95" s="382">
        <v>4188146.93</v>
      </c>
      <c r="X95" s="382">
        <v>1300986.23</v>
      </c>
      <c r="Y95" s="382">
        <v>4188146.93</v>
      </c>
      <c r="Z95" s="382">
        <v>1327825.27</v>
      </c>
      <c r="AA95" s="382">
        <v>4188146.93</v>
      </c>
      <c r="AB95" s="382">
        <v>1354664.31</v>
      </c>
      <c r="AC95" s="382">
        <v>4188146.93</v>
      </c>
      <c r="AD95" s="382">
        <v>1381503.35</v>
      </c>
      <c r="AE95" s="382">
        <f t="shared" si="7"/>
        <v>1919567.3429166668</v>
      </c>
      <c r="AF95" s="382">
        <f t="shared" si="7"/>
        <v>599640.23541666672</v>
      </c>
    </row>
    <row r="96" spans="1:32">
      <c r="A96" s="20">
        <v>88</v>
      </c>
      <c r="C96" s="5" t="s">
        <v>1773</v>
      </c>
      <c r="D96" s="383" t="s">
        <v>1769</v>
      </c>
      <c r="E96" s="382">
        <v>0</v>
      </c>
      <c r="F96" s="382">
        <v>0</v>
      </c>
      <c r="G96" s="382">
        <v>0</v>
      </c>
      <c r="H96" s="382">
        <v>0</v>
      </c>
      <c r="I96" s="382">
        <v>0</v>
      </c>
      <c r="J96" s="382">
        <v>0</v>
      </c>
      <c r="K96" s="382">
        <v>0</v>
      </c>
      <c r="L96" s="382">
        <v>0</v>
      </c>
      <c r="M96" s="382">
        <v>0</v>
      </c>
      <c r="N96" s="382">
        <v>0</v>
      </c>
      <c r="O96" s="382">
        <v>0</v>
      </c>
      <c r="P96" s="382">
        <v>0</v>
      </c>
      <c r="Q96" s="382">
        <v>0</v>
      </c>
      <c r="R96" s="382">
        <v>0</v>
      </c>
      <c r="S96" s="382">
        <v>695173.17</v>
      </c>
      <c r="T96" s="382">
        <v>266316</v>
      </c>
      <c r="U96" s="382">
        <v>695173.17</v>
      </c>
      <c r="V96" s="382">
        <v>270452.28000000003</v>
      </c>
      <c r="W96" s="382">
        <v>695173.17</v>
      </c>
      <c r="X96" s="382">
        <v>274588.56</v>
      </c>
      <c r="Y96" s="382">
        <v>695173.17</v>
      </c>
      <c r="Z96" s="382">
        <v>278724.84000000003</v>
      </c>
      <c r="AA96" s="382">
        <v>695173.17</v>
      </c>
      <c r="AB96" s="382">
        <v>282861.12</v>
      </c>
      <c r="AC96" s="382">
        <v>695173.17</v>
      </c>
      <c r="AD96" s="382">
        <v>286997.40000000002</v>
      </c>
      <c r="AE96" s="382">
        <f t="shared" si="7"/>
        <v>318621.03625</v>
      </c>
      <c r="AF96" s="382">
        <f t="shared" si="7"/>
        <v>126370.12500000001</v>
      </c>
    </row>
    <row r="97" spans="1:32">
      <c r="A97" s="20">
        <v>89</v>
      </c>
      <c r="C97" s="5" t="s">
        <v>1774</v>
      </c>
      <c r="D97" s="383" t="s">
        <v>1769</v>
      </c>
      <c r="E97" s="382">
        <v>0</v>
      </c>
      <c r="F97" s="382">
        <v>0</v>
      </c>
      <c r="G97" s="382">
        <v>0</v>
      </c>
      <c r="H97" s="382">
        <v>0</v>
      </c>
      <c r="I97" s="382">
        <v>0</v>
      </c>
      <c r="J97" s="382">
        <v>0</v>
      </c>
      <c r="K97" s="382">
        <v>0</v>
      </c>
      <c r="L97" s="382">
        <v>0</v>
      </c>
      <c r="M97" s="382">
        <v>0</v>
      </c>
      <c r="N97" s="382">
        <v>0</v>
      </c>
      <c r="O97" s="382">
        <v>0</v>
      </c>
      <c r="P97" s="382">
        <v>0</v>
      </c>
      <c r="Q97" s="382">
        <v>0</v>
      </c>
      <c r="R97" s="382">
        <v>0</v>
      </c>
      <c r="S97" s="382">
        <v>2037970.86</v>
      </c>
      <c r="T97" s="382">
        <v>705285.65</v>
      </c>
      <c r="U97" s="382">
        <v>2037970.86</v>
      </c>
      <c r="V97" s="382">
        <v>717411.58</v>
      </c>
      <c r="W97" s="382">
        <v>2037970.86</v>
      </c>
      <c r="X97" s="382">
        <v>729537.51</v>
      </c>
      <c r="Y97" s="382">
        <v>2037970.86</v>
      </c>
      <c r="Z97" s="382">
        <v>741663.44000000006</v>
      </c>
      <c r="AA97" s="382">
        <v>2037970.86</v>
      </c>
      <c r="AB97" s="382">
        <v>753789.37</v>
      </c>
      <c r="AC97" s="382">
        <v>2037970.86</v>
      </c>
      <c r="AD97" s="382">
        <v>765915.3</v>
      </c>
      <c r="AE97" s="382">
        <f t="shared" si="7"/>
        <v>934069.97750000004</v>
      </c>
      <c r="AF97" s="382">
        <f t="shared" si="7"/>
        <v>335887.10000000003</v>
      </c>
    </row>
    <row r="98" spans="1:32">
      <c r="A98" s="20">
        <v>90</v>
      </c>
      <c r="C98" s="5" t="s">
        <v>1775</v>
      </c>
      <c r="D98" s="383" t="s">
        <v>1769</v>
      </c>
      <c r="E98" s="382">
        <v>0</v>
      </c>
      <c r="F98" s="382">
        <v>0</v>
      </c>
      <c r="G98" s="382">
        <v>0</v>
      </c>
      <c r="H98" s="382">
        <v>0</v>
      </c>
      <c r="I98" s="382">
        <v>0</v>
      </c>
      <c r="J98" s="382">
        <v>0</v>
      </c>
      <c r="K98" s="382">
        <v>0</v>
      </c>
      <c r="L98" s="382">
        <v>0</v>
      </c>
      <c r="M98" s="382">
        <v>0</v>
      </c>
      <c r="N98" s="382">
        <v>0</v>
      </c>
      <c r="O98" s="382">
        <v>0</v>
      </c>
      <c r="P98" s="382">
        <v>0</v>
      </c>
      <c r="Q98" s="382">
        <v>0</v>
      </c>
      <c r="R98" s="382">
        <v>0</v>
      </c>
      <c r="S98" s="382">
        <v>17063587.219999999</v>
      </c>
      <c r="T98" s="382">
        <v>5112326.0599999996</v>
      </c>
      <c r="U98" s="382">
        <v>17063587.219999999</v>
      </c>
      <c r="V98" s="382">
        <v>5207171.17</v>
      </c>
      <c r="W98" s="382">
        <v>17063587.219999999</v>
      </c>
      <c r="X98" s="382">
        <v>5302016.28</v>
      </c>
      <c r="Y98" s="382">
        <v>17063587.219999999</v>
      </c>
      <c r="Z98" s="382">
        <v>5396861.3899999997</v>
      </c>
      <c r="AA98" s="382">
        <v>17063587.219999999</v>
      </c>
      <c r="AB98" s="382">
        <v>5491706.5</v>
      </c>
      <c r="AC98" s="382">
        <v>17063587.219999999</v>
      </c>
      <c r="AD98" s="382">
        <v>5586551.6100000003</v>
      </c>
      <c r="AE98" s="382">
        <f t="shared" si="7"/>
        <v>7820810.8091666661</v>
      </c>
      <c r="AF98" s="382">
        <f t="shared" si="7"/>
        <v>2441946.4337500003</v>
      </c>
    </row>
    <row r="99" spans="1:32">
      <c r="A99" s="20">
        <v>91</v>
      </c>
      <c r="C99" s="5" t="s">
        <v>1776</v>
      </c>
      <c r="D99" s="383" t="s">
        <v>1769</v>
      </c>
      <c r="E99" s="382">
        <v>0</v>
      </c>
      <c r="F99" s="382">
        <v>0</v>
      </c>
      <c r="G99" s="382">
        <v>0</v>
      </c>
      <c r="H99" s="382">
        <v>0</v>
      </c>
      <c r="I99" s="382">
        <v>0</v>
      </c>
      <c r="J99" s="382">
        <v>0</v>
      </c>
      <c r="K99" s="382">
        <v>0</v>
      </c>
      <c r="L99" s="382">
        <v>0</v>
      </c>
      <c r="M99" s="382">
        <v>0</v>
      </c>
      <c r="N99" s="382">
        <v>0</v>
      </c>
      <c r="O99" s="382">
        <v>0</v>
      </c>
      <c r="P99" s="382">
        <v>0</v>
      </c>
      <c r="Q99" s="382">
        <v>0</v>
      </c>
      <c r="R99" s="382">
        <v>0</v>
      </c>
      <c r="S99" s="382">
        <v>541240.59</v>
      </c>
      <c r="T99" s="382">
        <v>137962.07</v>
      </c>
      <c r="U99" s="382">
        <v>541240.59</v>
      </c>
      <c r="V99" s="382">
        <v>140970.47</v>
      </c>
      <c r="W99" s="382">
        <v>541240.59</v>
      </c>
      <c r="X99" s="382">
        <v>143978.87</v>
      </c>
      <c r="Y99" s="382">
        <v>541240.59</v>
      </c>
      <c r="Z99" s="382">
        <v>146987.26999999999</v>
      </c>
      <c r="AA99" s="382">
        <v>541240.59</v>
      </c>
      <c r="AB99" s="382">
        <v>149995.67000000001</v>
      </c>
      <c r="AC99" s="382">
        <v>541240.59</v>
      </c>
      <c r="AD99" s="382">
        <v>153004.07</v>
      </c>
      <c r="AE99" s="382">
        <f t="shared" si="7"/>
        <v>248068.60374999998</v>
      </c>
      <c r="AF99" s="382">
        <f t="shared" si="7"/>
        <v>66366.365416666682</v>
      </c>
    </row>
    <row r="100" spans="1:32">
      <c r="A100" s="20">
        <v>92</v>
      </c>
      <c r="C100" s="5" t="s">
        <v>1777</v>
      </c>
      <c r="D100" s="383" t="s">
        <v>1769</v>
      </c>
      <c r="E100" s="382">
        <v>0</v>
      </c>
      <c r="F100" s="382">
        <v>0</v>
      </c>
      <c r="G100" s="382">
        <v>0</v>
      </c>
      <c r="H100" s="382">
        <v>0</v>
      </c>
      <c r="I100" s="382">
        <v>0</v>
      </c>
      <c r="J100" s="382">
        <v>0</v>
      </c>
      <c r="K100" s="382">
        <v>0</v>
      </c>
      <c r="L100" s="382">
        <v>0</v>
      </c>
      <c r="M100" s="382">
        <v>0</v>
      </c>
      <c r="N100" s="382">
        <v>0</v>
      </c>
      <c r="O100" s="382">
        <v>0</v>
      </c>
      <c r="P100" s="382">
        <v>0</v>
      </c>
      <c r="Q100" s="382">
        <v>0</v>
      </c>
      <c r="R100" s="382">
        <v>0</v>
      </c>
      <c r="S100" s="382">
        <v>7720.22</v>
      </c>
      <c r="T100" s="382">
        <v>7720.22</v>
      </c>
      <c r="U100" s="382">
        <v>7720.22</v>
      </c>
      <c r="V100" s="382">
        <v>7720.22</v>
      </c>
      <c r="W100" s="382">
        <v>7720.22</v>
      </c>
      <c r="X100" s="382">
        <v>7720.22</v>
      </c>
      <c r="Y100" s="382">
        <v>7720.22</v>
      </c>
      <c r="Z100" s="382">
        <v>7720.22</v>
      </c>
      <c r="AA100" s="382">
        <v>7720.22</v>
      </c>
      <c r="AB100" s="382">
        <v>7720.22</v>
      </c>
      <c r="AC100" s="382">
        <v>7720.22</v>
      </c>
      <c r="AD100" s="382">
        <v>7720.22</v>
      </c>
      <c r="AE100" s="382">
        <f t="shared" si="7"/>
        <v>3538.4341666666664</v>
      </c>
      <c r="AF100" s="382">
        <f t="shared" si="7"/>
        <v>3538.4341666666664</v>
      </c>
    </row>
    <row r="101" spans="1:32">
      <c r="A101" s="20">
        <v>93</v>
      </c>
      <c r="C101" s="5" t="s">
        <v>1778</v>
      </c>
      <c r="D101" s="383" t="s">
        <v>1769</v>
      </c>
      <c r="E101" s="382">
        <v>0</v>
      </c>
      <c r="F101" s="382">
        <v>0</v>
      </c>
      <c r="G101" s="382">
        <v>0</v>
      </c>
      <c r="H101" s="382">
        <v>0</v>
      </c>
      <c r="I101" s="382">
        <v>0</v>
      </c>
      <c r="J101" s="382">
        <v>0</v>
      </c>
      <c r="K101" s="382">
        <v>0</v>
      </c>
      <c r="L101" s="382">
        <v>0</v>
      </c>
      <c r="M101" s="382">
        <v>0</v>
      </c>
      <c r="N101" s="382">
        <v>0</v>
      </c>
      <c r="O101" s="382">
        <v>0</v>
      </c>
      <c r="P101" s="382">
        <v>0</v>
      </c>
      <c r="Q101" s="382">
        <v>0</v>
      </c>
      <c r="R101" s="382">
        <v>0</v>
      </c>
      <c r="S101" s="382">
        <v>14271.5</v>
      </c>
      <c r="T101" s="382">
        <v>13082.23</v>
      </c>
      <c r="U101" s="382">
        <v>14271.5</v>
      </c>
      <c r="V101" s="382">
        <v>13320.09</v>
      </c>
      <c r="W101" s="382">
        <v>14271.5</v>
      </c>
      <c r="X101" s="382">
        <v>13557.95</v>
      </c>
      <c r="Y101" s="382">
        <v>14271.5</v>
      </c>
      <c r="Z101" s="382">
        <v>13795.81</v>
      </c>
      <c r="AA101" s="382">
        <v>14271.5</v>
      </c>
      <c r="AB101" s="382">
        <v>14033.67</v>
      </c>
      <c r="AC101" s="382">
        <v>14271.5</v>
      </c>
      <c r="AD101" s="382">
        <v>14271.5</v>
      </c>
      <c r="AE101" s="382">
        <f t="shared" si="7"/>
        <v>6541.104166666667</v>
      </c>
      <c r="AF101" s="382">
        <f t="shared" si="7"/>
        <v>6243.791666666667</v>
      </c>
    </row>
    <row r="102" spans="1:32">
      <c r="A102" s="20">
        <v>94</v>
      </c>
      <c r="C102" s="5" t="s">
        <v>1779</v>
      </c>
      <c r="D102" s="383" t="s">
        <v>1769</v>
      </c>
      <c r="E102" s="382">
        <v>0</v>
      </c>
      <c r="F102" s="382">
        <v>0</v>
      </c>
      <c r="G102" s="382">
        <v>0</v>
      </c>
      <c r="H102" s="382">
        <v>0</v>
      </c>
      <c r="I102" s="382">
        <v>0</v>
      </c>
      <c r="J102" s="382">
        <v>0</v>
      </c>
      <c r="K102" s="382">
        <v>0</v>
      </c>
      <c r="L102" s="382">
        <v>0</v>
      </c>
      <c r="M102" s="382">
        <v>0</v>
      </c>
      <c r="N102" s="382">
        <v>0</v>
      </c>
      <c r="O102" s="382">
        <v>0</v>
      </c>
      <c r="P102" s="382">
        <v>0</v>
      </c>
      <c r="Q102" s="382">
        <v>0</v>
      </c>
      <c r="R102" s="382">
        <v>0</v>
      </c>
      <c r="S102" s="382">
        <v>131168.49</v>
      </c>
      <c r="T102" s="382">
        <v>70938.94</v>
      </c>
      <c r="U102" s="382">
        <v>131168.49</v>
      </c>
      <c r="V102" s="382">
        <v>72500.94</v>
      </c>
      <c r="W102" s="382">
        <v>131168.49</v>
      </c>
      <c r="X102" s="382">
        <v>74062.94</v>
      </c>
      <c r="Y102" s="382">
        <v>131168.49</v>
      </c>
      <c r="Z102" s="382">
        <v>75624.94</v>
      </c>
      <c r="AA102" s="382">
        <v>131168.49</v>
      </c>
      <c r="AB102" s="382">
        <v>77186.94</v>
      </c>
      <c r="AC102" s="382">
        <v>131168.49</v>
      </c>
      <c r="AD102" s="382">
        <v>78748.94</v>
      </c>
      <c r="AE102" s="382">
        <f t="shared" si="7"/>
        <v>60118.891249999993</v>
      </c>
      <c r="AF102" s="382">
        <f t="shared" si="7"/>
        <v>34140.764166666668</v>
      </c>
    </row>
    <row r="103" spans="1:32">
      <c r="A103" s="20">
        <v>95</v>
      </c>
      <c r="C103" s="5" t="s">
        <v>1780</v>
      </c>
      <c r="D103" s="383" t="s">
        <v>1769</v>
      </c>
      <c r="E103" s="382">
        <v>0</v>
      </c>
      <c r="F103" s="382">
        <v>0</v>
      </c>
      <c r="G103" s="382">
        <v>0</v>
      </c>
      <c r="H103" s="382">
        <v>0</v>
      </c>
      <c r="I103" s="382">
        <v>0</v>
      </c>
      <c r="J103" s="382">
        <v>0</v>
      </c>
      <c r="K103" s="382">
        <v>0</v>
      </c>
      <c r="L103" s="382">
        <v>0</v>
      </c>
      <c r="M103" s="382">
        <v>0</v>
      </c>
      <c r="N103" s="382">
        <v>0</v>
      </c>
      <c r="O103" s="382">
        <v>0</v>
      </c>
      <c r="P103" s="382">
        <v>0</v>
      </c>
      <c r="Q103" s="382">
        <v>0</v>
      </c>
      <c r="R103" s="382">
        <v>0</v>
      </c>
      <c r="S103" s="382">
        <v>3004957.37</v>
      </c>
      <c r="T103" s="382">
        <v>1192409.98</v>
      </c>
      <c r="U103" s="382">
        <v>3004957.37</v>
      </c>
      <c r="V103" s="382">
        <v>1228194.01</v>
      </c>
      <c r="W103" s="382">
        <v>3004957.37</v>
      </c>
      <c r="X103" s="382">
        <v>1263978.04</v>
      </c>
      <c r="Y103" s="382">
        <v>3004957.37</v>
      </c>
      <c r="Z103" s="382">
        <v>1299762.07</v>
      </c>
      <c r="AA103" s="382">
        <v>3004957.37</v>
      </c>
      <c r="AB103" s="382">
        <v>1335546.1000000001</v>
      </c>
      <c r="AC103" s="382">
        <v>3004957.37</v>
      </c>
      <c r="AD103" s="382">
        <v>1371330.13</v>
      </c>
      <c r="AE103" s="382">
        <f t="shared" si="7"/>
        <v>1377272.1279166669</v>
      </c>
      <c r="AF103" s="382">
        <f t="shared" si="7"/>
        <v>583796.27208333334</v>
      </c>
    </row>
    <row r="104" spans="1:32">
      <c r="A104" s="20">
        <v>96</v>
      </c>
      <c r="C104" s="5" t="s">
        <v>1781</v>
      </c>
      <c r="D104" s="383" t="s">
        <v>1769</v>
      </c>
      <c r="E104" s="382">
        <v>0</v>
      </c>
      <c r="F104" s="382">
        <v>0</v>
      </c>
      <c r="G104" s="382">
        <v>0</v>
      </c>
      <c r="H104" s="382">
        <v>0</v>
      </c>
      <c r="I104" s="382">
        <v>0</v>
      </c>
      <c r="J104" s="382">
        <v>0</v>
      </c>
      <c r="K104" s="382">
        <v>0</v>
      </c>
      <c r="L104" s="382">
        <v>0</v>
      </c>
      <c r="M104" s="382">
        <v>0</v>
      </c>
      <c r="N104" s="382">
        <v>0</v>
      </c>
      <c r="O104" s="382">
        <v>0</v>
      </c>
      <c r="P104" s="382">
        <v>0</v>
      </c>
      <c r="Q104" s="382">
        <v>0</v>
      </c>
      <c r="R104" s="382">
        <v>0</v>
      </c>
      <c r="S104" s="382">
        <v>585144.89</v>
      </c>
      <c r="T104" s="382">
        <v>151336.06</v>
      </c>
      <c r="U104" s="382">
        <v>585144.89</v>
      </c>
      <c r="V104" s="382">
        <v>158304.16</v>
      </c>
      <c r="W104" s="382">
        <v>585144.89</v>
      </c>
      <c r="X104" s="382">
        <v>165272.26</v>
      </c>
      <c r="Y104" s="382">
        <v>585144.89</v>
      </c>
      <c r="Z104" s="382">
        <v>172240.36000000002</v>
      </c>
      <c r="AA104" s="382">
        <v>585144.89</v>
      </c>
      <c r="AB104" s="382">
        <v>179208.46</v>
      </c>
      <c r="AC104" s="382">
        <v>585144.89</v>
      </c>
      <c r="AD104" s="382">
        <v>186176.56</v>
      </c>
      <c r="AE104" s="382">
        <f t="shared" si="7"/>
        <v>268191.40791666665</v>
      </c>
      <c r="AF104" s="382">
        <f t="shared" si="7"/>
        <v>76620.798333333325</v>
      </c>
    </row>
    <row r="105" spans="1:32">
      <c r="A105" s="20">
        <v>97</v>
      </c>
      <c r="C105" s="5" t="s">
        <v>1782</v>
      </c>
      <c r="D105" s="383" t="s">
        <v>1769</v>
      </c>
      <c r="E105" s="382">
        <v>0</v>
      </c>
      <c r="F105" s="382">
        <v>0</v>
      </c>
      <c r="G105" s="382">
        <v>0</v>
      </c>
      <c r="H105" s="382">
        <v>0</v>
      </c>
      <c r="I105" s="382">
        <v>0</v>
      </c>
      <c r="J105" s="382">
        <v>0</v>
      </c>
      <c r="K105" s="382">
        <v>0</v>
      </c>
      <c r="L105" s="382">
        <v>0</v>
      </c>
      <c r="M105" s="382">
        <v>0</v>
      </c>
      <c r="N105" s="382">
        <v>0</v>
      </c>
      <c r="O105" s="382">
        <v>0</v>
      </c>
      <c r="P105" s="382">
        <v>0</v>
      </c>
      <c r="Q105" s="382">
        <v>0</v>
      </c>
      <c r="R105" s="382">
        <v>0</v>
      </c>
      <c r="S105" s="382">
        <v>20560.650000000001</v>
      </c>
      <c r="T105" s="382">
        <v>4873.57</v>
      </c>
      <c r="U105" s="382">
        <v>20560.650000000001</v>
      </c>
      <c r="V105" s="382">
        <v>5118.41</v>
      </c>
      <c r="W105" s="382">
        <v>20560.650000000001</v>
      </c>
      <c r="X105" s="382">
        <v>5363.25</v>
      </c>
      <c r="Y105" s="382">
        <v>20560.650000000001</v>
      </c>
      <c r="Z105" s="382">
        <v>5608.09</v>
      </c>
      <c r="AA105" s="382">
        <v>20560.650000000001</v>
      </c>
      <c r="AB105" s="382">
        <v>5852.93</v>
      </c>
      <c r="AC105" s="382">
        <v>20560.650000000001</v>
      </c>
      <c r="AD105" s="382">
        <v>6097.77</v>
      </c>
      <c r="AE105" s="382">
        <f t="shared" si="7"/>
        <v>9423.6312500000004</v>
      </c>
      <c r="AF105" s="382">
        <f t="shared" si="7"/>
        <v>2488.76125</v>
      </c>
    </row>
    <row r="106" spans="1:32">
      <c r="A106" s="20">
        <v>98</v>
      </c>
      <c r="C106" s="5" t="s">
        <v>1783</v>
      </c>
      <c r="D106" s="5" t="str">
        <f t="shared" ref="D106:D129" si="8">RIGHT(C106,5)</f>
        <v>00100</v>
      </c>
      <c r="E106" s="382">
        <v>31960507.600000001</v>
      </c>
      <c r="F106" s="382">
        <v>8053426.4299999997</v>
      </c>
      <c r="G106" s="382">
        <v>32108431.690000001</v>
      </c>
      <c r="H106" s="382">
        <v>8284691.1200000001</v>
      </c>
      <c r="I106" s="382">
        <v>32116587.800000001</v>
      </c>
      <c r="J106" s="382">
        <v>8518849.4199999999</v>
      </c>
      <c r="K106" s="382">
        <v>32173607.18</v>
      </c>
      <c r="L106" s="382">
        <v>8751831.6600000001</v>
      </c>
      <c r="M106" s="382">
        <v>32184081.329999998</v>
      </c>
      <c r="N106" s="382">
        <v>8985449.9299999997</v>
      </c>
      <c r="O106" s="382">
        <v>32187271.329999998</v>
      </c>
      <c r="P106" s="382">
        <v>9219219.6500000004</v>
      </c>
      <c r="Q106" s="382">
        <v>32192427.940000001</v>
      </c>
      <c r="R106" s="382">
        <v>9453029.7300000004</v>
      </c>
      <c r="S106" s="382">
        <v>0</v>
      </c>
      <c r="T106" s="382">
        <v>0</v>
      </c>
      <c r="U106" s="382">
        <v>0</v>
      </c>
      <c r="V106" s="382">
        <v>0</v>
      </c>
      <c r="W106" s="382">
        <v>4302.82</v>
      </c>
      <c r="X106" s="382">
        <v>0</v>
      </c>
      <c r="Y106" s="382">
        <v>5733.95</v>
      </c>
      <c r="Z106" s="382">
        <v>563.02</v>
      </c>
      <c r="AA106" s="382">
        <v>0</v>
      </c>
      <c r="AB106" s="382">
        <v>0</v>
      </c>
      <c r="AC106" s="382">
        <v>0</v>
      </c>
      <c r="AD106" s="382">
        <v>0</v>
      </c>
      <c r="AE106" s="382">
        <f t="shared" si="7"/>
        <v>17412724.819999997</v>
      </c>
      <c r="AF106" s="382">
        <f t="shared" si="7"/>
        <v>4770028.9787499988</v>
      </c>
    </row>
    <row r="107" spans="1:32">
      <c r="A107" s="20">
        <v>99</v>
      </c>
      <c r="C107" s="5" t="s">
        <v>1784</v>
      </c>
      <c r="D107" s="5" t="str">
        <f t="shared" si="8"/>
        <v>00100</v>
      </c>
      <c r="E107" s="382">
        <v>94899.76</v>
      </c>
      <c r="F107" s="382">
        <v>0</v>
      </c>
      <c r="G107" s="382">
        <v>94899.76</v>
      </c>
      <c r="H107" s="382">
        <v>0</v>
      </c>
      <c r="I107" s="382">
        <v>94899.76</v>
      </c>
      <c r="J107" s="382">
        <v>0</v>
      </c>
      <c r="K107" s="382">
        <v>94899.76</v>
      </c>
      <c r="L107" s="382">
        <v>0</v>
      </c>
      <c r="M107" s="382">
        <v>94899.76</v>
      </c>
      <c r="N107" s="382">
        <v>0</v>
      </c>
      <c r="O107" s="382">
        <v>94899.76</v>
      </c>
      <c r="P107" s="382">
        <v>0</v>
      </c>
      <c r="Q107" s="382">
        <v>94899.76</v>
      </c>
      <c r="R107" s="382">
        <v>0</v>
      </c>
      <c r="S107" s="382">
        <v>94899.76</v>
      </c>
      <c r="T107" s="382">
        <v>0</v>
      </c>
      <c r="U107" s="382">
        <v>94899.76</v>
      </c>
      <c r="V107" s="382">
        <v>0</v>
      </c>
      <c r="W107" s="382">
        <v>94899.76</v>
      </c>
      <c r="X107" s="382">
        <v>0</v>
      </c>
      <c r="Y107" s="382">
        <v>94899.76</v>
      </c>
      <c r="Z107" s="382">
        <v>0</v>
      </c>
      <c r="AA107" s="382">
        <v>94899.76</v>
      </c>
      <c r="AB107" s="382">
        <v>0</v>
      </c>
      <c r="AC107" s="382">
        <v>94899.76</v>
      </c>
      <c r="AD107" s="382">
        <v>0</v>
      </c>
      <c r="AE107" s="382">
        <f t="shared" si="7"/>
        <v>94899.76</v>
      </c>
      <c r="AF107" s="382">
        <f t="shared" si="7"/>
        <v>0</v>
      </c>
    </row>
    <row r="108" spans="1:32">
      <c r="A108" s="20">
        <v>100</v>
      </c>
      <c r="C108" s="5" t="s">
        <v>1785</v>
      </c>
      <c r="D108" s="5" t="str">
        <f t="shared" si="8"/>
        <v>00100</v>
      </c>
      <c r="E108" s="382">
        <v>399189.10000000003</v>
      </c>
      <c r="F108" s="382">
        <v>419149.75</v>
      </c>
      <c r="G108" s="382">
        <v>399189.10000000003</v>
      </c>
      <c r="H108" s="382">
        <v>419149.75</v>
      </c>
      <c r="I108" s="382">
        <v>399189.10000000003</v>
      </c>
      <c r="J108" s="382">
        <v>419149.75</v>
      </c>
      <c r="K108" s="382">
        <v>399189.10000000003</v>
      </c>
      <c r="L108" s="382">
        <v>419149.75</v>
      </c>
      <c r="M108" s="382">
        <v>399189.10000000003</v>
      </c>
      <c r="N108" s="382">
        <v>419149.75</v>
      </c>
      <c r="O108" s="382">
        <v>399189.10000000003</v>
      </c>
      <c r="P108" s="382">
        <v>419149.75</v>
      </c>
      <c r="Q108" s="382">
        <v>399189.10000000003</v>
      </c>
      <c r="R108" s="382">
        <v>419149.75</v>
      </c>
      <c r="S108" s="382">
        <v>399189.10000000003</v>
      </c>
      <c r="T108" s="382">
        <v>419149.75</v>
      </c>
      <c r="U108" s="382">
        <v>399189.10000000003</v>
      </c>
      <c r="V108" s="382">
        <v>419149.75</v>
      </c>
      <c r="W108" s="382">
        <v>399189.10000000003</v>
      </c>
      <c r="X108" s="382">
        <v>419228.09</v>
      </c>
      <c r="Y108" s="382">
        <v>399189.10000000003</v>
      </c>
      <c r="Z108" s="382">
        <v>419228.09</v>
      </c>
      <c r="AA108" s="382">
        <v>399189.10000000003</v>
      </c>
      <c r="AB108" s="382">
        <v>419228.09</v>
      </c>
      <c r="AC108" s="382">
        <v>399189.10000000003</v>
      </c>
      <c r="AD108" s="382">
        <v>419228.09</v>
      </c>
      <c r="AE108" s="382">
        <f t="shared" si="7"/>
        <v>399189.10000000003</v>
      </c>
      <c r="AF108" s="382">
        <f t="shared" si="7"/>
        <v>419172.59916666662</v>
      </c>
    </row>
    <row r="109" spans="1:32">
      <c r="A109" s="20">
        <v>101</v>
      </c>
      <c r="C109" s="5" t="s">
        <v>1786</v>
      </c>
      <c r="D109" s="5" t="str">
        <f t="shared" si="8"/>
        <v>00100</v>
      </c>
      <c r="E109" s="382">
        <v>954713.11</v>
      </c>
      <c r="F109" s="382">
        <v>696776.97</v>
      </c>
      <c r="G109" s="382">
        <v>954713.11</v>
      </c>
      <c r="H109" s="382">
        <v>696776.97</v>
      </c>
      <c r="I109" s="382">
        <v>954713.11</v>
      </c>
      <c r="J109" s="382">
        <v>696776.97</v>
      </c>
      <c r="K109" s="382">
        <v>954713.11</v>
      </c>
      <c r="L109" s="382">
        <v>696776.97</v>
      </c>
      <c r="M109" s="382">
        <v>954713.11</v>
      </c>
      <c r="N109" s="382">
        <v>696776.97</v>
      </c>
      <c r="O109" s="382">
        <v>954713.11</v>
      </c>
      <c r="P109" s="382">
        <v>696776.97</v>
      </c>
      <c r="Q109" s="382">
        <v>954713.11</v>
      </c>
      <c r="R109" s="382">
        <v>696776.97</v>
      </c>
      <c r="S109" s="382">
        <v>954713.11</v>
      </c>
      <c r="T109" s="382">
        <v>696776.97</v>
      </c>
      <c r="U109" s="382">
        <v>954713.11</v>
      </c>
      <c r="V109" s="382">
        <v>696776.97</v>
      </c>
      <c r="W109" s="382">
        <v>954713.11</v>
      </c>
      <c r="X109" s="382">
        <v>696776.97</v>
      </c>
      <c r="Y109" s="382">
        <v>954713.11</v>
      </c>
      <c r="Z109" s="382">
        <v>696776.97</v>
      </c>
      <c r="AA109" s="382">
        <v>954713.11</v>
      </c>
      <c r="AB109" s="382">
        <v>696776.97</v>
      </c>
      <c r="AC109" s="382">
        <v>954713.11</v>
      </c>
      <c r="AD109" s="382">
        <v>696776.97</v>
      </c>
      <c r="AE109" s="382">
        <f t="shared" si="7"/>
        <v>954713.10999999987</v>
      </c>
      <c r="AF109" s="382">
        <f t="shared" si="7"/>
        <v>696776.96999999986</v>
      </c>
    </row>
    <row r="110" spans="1:32">
      <c r="A110" s="20">
        <v>102</v>
      </c>
      <c r="C110" s="5" t="s">
        <v>1787</v>
      </c>
      <c r="D110" s="5" t="str">
        <f t="shared" si="8"/>
        <v>00100</v>
      </c>
      <c r="E110" s="382">
        <v>5807881.5899999999</v>
      </c>
      <c r="F110" s="382">
        <v>5322633.72</v>
      </c>
      <c r="G110" s="382">
        <v>5807881.5899999999</v>
      </c>
      <c r="H110" s="382">
        <v>5328635.2</v>
      </c>
      <c r="I110" s="382">
        <v>5819580.5999999996</v>
      </c>
      <c r="J110" s="382">
        <v>5334636.68</v>
      </c>
      <c r="K110" s="382">
        <v>5819580.5999999996</v>
      </c>
      <c r="L110" s="382">
        <v>5340650.25</v>
      </c>
      <c r="M110" s="382">
        <v>5819580.5999999996</v>
      </c>
      <c r="N110" s="382">
        <v>5346663.82</v>
      </c>
      <c r="O110" s="382">
        <v>5819148.3499999996</v>
      </c>
      <c r="P110" s="382">
        <v>5352677.3899999997</v>
      </c>
      <c r="Q110" s="382">
        <v>5819148.3499999996</v>
      </c>
      <c r="R110" s="382">
        <v>5358690.51</v>
      </c>
      <c r="S110" s="382">
        <v>5819148.3499999996</v>
      </c>
      <c r="T110" s="382">
        <v>5364703.63</v>
      </c>
      <c r="U110" s="382">
        <v>5862351.0199999996</v>
      </c>
      <c r="V110" s="382">
        <v>5370716.75</v>
      </c>
      <c r="W110" s="382">
        <v>5862351.0199999996</v>
      </c>
      <c r="X110" s="382">
        <v>5376774.5099999998</v>
      </c>
      <c r="Y110" s="382">
        <v>5862351.0199999996</v>
      </c>
      <c r="Z110" s="382">
        <v>5382832.2699999996</v>
      </c>
      <c r="AA110" s="382">
        <v>5862351.0199999996</v>
      </c>
      <c r="AB110" s="382">
        <v>5388890.0300000003</v>
      </c>
      <c r="AC110" s="382">
        <v>5862351.0199999996</v>
      </c>
      <c r="AD110" s="382">
        <v>5394947.79</v>
      </c>
      <c r="AE110" s="382">
        <f t="shared" si="7"/>
        <v>5834049.0687499987</v>
      </c>
      <c r="AF110" s="382">
        <f t="shared" si="7"/>
        <v>5358721.8162500011</v>
      </c>
    </row>
    <row r="111" spans="1:32">
      <c r="A111" s="20">
        <v>103</v>
      </c>
      <c r="C111" s="5" t="s">
        <v>1788</v>
      </c>
      <c r="D111" s="5" t="str">
        <f t="shared" si="8"/>
        <v>00100</v>
      </c>
      <c r="E111" s="382">
        <v>2184217.88</v>
      </c>
      <c r="F111" s="382">
        <v>-128808.1</v>
      </c>
      <c r="G111" s="382">
        <v>2306513.11</v>
      </c>
      <c r="H111" s="382">
        <v>-99248.35</v>
      </c>
      <c r="I111" s="382">
        <v>2308364.84</v>
      </c>
      <c r="J111" s="382">
        <v>-68033.540000000008</v>
      </c>
      <c r="K111" s="382">
        <v>2308364.84</v>
      </c>
      <c r="L111" s="382">
        <v>-36793.67</v>
      </c>
      <c r="M111" s="382">
        <v>2359058.62</v>
      </c>
      <c r="N111" s="382">
        <v>-5553.8</v>
      </c>
      <c r="O111" s="382">
        <v>2359058.62</v>
      </c>
      <c r="P111" s="382">
        <v>26372.13</v>
      </c>
      <c r="Q111" s="382">
        <v>2350808.7800000003</v>
      </c>
      <c r="R111" s="382">
        <v>58298.06</v>
      </c>
      <c r="S111" s="382">
        <v>2356168.14</v>
      </c>
      <c r="T111" s="382">
        <v>90355.94</v>
      </c>
      <c r="U111" s="382">
        <v>2356168.14</v>
      </c>
      <c r="V111" s="382">
        <v>122242.75</v>
      </c>
      <c r="W111" s="382">
        <v>2356168.14</v>
      </c>
      <c r="X111" s="382">
        <v>154129.56</v>
      </c>
      <c r="Y111" s="382">
        <v>2356168.14</v>
      </c>
      <c r="Z111" s="382">
        <v>186016.37</v>
      </c>
      <c r="AA111" s="382">
        <v>2356168.14</v>
      </c>
      <c r="AB111" s="382">
        <v>217903.18</v>
      </c>
      <c r="AC111" s="382">
        <v>2400564.7000000002</v>
      </c>
      <c r="AD111" s="382">
        <v>249789.99</v>
      </c>
      <c r="AE111" s="382">
        <f t="shared" si="7"/>
        <v>2338783.4000000004</v>
      </c>
      <c r="AF111" s="382">
        <f t="shared" si="7"/>
        <v>58848.297916666663</v>
      </c>
    </row>
    <row r="112" spans="1:32">
      <c r="A112" s="20">
        <v>104</v>
      </c>
      <c r="C112" s="5" t="s">
        <v>1789</v>
      </c>
      <c r="D112" s="5" t="str">
        <f t="shared" si="8"/>
        <v>00100</v>
      </c>
      <c r="E112" s="382">
        <v>0</v>
      </c>
      <c r="F112" s="382">
        <v>-5509.99</v>
      </c>
      <c r="G112" s="382">
        <v>0</v>
      </c>
      <c r="H112" s="382">
        <v>-5509.99</v>
      </c>
      <c r="I112" s="382">
        <v>0</v>
      </c>
      <c r="J112" s="382">
        <v>-5509.99</v>
      </c>
      <c r="K112" s="382">
        <v>0</v>
      </c>
      <c r="L112" s="382">
        <v>-5509.99</v>
      </c>
      <c r="M112" s="382">
        <v>0</v>
      </c>
      <c r="N112" s="382">
        <v>-5509.99</v>
      </c>
      <c r="O112" s="382">
        <v>0</v>
      </c>
      <c r="P112" s="382">
        <v>-5509.99</v>
      </c>
      <c r="Q112" s="382">
        <v>0</v>
      </c>
      <c r="R112" s="382">
        <v>-5509.99</v>
      </c>
      <c r="S112" s="382">
        <v>0</v>
      </c>
      <c r="T112" s="382">
        <v>-5509.99</v>
      </c>
      <c r="U112" s="382">
        <v>0</v>
      </c>
      <c r="V112" s="382">
        <v>0</v>
      </c>
      <c r="W112" s="382">
        <v>0</v>
      </c>
      <c r="X112" s="382">
        <v>0</v>
      </c>
      <c r="Y112" s="382">
        <v>0</v>
      </c>
      <c r="Z112" s="382">
        <v>0</v>
      </c>
      <c r="AA112" s="382">
        <v>0</v>
      </c>
      <c r="AB112" s="382">
        <v>0</v>
      </c>
      <c r="AC112" s="382">
        <v>0</v>
      </c>
      <c r="AD112" s="382">
        <v>0</v>
      </c>
      <c r="AE112" s="382">
        <f t="shared" si="7"/>
        <v>0</v>
      </c>
      <c r="AF112" s="382">
        <f t="shared" si="7"/>
        <v>-3443.7437499999996</v>
      </c>
    </row>
    <row r="113" spans="1:32">
      <c r="A113" s="20">
        <v>105</v>
      </c>
      <c r="C113" s="5" t="s">
        <v>1790</v>
      </c>
      <c r="D113" s="5" t="str">
        <f t="shared" si="8"/>
        <v>00100</v>
      </c>
      <c r="E113" s="382">
        <v>156470.54</v>
      </c>
      <c r="F113" s="382">
        <v>-275066.16000000003</v>
      </c>
      <c r="G113" s="382">
        <v>156470.54</v>
      </c>
      <c r="H113" s="382">
        <v>-272801.25</v>
      </c>
      <c r="I113" s="382">
        <v>156470.54</v>
      </c>
      <c r="J113" s="382">
        <v>-270536.34000000003</v>
      </c>
      <c r="K113" s="382">
        <v>156470.54</v>
      </c>
      <c r="L113" s="382">
        <v>-268271.43</v>
      </c>
      <c r="M113" s="382">
        <v>156470.54</v>
      </c>
      <c r="N113" s="382">
        <v>-266006.52</v>
      </c>
      <c r="O113" s="382">
        <v>156470.54</v>
      </c>
      <c r="P113" s="382">
        <v>-263741.61</v>
      </c>
      <c r="Q113" s="382">
        <v>156470.54</v>
      </c>
      <c r="R113" s="382">
        <v>-261476.7</v>
      </c>
      <c r="S113" s="382">
        <v>156470.54</v>
      </c>
      <c r="T113" s="382">
        <v>-259211.79</v>
      </c>
      <c r="U113" s="382">
        <v>156470.54</v>
      </c>
      <c r="V113" s="382">
        <v>-256946.88</v>
      </c>
      <c r="W113" s="382">
        <v>156470.54</v>
      </c>
      <c r="X113" s="382">
        <v>-254681.97</v>
      </c>
      <c r="Y113" s="382">
        <v>156470.54</v>
      </c>
      <c r="Z113" s="382">
        <v>-252417.06</v>
      </c>
      <c r="AA113" s="382">
        <v>156470.54</v>
      </c>
      <c r="AB113" s="382">
        <v>-250152.15</v>
      </c>
      <c r="AC113" s="382">
        <v>156470.54</v>
      </c>
      <c r="AD113" s="382">
        <v>-247887.24</v>
      </c>
      <c r="AE113" s="382">
        <f t="shared" si="7"/>
        <v>156470.54</v>
      </c>
      <c r="AF113" s="382">
        <f t="shared" si="7"/>
        <v>-261476.70000000004</v>
      </c>
    </row>
    <row r="114" spans="1:32">
      <c r="A114" s="20">
        <v>106</v>
      </c>
      <c r="C114" s="5" t="s">
        <v>1791</v>
      </c>
      <c r="D114" s="5" t="str">
        <f t="shared" si="8"/>
        <v>00100</v>
      </c>
      <c r="E114" s="382">
        <v>1276603.8500000001</v>
      </c>
      <c r="F114" s="382">
        <v>-130311.46</v>
      </c>
      <c r="G114" s="382">
        <v>1276603.8500000001</v>
      </c>
      <c r="H114" s="382">
        <v>-125013.55</v>
      </c>
      <c r="I114" s="382">
        <v>1276603.8500000001</v>
      </c>
      <c r="J114" s="382">
        <v>-119715.64</v>
      </c>
      <c r="K114" s="382">
        <v>1276603.8500000001</v>
      </c>
      <c r="L114" s="382">
        <v>-114417.73</v>
      </c>
      <c r="M114" s="382">
        <v>1276603.8500000001</v>
      </c>
      <c r="N114" s="382">
        <v>-109119.82</v>
      </c>
      <c r="O114" s="382">
        <v>1276603.8500000001</v>
      </c>
      <c r="P114" s="382">
        <v>-103821.91</v>
      </c>
      <c r="Q114" s="382">
        <v>1276603.8500000001</v>
      </c>
      <c r="R114" s="382">
        <v>-98524</v>
      </c>
      <c r="S114" s="382">
        <v>1276603.8500000001</v>
      </c>
      <c r="T114" s="382">
        <v>-93226.09</v>
      </c>
      <c r="U114" s="382">
        <v>1276603.8500000001</v>
      </c>
      <c r="V114" s="382">
        <v>-87928.180000000008</v>
      </c>
      <c r="W114" s="382">
        <v>1276603.8500000001</v>
      </c>
      <c r="X114" s="382">
        <v>-82630.27</v>
      </c>
      <c r="Y114" s="382">
        <v>1276603.8500000001</v>
      </c>
      <c r="Z114" s="382">
        <v>-77332.36</v>
      </c>
      <c r="AA114" s="382">
        <v>1276603.8500000001</v>
      </c>
      <c r="AB114" s="382">
        <v>-72034.45</v>
      </c>
      <c r="AC114" s="382">
        <v>1276603.8500000001</v>
      </c>
      <c r="AD114" s="382">
        <v>-66736.540000000008</v>
      </c>
      <c r="AE114" s="382">
        <f t="shared" si="7"/>
        <v>1276603.8499999999</v>
      </c>
      <c r="AF114" s="382">
        <f t="shared" si="7"/>
        <v>-98524</v>
      </c>
    </row>
    <row r="115" spans="1:32">
      <c r="A115" s="20">
        <v>107</v>
      </c>
      <c r="C115" s="5" t="s">
        <v>1792</v>
      </c>
      <c r="D115" s="5" t="str">
        <f t="shared" si="8"/>
        <v>00100</v>
      </c>
      <c r="E115" s="382">
        <v>2994409.61</v>
      </c>
      <c r="F115" s="382">
        <v>2994409.62</v>
      </c>
      <c r="G115" s="382">
        <v>2994409.61</v>
      </c>
      <c r="H115" s="382">
        <v>2994409.62</v>
      </c>
      <c r="I115" s="382">
        <v>2994409.61</v>
      </c>
      <c r="J115" s="382">
        <v>2994409.62</v>
      </c>
      <c r="K115" s="382">
        <v>2994409.61</v>
      </c>
      <c r="L115" s="382">
        <v>2994409.62</v>
      </c>
      <c r="M115" s="382">
        <v>2994409.61</v>
      </c>
      <c r="N115" s="382">
        <v>2994409.62</v>
      </c>
      <c r="O115" s="382">
        <v>2994409.61</v>
      </c>
      <c r="P115" s="382">
        <v>2994409.62</v>
      </c>
      <c r="Q115" s="382">
        <v>2994409.61</v>
      </c>
      <c r="R115" s="382">
        <v>2994409.62</v>
      </c>
      <c r="S115" s="382">
        <v>2994409.61</v>
      </c>
      <c r="T115" s="382">
        <v>2994409.62</v>
      </c>
      <c r="U115" s="382">
        <v>2994409.61</v>
      </c>
      <c r="V115" s="382">
        <v>2994409.62</v>
      </c>
      <c r="W115" s="382">
        <v>2994409.61</v>
      </c>
      <c r="X115" s="382">
        <v>2994409.62</v>
      </c>
      <c r="Y115" s="382">
        <v>2994409.61</v>
      </c>
      <c r="Z115" s="382">
        <v>2994409.62</v>
      </c>
      <c r="AA115" s="382">
        <v>2994409.61</v>
      </c>
      <c r="AB115" s="382">
        <v>2994409.62</v>
      </c>
      <c r="AC115" s="382">
        <v>2994409.61</v>
      </c>
      <c r="AD115" s="382">
        <v>2994409.62</v>
      </c>
      <c r="AE115" s="382">
        <f t="shared" si="7"/>
        <v>2994409.61</v>
      </c>
      <c r="AF115" s="382">
        <f t="shared" si="7"/>
        <v>2994409.6200000006</v>
      </c>
    </row>
    <row r="116" spans="1:32">
      <c r="A116" s="20">
        <v>108</v>
      </c>
      <c r="C116" s="5" t="s">
        <v>1793</v>
      </c>
      <c r="D116" s="5" t="str">
        <f t="shared" si="8"/>
        <v>00100</v>
      </c>
      <c r="E116" s="382">
        <v>48394.18</v>
      </c>
      <c r="F116" s="382">
        <v>34697.26</v>
      </c>
      <c r="G116" s="382">
        <v>48394.18</v>
      </c>
      <c r="H116" s="382">
        <v>34824.300000000003</v>
      </c>
      <c r="I116" s="382">
        <v>48394.18</v>
      </c>
      <c r="J116" s="382">
        <v>34951.340000000004</v>
      </c>
      <c r="K116" s="382">
        <v>48394.18</v>
      </c>
      <c r="L116" s="382">
        <v>35078.379999999997</v>
      </c>
      <c r="M116" s="382">
        <v>48394.18</v>
      </c>
      <c r="N116" s="382">
        <v>35205.42</v>
      </c>
      <c r="O116" s="382">
        <v>48394.18</v>
      </c>
      <c r="P116" s="382">
        <v>35332.46</v>
      </c>
      <c r="Q116" s="382">
        <v>48394.18</v>
      </c>
      <c r="R116" s="382">
        <v>35459.5</v>
      </c>
      <c r="S116" s="382">
        <v>48394.18</v>
      </c>
      <c r="T116" s="382">
        <v>35586.54</v>
      </c>
      <c r="U116" s="382">
        <v>48394.18</v>
      </c>
      <c r="V116" s="382">
        <v>35713.58</v>
      </c>
      <c r="W116" s="382">
        <v>48394.18</v>
      </c>
      <c r="X116" s="382">
        <v>35840.620000000003</v>
      </c>
      <c r="Y116" s="382">
        <v>48394.18</v>
      </c>
      <c r="Z116" s="382">
        <v>35967.660000000003</v>
      </c>
      <c r="AA116" s="382">
        <v>48394.18</v>
      </c>
      <c r="AB116" s="382">
        <v>36094.700000000004</v>
      </c>
      <c r="AC116" s="382">
        <v>48394.18</v>
      </c>
      <c r="AD116" s="382">
        <v>36221.74</v>
      </c>
      <c r="AE116" s="382">
        <f t="shared" si="7"/>
        <v>48394.18</v>
      </c>
      <c r="AF116" s="382">
        <f t="shared" si="7"/>
        <v>35459.500000000007</v>
      </c>
    </row>
    <row r="117" spans="1:32">
      <c r="A117" s="20">
        <v>109</v>
      </c>
      <c r="C117" s="5" t="s">
        <v>1794</v>
      </c>
      <c r="D117" s="5" t="str">
        <f t="shared" si="8"/>
        <v>00100</v>
      </c>
      <c r="E117" s="382">
        <v>1862879.1099999999</v>
      </c>
      <c r="F117" s="382">
        <v>610375.21</v>
      </c>
      <c r="G117" s="382">
        <v>1862879.1099999999</v>
      </c>
      <c r="H117" s="382">
        <v>619922.46</v>
      </c>
      <c r="I117" s="382">
        <v>1862879.1099999999</v>
      </c>
      <c r="J117" s="382">
        <v>629469.71</v>
      </c>
      <c r="K117" s="382">
        <v>1823644.54</v>
      </c>
      <c r="L117" s="382">
        <v>610782.39</v>
      </c>
      <c r="M117" s="382">
        <v>1690581.07</v>
      </c>
      <c r="N117" s="382">
        <v>560189.69000000006</v>
      </c>
      <c r="O117" s="382">
        <v>1727369.21</v>
      </c>
      <c r="P117" s="382">
        <v>568853.92000000004</v>
      </c>
      <c r="Q117" s="382">
        <v>1705419.3900000001</v>
      </c>
      <c r="R117" s="382">
        <v>557907.29</v>
      </c>
      <c r="S117" s="382">
        <v>1705435.58</v>
      </c>
      <c r="T117" s="382">
        <v>566647.56000000006</v>
      </c>
      <c r="U117" s="382">
        <v>1892475.26</v>
      </c>
      <c r="V117" s="382">
        <v>575387.91</v>
      </c>
      <c r="W117" s="382">
        <v>1893123.4500000002</v>
      </c>
      <c r="X117" s="382">
        <v>595086.85</v>
      </c>
      <c r="Y117" s="382">
        <v>1885880.23</v>
      </c>
      <c r="Z117" s="382">
        <v>604789.11</v>
      </c>
      <c r="AA117" s="382">
        <v>1889123.29</v>
      </c>
      <c r="AB117" s="382">
        <v>614454.24</v>
      </c>
      <c r="AC117" s="382">
        <v>1889123.29</v>
      </c>
      <c r="AD117" s="382">
        <v>624136</v>
      </c>
      <c r="AE117" s="382">
        <f t="shared" si="7"/>
        <v>1817900.9533333331</v>
      </c>
      <c r="AF117" s="382">
        <f t="shared" si="7"/>
        <v>593395.56124999991</v>
      </c>
    </row>
    <row r="118" spans="1:32">
      <c r="A118" s="20">
        <v>110</v>
      </c>
      <c r="C118" s="5" t="s">
        <v>1795</v>
      </c>
      <c r="D118" s="5" t="str">
        <f t="shared" si="8"/>
        <v>00100</v>
      </c>
      <c r="E118" s="382">
        <v>43088.19</v>
      </c>
      <c r="F118" s="382">
        <v>11433.29</v>
      </c>
      <c r="G118" s="382">
        <v>43088.19</v>
      </c>
      <c r="H118" s="382">
        <v>11625.03</v>
      </c>
      <c r="I118" s="382">
        <v>43088.19</v>
      </c>
      <c r="J118" s="382">
        <v>11816.77</v>
      </c>
      <c r="K118" s="382">
        <v>43088.19</v>
      </c>
      <c r="L118" s="382">
        <v>12008.51</v>
      </c>
      <c r="M118" s="382">
        <v>43088.19</v>
      </c>
      <c r="N118" s="382">
        <v>12200.25</v>
      </c>
      <c r="O118" s="382">
        <v>43088.19</v>
      </c>
      <c r="P118" s="382">
        <v>12391.99</v>
      </c>
      <c r="Q118" s="382">
        <v>43088.19</v>
      </c>
      <c r="R118" s="382">
        <v>12583.73</v>
      </c>
      <c r="S118" s="382">
        <v>43088.19</v>
      </c>
      <c r="T118" s="382">
        <v>12775.470000000001</v>
      </c>
      <c r="U118" s="382">
        <v>43088.19</v>
      </c>
      <c r="V118" s="382">
        <v>12967.210000000001</v>
      </c>
      <c r="W118" s="382">
        <v>43088.19</v>
      </c>
      <c r="X118" s="382">
        <v>13158.95</v>
      </c>
      <c r="Y118" s="382">
        <v>43088.19</v>
      </c>
      <c r="Z118" s="382">
        <v>13350.69</v>
      </c>
      <c r="AA118" s="382">
        <v>43088.19</v>
      </c>
      <c r="AB118" s="382">
        <v>13542.43</v>
      </c>
      <c r="AC118" s="382">
        <v>43088.19</v>
      </c>
      <c r="AD118" s="382">
        <v>13734.17</v>
      </c>
      <c r="AE118" s="382">
        <f t="shared" si="7"/>
        <v>43088.19</v>
      </c>
      <c r="AF118" s="382">
        <f t="shared" si="7"/>
        <v>12583.730000000001</v>
      </c>
    </row>
    <row r="119" spans="1:32">
      <c r="A119" s="20">
        <v>111</v>
      </c>
      <c r="C119" s="5" t="s">
        <v>1796</v>
      </c>
      <c r="D119" s="5" t="str">
        <f t="shared" si="8"/>
        <v>00100</v>
      </c>
      <c r="E119" s="382">
        <v>1807005.17</v>
      </c>
      <c r="F119" s="382">
        <v>407255.12</v>
      </c>
      <c r="G119" s="382">
        <v>1771449.29</v>
      </c>
      <c r="H119" s="382">
        <v>372322.8</v>
      </c>
      <c r="I119" s="382">
        <v>1773147.3599999999</v>
      </c>
      <c r="J119" s="382">
        <v>377578.10000000003</v>
      </c>
      <c r="K119" s="382">
        <v>1797236.25</v>
      </c>
      <c r="L119" s="382">
        <v>369616.56</v>
      </c>
      <c r="M119" s="382">
        <v>1797236.25</v>
      </c>
      <c r="N119" s="382">
        <v>374948.36</v>
      </c>
      <c r="O119" s="382">
        <v>1797236.25</v>
      </c>
      <c r="P119" s="382">
        <v>380280.16000000003</v>
      </c>
      <c r="Q119" s="382">
        <v>1797236.25</v>
      </c>
      <c r="R119" s="382">
        <v>385611.96</v>
      </c>
      <c r="S119" s="382">
        <v>1803466.4300000002</v>
      </c>
      <c r="T119" s="382">
        <v>390943.76</v>
      </c>
      <c r="U119" s="382">
        <v>1807125.4300000002</v>
      </c>
      <c r="V119" s="382">
        <v>396294.04000000004</v>
      </c>
      <c r="W119" s="382">
        <v>1807125.4300000002</v>
      </c>
      <c r="X119" s="382">
        <v>401655.18</v>
      </c>
      <c r="Y119" s="382">
        <v>1831828.1</v>
      </c>
      <c r="Z119" s="382">
        <v>407016.32</v>
      </c>
      <c r="AA119" s="382">
        <v>1832746.1600000001</v>
      </c>
      <c r="AB119" s="382">
        <v>412450.74</v>
      </c>
      <c r="AC119" s="382">
        <v>1832745.72</v>
      </c>
      <c r="AD119" s="382">
        <v>417887.89</v>
      </c>
      <c r="AE119" s="382">
        <f t="shared" si="7"/>
        <v>1802975.7204166667</v>
      </c>
      <c r="AF119" s="382">
        <f t="shared" si="7"/>
        <v>390107.45708333334</v>
      </c>
    </row>
    <row r="120" spans="1:32">
      <c r="A120" s="20">
        <v>112</v>
      </c>
      <c r="C120" s="5" t="s">
        <v>1797</v>
      </c>
      <c r="D120" s="5" t="str">
        <f t="shared" si="8"/>
        <v>00100</v>
      </c>
      <c r="E120" s="382">
        <v>96880.82</v>
      </c>
      <c r="F120" s="382">
        <v>35862.69</v>
      </c>
      <c r="G120" s="382">
        <v>96880.82</v>
      </c>
      <c r="H120" s="382">
        <v>36234.07</v>
      </c>
      <c r="I120" s="382">
        <v>96880.82</v>
      </c>
      <c r="J120" s="382">
        <v>36605.450000000004</v>
      </c>
      <c r="K120" s="382">
        <v>96880.82</v>
      </c>
      <c r="L120" s="382">
        <v>36976.83</v>
      </c>
      <c r="M120" s="382">
        <v>96880.82</v>
      </c>
      <c r="N120" s="382">
        <v>37348.21</v>
      </c>
      <c r="O120" s="382">
        <v>96880.82</v>
      </c>
      <c r="P120" s="382">
        <v>37719.590000000004</v>
      </c>
      <c r="Q120" s="382">
        <v>96880.82</v>
      </c>
      <c r="R120" s="382">
        <v>38090.97</v>
      </c>
      <c r="S120" s="382">
        <v>96880.82</v>
      </c>
      <c r="T120" s="382">
        <v>38462.35</v>
      </c>
      <c r="U120" s="382">
        <v>96880.82</v>
      </c>
      <c r="V120" s="382">
        <v>38833.730000000003</v>
      </c>
      <c r="W120" s="382">
        <v>96880.82</v>
      </c>
      <c r="X120" s="382">
        <v>39205.11</v>
      </c>
      <c r="Y120" s="382">
        <v>96880.82</v>
      </c>
      <c r="Z120" s="382">
        <v>39576.49</v>
      </c>
      <c r="AA120" s="382">
        <v>96880.82</v>
      </c>
      <c r="AB120" s="382">
        <v>39947.870000000003</v>
      </c>
      <c r="AC120" s="382">
        <v>96880.82</v>
      </c>
      <c r="AD120" s="382">
        <v>40319.25</v>
      </c>
      <c r="AE120" s="382">
        <f t="shared" si="7"/>
        <v>96880.820000000022</v>
      </c>
      <c r="AF120" s="382">
        <f t="shared" si="7"/>
        <v>38090.97</v>
      </c>
    </row>
    <row r="121" spans="1:32">
      <c r="A121" s="20">
        <v>113</v>
      </c>
      <c r="C121" s="5" t="s">
        <v>1798</v>
      </c>
      <c r="D121" s="5" t="str">
        <f t="shared" si="8"/>
        <v>00100</v>
      </c>
      <c r="E121" s="382">
        <v>-101377.08</v>
      </c>
      <c r="F121" s="382">
        <v>14178.11</v>
      </c>
      <c r="G121" s="382">
        <v>-101377.08</v>
      </c>
      <c r="H121" s="382">
        <v>13740.5</v>
      </c>
      <c r="I121" s="382">
        <v>-101377.08</v>
      </c>
      <c r="J121" s="382">
        <v>13302.89</v>
      </c>
      <c r="K121" s="382">
        <v>-101377.08</v>
      </c>
      <c r="L121" s="382">
        <v>12865.28</v>
      </c>
      <c r="M121" s="382">
        <v>-95577.35</v>
      </c>
      <c r="N121" s="382">
        <v>12095.300000000001</v>
      </c>
      <c r="O121" s="382">
        <v>-95577.35</v>
      </c>
      <c r="P121" s="382">
        <v>11682.73</v>
      </c>
      <c r="Q121" s="382">
        <v>-95577.35</v>
      </c>
      <c r="R121" s="382">
        <v>11270.16</v>
      </c>
      <c r="S121" s="382">
        <v>-95577.35</v>
      </c>
      <c r="T121" s="382">
        <v>10857.59</v>
      </c>
      <c r="U121" s="382">
        <v>-95577.35</v>
      </c>
      <c r="V121" s="382">
        <v>10445.02</v>
      </c>
      <c r="W121" s="382">
        <v>-95577.35</v>
      </c>
      <c r="X121" s="382">
        <v>10032.450000000001</v>
      </c>
      <c r="Y121" s="382">
        <v>-95577.35</v>
      </c>
      <c r="Z121" s="382">
        <v>9619.880000000001</v>
      </c>
      <c r="AA121" s="382">
        <v>-95577.35</v>
      </c>
      <c r="AB121" s="382">
        <v>9207.31</v>
      </c>
      <c r="AC121" s="382">
        <v>-95577.35</v>
      </c>
      <c r="AD121" s="382">
        <v>8794.74</v>
      </c>
      <c r="AE121" s="382">
        <f t="shared" si="7"/>
        <v>-97268.937916666662</v>
      </c>
      <c r="AF121" s="382">
        <f t="shared" si="7"/>
        <v>11383.794583333334</v>
      </c>
    </row>
    <row r="122" spans="1:32">
      <c r="A122" s="20">
        <v>114</v>
      </c>
      <c r="C122" s="5" t="s">
        <v>1799</v>
      </c>
      <c r="D122" s="5" t="str">
        <f t="shared" si="8"/>
        <v>00100</v>
      </c>
      <c r="E122" s="382">
        <v>26798.560000000001</v>
      </c>
      <c r="F122" s="382">
        <v>-2175.2600000000002</v>
      </c>
      <c r="G122" s="382">
        <v>26798.560000000001</v>
      </c>
      <c r="H122" s="382">
        <v>-2105.59</v>
      </c>
      <c r="I122" s="382">
        <v>26798.560000000001</v>
      </c>
      <c r="J122" s="382">
        <v>-2035.92</v>
      </c>
      <c r="K122" s="382">
        <v>26798.560000000001</v>
      </c>
      <c r="L122" s="382">
        <v>-1966.25</v>
      </c>
      <c r="M122" s="382">
        <v>26798.560000000001</v>
      </c>
      <c r="N122" s="382">
        <v>-1896.58</v>
      </c>
      <c r="O122" s="382">
        <v>26798.560000000001</v>
      </c>
      <c r="P122" s="382">
        <v>-1826.91</v>
      </c>
      <c r="Q122" s="382">
        <v>26798.560000000001</v>
      </c>
      <c r="R122" s="382">
        <v>-1757.24</v>
      </c>
      <c r="S122" s="382">
        <v>26798.560000000001</v>
      </c>
      <c r="T122" s="382">
        <v>-1687.57</v>
      </c>
      <c r="U122" s="382">
        <v>26798.560000000001</v>
      </c>
      <c r="V122" s="382">
        <v>-1617.9</v>
      </c>
      <c r="W122" s="382">
        <v>26798.560000000001</v>
      </c>
      <c r="X122" s="382">
        <v>-1548.23</v>
      </c>
      <c r="Y122" s="382">
        <v>26798.560000000001</v>
      </c>
      <c r="Z122" s="382">
        <v>-1478.56</v>
      </c>
      <c r="AA122" s="382">
        <v>26798.560000000001</v>
      </c>
      <c r="AB122" s="382">
        <v>-1408.89</v>
      </c>
      <c r="AC122" s="382">
        <v>26798.560000000001</v>
      </c>
      <c r="AD122" s="382">
        <v>-1339.22</v>
      </c>
      <c r="AE122" s="382">
        <f t="shared" si="7"/>
        <v>26798.560000000001</v>
      </c>
      <c r="AF122" s="382">
        <f t="shared" si="7"/>
        <v>-1757.24</v>
      </c>
    </row>
    <row r="123" spans="1:32">
      <c r="A123" s="20">
        <v>115</v>
      </c>
      <c r="C123" s="5" t="s">
        <v>1800</v>
      </c>
      <c r="D123" s="5" t="str">
        <f t="shared" si="8"/>
        <v>00100</v>
      </c>
      <c r="E123" s="382">
        <v>10882.89</v>
      </c>
      <c r="F123" s="382">
        <v>2068.25</v>
      </c>
      <c r="G123" s="382">
        <v>10882.89</v>
      </c>
      <c r="H123" s="382">
        <v>2153.23</v>
      </c>
      <c r="I123" s="382">
        <v>10882.89</v>
      </c>
      <c r="J123" s="382">
        <v>2238.21</v>
      </c>
      <c r="K123" s="382">
        <v>10882.89</v>
      </c>
      <c r="L123" s="382">
        <v>2323.19</v>
      </c>
      <c r="M123" s="382">
        <v>10882.89</v>
      </c>
      <c r="N123" s="382">
        <v>2408.17</v>
      </c>
      <c r="O123" s="382">
        <v>10882.89</v>
      </c>
      <c r="P123" s="382">
        <v>2493.15</v>
      </c>
      <c r="Q123" s="382">
        <v>10882.89</v>
      </c>
      <c r="R123" s="382">
        <v>2578.13</v>
      </c>
      <c r="S123" s="382">
        <v>10882.89</v>
      </c>
      <c r="T123" s="382">
        <v>2663.11</v>
      </c>
      <c r="U123" s="382">
        <v>10882.89</v>
      </c>
      <c r="V123" s="382">
        <v>2748.09</v>
      </c>
      <c r="W123" s="382">
        <v>10882.89</v>
      </c>
      <c r="X123" s="382">
        <v>2833.07</v>
      </c>
      <c r="Y123" s="382">
        <v>10882.89</v>
      </c>
      <c r="Z123" s="382">
        <v>2918.05</v>
      </c>
      <c r="AA123" s="382">
        <v>10882.89</v>
      </c>
      <c r="AB123" s="382">
        <v>3003.03</v>
      </c>
      <c r="AC123" s="382">
        <v>10882.89</v>
      </c>
      <c r="AD123" s="382">
        <v>3088.01</v>
      </c>
      <c r="AE123" s="382">
        <f t="shared" si="7"/>
        <v>10882.89</v>
      </c>
      <c r="AF123" s="382">
        <f t="shared" si="7"/>
        <v>2578.13</v>
      </c>
    </row>
    <row r="124" spans="1:32">
      <c r="A124" s="20">
        <v>116</v>
      </c>
      <c r="C124" s="5" t="s">
        <v>1801</v>
      </c>
      <c r="D124" s="5" t="str">
        <f t="shared" si="8"/>
        <v>00100</v>
      </c>
      <c r="E124" s="382">
        <v>699164.71</v>
      </c>
      <c r="F124" s="382">
        <v>658405.49</v>
      </c>
      <c r="G124" s="382">
        <v>699164.71</v>
      </c>
      <c r="H124" s="382">
        <v>658481.23</v>
      </c>
      <c r="I124" s="382">
        <v>699164.71</v>
      </c>
      <c r="J124" s="382">
        <v>658556.97</v>
      </c>
      <c r="K124" s="382">
        <v>699164.71</v>
      </c>
      <c r="L124" s="382">
        <v>658632.71</v>
      </c>
      <c r="M124" s="382">
        <v>699164.71</v>
      </c>
      <c r="N124" s="382">
        <v>658708.45000000007</v>
      </c>
      <c r="O124" s="382">
        <v>699164.71</v>
      </c>
      <c r="P124" s="382">
        <v>658784.19000000006</v>
      </c>
      <c r="Q124" s="382">
        <v>699164.71</v>
      </c>
      <c r="R124" s="382">
        <v>658859.93000000005</v>
      </c>
      <c r="S124" s="382">
        <v>699164.71</v>
      </c>
      <c r="T124" s="382">
        <v>658935.67000000004</v>
      </c>
      <c r="U124" s="382">
        <v>699164.71</v>
      </c>
      <c r="V124" s="382">
        <v>659011.41</v>
      </c>
      <c r="W124" s="382">
        <v>699164.71</v>
      </c>
      <c r="X124" s="382">
        <v>659087.15</v>
      </c>
      <c r="Y124" s="382">
        <v>699164.71</v>
      </c>
      <c r="Z124" s="382">
        <v>659162.89</v>
      </c>
      <c r="AA124" s="382">
        <v>755929.81</v>
      </c>
      <c r="AB124" s="382">
        <v>659238.63</v>
      </c>
      <c r="AC124" s="382">
        <v>755929.81</v>
      </c>
      <c r="AD124" s="382">
        <v>659320.52</v>
      </c>
      <c r="AE124" s="382">
        <f t="shared" si="7"/>
        <v>706260.34750000003</v>
      </c>
      <c r="AF124" s="382">
        <f t="shared" si="7"/>
        <v>658860.18625000003</v>
      </c>
    </row>
    <row r="125" spans="1:32">
      <c r="A125" s="20">
        <v>117</v>
      </c>
      <c r="C125" s="5" t="s">
        <v>1802</v>
      </c>
      <c r="D125" s="5" t="str">
        <f t="shared" si="8"/>
        <v>00100</v>
      </c>
      <c r="E125" s="382">
        <v>134305.54</v>
      </c>
      <c r="F125" s="382">
        <v>-70992.490000000005</v>
      </c>
      <c r="G125" s="382">
        <v>134305.54</v>
      </c>
      <c r="H125" s="382">
        <v>-69965.05</v>
      </c>
      <c r="I125" s="382">
        <v>134305.54</v>
      </c>
      <c r="J125" s="382">
        <v>-68937.61</v>
      </c>
      <c r="K125" s="382">
        <v>134305.54</v>
      </c>
      <c r="L125" s="382">
        <v>-67910.17</v>
      </c>
      <c r="M125" s="382">
        <v>134305.54</v>
      </c>
      <c r="N125" s="382">
        <v>-66882.73</v>
      </c>
      <c r="O125" s="382">
        <v>134305.54</v>
      </c>
      <c r="P125" s="382">
        <v>-65855.290000000008</v>
      </c>
      <c r="Q125" s="382">
        <v>134305.54</v>
      </c>
      <c r="R125" s="382">
        <v>-64827.85</v>
      </c>
      <c r="S125" s="382">
        <v>134305.54</v>
      </c>
      <c r="T125" s="382">
        <v>-63800.41</v>
      </c>
      <c r="U125" s="382">
        <v>134305.54</v>
      </c>
      <c r="V125" s="382">
        <v>-62772.97</v>
      </c>
      <c r="W125" s="382">
        <v>134305.54</v>
      </c>
      <c r="X125" s="382">
        <v>-61745.53</v>
      </c>
      <c r="Y125" s="382">
        <v>134305.54</v>
      </c>
      <c r="Z125" s="382">
        <v>-60718.090000000004</v>
      </c>
      <c r="AA125" s="382">
        <v>134305.54</v>
      </c>
      <c r="AB125" s="382">
        <v>-59690.65</v>
      </c>
      <c r="AC125" s="382">
        <v>134305.54</v>
      </c>
      <c r="AD125" s="382">
        <v>-58663.21</v>
      </c>
      <c r="AE125" s="382">
        <f t="shared" si="7"/>
        <v>134305.54</v>
      </c>
      <c r="AF125" s="382">
        <f t="shared" si="7"/>
        <v>-64827.85</v>
      </c>
    </row>
    <row r="126" spans="1:32">
      <c r="A126" s="20">
        <v>118</v>
      </c>
      <c r="C126" s="5" t="s">
        <v>1803</v>
      </c>
      <c r="D126" s="5" t="str">
        <f t="shared" si="8"/>
        <v>00100</v>
      </c>
      <c r="E126" s="382">
        <v>59484.53</v>
      </c>
      <c r="F126" s="382">
        <v>-749.38</v>
      </c>
      <c r="G126" s="382">
        <v>59484.53</v>
      </c>
      <c r="H126" s="382">
        <v>-228.39000000000001</v>
      </c>
      <c r="I126" s="382">
        <v>59484.53</v>
      </c>
      <c r="J126" s="382">
        <v>292.60000000000002</v>
      </c>
      <c r="K126" s="382">
        <v>59484.53</v>
      </c>
      <c r="L126" s="382">
        <v>813.59</v>
      </c>
      <c r="M126" s="382">
        <v>59484.53</v>
      </c>
      <c r="N126" s="382">
        <v>1334.58</v>
      </c>
      <c r="O126" s="382">
        <v>59484.53</v>
      </c>
      <c r="P126" s="382">
        <v>1855.57</v>
      </c>
      <c r="Q126" s="382">
        <v>59484.53</v>
      </c>
      <c r="R126" s="382">
        <v>2376.56</v>
      </c>
      <c r="S126" s="382">
        <v>59484.53</v>
      </c>
      <c r="T126" s="382">
        <v>2897.55</v>
      </c>
      <c r="U126" s="382">
        <v>59484.53</v>
      </c>
      <c r="V126" s="382">
        <v>3418.54</v>
      </c>
      <c r="W126" s="382">
        <v>59484.53</v>
      </c>
      <c r="X126" s="382">
        <v>3939.53</v>
      </c>
      <c r="Y126" s="382">
        <v>59484.53</v>
      </c>
      <c r="Z126" s="382">
        <v>4460.5200000000004</v>
      </c>
      <c r="AA126" s="382">
        <v>59484.53</v>
      </c>
      <c r="AB126" s="382">
        <v>4981.51</v>
      </c>
      <c r="AC126" s="382">
        <v>59484.53</v>
      </c>
      <c r="AD126" s="382">
        <v>5502.5</v>
      </c>
      <c r="AE126" s="382">
        <f t="shared" si="7"/>
        <v>59484.530000000021</v>
      </c>
      <c r="AF126" s="382">
        <f t="shared" si="7"/>
        <v>2376.5600000000004</v>
      </c>
    </row>
    <row r="127" spans="1:32">
      <c r="A127" s="20">
        <v>119</v>
      </c>
      <c r="C127" s="5" t="s">
        <v>1804</v>
      </c>
      <c r="D127" s="5" t="str">
        <f t="shared" si="8"/>
        <v>00101</v>
      </c>
      <c r="E127" s="382">
        <v>152895.69</v>
      </c>
      <c r="F127" s="382">
        <v>877.88</v>
      </c>
      <c r="G127" s="382">
        <v>152895.69</v>
      </c>
      <c r="H127" s="382">
        <v>1755.76</v>
      </c>
      <c r="I127" s="382">
        <v>152895.69</v>
      </c>
      <c r="J127" s="382">
        <v>2633.64</v>
      </c>
      <c r="K127" s="382">
        <v>160441.69</v>
      </c>
      <c r="L127" s="382">
        <v>-5239.4800000000005</v>
      </c>
      <c r="M127" s="382">
        <v>1711691.02</v>
      </c>
      <c r="N127" s="382">
        <v>-4318.28</v>
      </c>
      <c r="O127" s="382">
        <v>1814160.85</v>
      </c>
      <c r="P127" s="382">
        <v>5501.22</v>
      </c>
      <c r="Q127" s="382">
        <v>1841077.5899999999</v>
      </c>
      <c r="R127" s="382">
        <v>15917.53</v>
      </c>
      <c r="S127" s="382">
        <v>1841077.5899999999</v>
      </c>
      <c r="T127" s="382">
        <v>26470.74</v>
      </c>
      <c r="U127" s="382">
        <v>1932569.9300000002</v>
      </c>
      <c r="V127" s="382">
        <v>37041.590000000004</v>
      </c>
      <c r="W127" s="382">
        <v>2015329.4</v>
      </c>
      <c r="X127" s="382">
        <v>52694.76</v>
      </c>
      <c r="Y127" s="382">
        <v>2093935.68</v>
      </c>
      <c r="Z127" s="382">
        <v>64266.11</v>
      </c>
      <c r="AA127" s="382">
        <v>2094021.05</v>
      </c>
      <c r="AB127" s="382">
        <v>76288.790000000008</v>
      </c>
      <c r="AC127" s="382">
        <v>2097605.38</v>
      </c>
      <c r="AD127" s="382">
        <v>88311.96</v>
      </c>
      <c r="AE127" s="382">
        <f t="shared" si="7"/>
        <v>1411278.8929166666</v>
      </c>
      <c r="AF127" s="382">
        <f t="shared" si="7"/>
        <v>26467.274999999998</v>
      </c>
    </row>
    <row r="128" spans="1:32">
      <c r="A128" s="20">
        <v>120</v>
      </c>
      <c r="C128" s="5" t="s">
        <v>1805</v>
      </c>
      <c r="D128" s="5" t="str">
        <f t="shared" si="8"/>
        <v>00101</v>
      </c>
      <c r="E128" s="382">
        <v>51182030.329999998</v>
      </c>
      <c r="F128" s="382">
        <v>16837378.149999999</v>
      </c>
      <c r="G128" s="382">
        <v>51160208.359999999</v>
      </c>
      <c r="H128" s="382">
        <v>16899812.190000001</v>
      </c>
      <c r="I128" s="382">
        <v>51060135.469999999</v>
      </c>
      <c r="J128" s="382">
        <v>16852905.27</v>
      </c>
      <c r="K128" s="382">
        <v>51639163.960000001</v>
      </c>
      <c r="L128" s="382">
        <v>16920899.539999999</v>
      </c>
      <c r="M128" s="382">
        <v>50406543.200000003</v>
      </c>
      <c r="N128" s="382">
        <v>16957899.129999999</v>
      </c>
      <c r="O128" s="382">
        <v>51892286.270000003</v>
      </c>
      <c r="P128" s="382">
        <v>17019364.969999999</v>
      </c>
      <c r="Q128" s="382">
        <v>52379921.789999999</v>
      </c>
      <c r="R128" s="382">
        <v>17013189.66</v>
      </c>
      <c r="S128" s="382">
        <v>52727038.460000001</v>
      </c>
      <c r="T128" s="382">
        <v>17083649.920000002</v>
      </c>
      <c r="U128" s="382">
        <v>52882327.759999998</v>
      </c>
      <c r="V128" s="382">
        <v>17183391.899999999</v>
      </c>
      <c r="W128" s="382">
        <v>53103996.219999999</v>
      </c>
      <c r="X128" s="382">
        <v>17141518.27</v>
      </c>
      <c r="Y128" s="382">
        <v>53335011</v>
      </c>
      <c r="Z128" s="382">
        <v>17129958.969999999</v>
      </c>
      <c r="AA128" s="382">
        <v>53897711.869999997</v>
      </c>
      <c r="AB128" s="382">
        <v>17190421.510000002</v>
      </c>
      <c r="AC128" s="382">
        <v>54174250</v>
      </c>
      <c r="AD128" s="382">
        <v>17253698.82</v>
      </c>
      <c r="AE128" s="382">
        <f t="shared" si="7"/>
        <v>52263540.377083331</v>
      </c>
      <c r="AF128" s="382">
        <f t="shared" si="7"/>
        <v>17036545.817916665</v>
      </c>
    </row>
    <row r="129" spans="1:32">
      <c r="A129" s="20">
        <v>121</v>
      </c>
      <c r="C129" s="5" t="s">
        <v>1806</v>
      </c>
      <c r="D129" s="5" t="str">
        <f t="shared" si="8"/>
        <v>00101</v>
      </c>
      <c r="E129" s="382">
        <v>10358744.91</v>
      </c>
      <c r="F129" s="382">
        <v>3715135.11</v>
      </c>
      <c r="G129" s="382">
        <v>10355536.439999999</v>
      </c>
      <c r="H129" s="382">
        <v>3726929.45</v>
      </c>
      <c r="I129" s="382">
        <v>10315040.960000001</v>
      </c>
      <c r="J129" s="382">
        <v>3706454.67</v>
      </c>
      <c r="K129" s="382">
        <v>10333469.91</v>
      </c>
      <c r="L129" s="382">
        <v>3719301.89</v>
      </c>
      <c r="M129" s="382">
        <v>10338986.5</v>
      </c>
      <c r="N129" s="382">
        <v>3725738.58</v>
      </c>
      <c r="O129" s="382">
        <v>10366133.07</v>
      </c>
      <c r="P129" s="382">
        <v>3725109.34</v>
      </c>
      <c r="Q129" s="382">
        <v>10339476.75</v>
      </c>
      <c r="R129" s="382">
        <v>3712275.58</v>
      </c>
      <c r="S129" s="382">
        <v>10339574.16</v>
      </c>
      <c r="T129" s="382">
        <v>3722128.14</v>
      </c>
      <c r="U129" s="382">
        <v>10368697.16</v>
      </c>
      <c r="V129" s="382">
        <v>3742117.98</v>
      </c>
      <c r="W129" s="382">
        <v>10393997.16</v>
      </c>
      <c r="X129" s="382">
        <v>3729577.88</v>
      </c>
      <c r="Y129" s="382">
        <v>10378396.300000001</v>
      </c>
      <c r="Z129" s="382">
        <v>3703590.21</v>
      </c>
      <c r="AA129" s="382">
        <v>10373562.83</v>
      </c>
      <c r="AB129" s="382">
        <v>3707805.92</v>
      </c>
      <c r="AC129" s="382">
        <v>10387456.75</v>
      </c>
      <c r="AD129" s="382">
        <v>3712345.17</v>
      </c>
      <c r="AE129" s="382">
        <f t="shared" si="7"/>
        <v>10356331.005833333</v>
      </c>
      <c r="AF129" s="382">
        <f t="shared" si="7"/>
        <v>3719564.1483333334</v>
      </c>
    </row>
    <row r="130" spans="1:32">
      <c r="A130" s="20">
        <v>122</v>
      </c>
      <c r="B130" s="384" t="s">
        <v>1765</v>
      </c>
      <c r="C130" s="385"/>
      <c r="D130" s="384" t="s">
        <v>1807</v>
      </c>
      <c r="E130" s="386">
        <f>SUM(E91:E129)</f>
        <v>112362136.67000002</v>
      </c>
      <c r="F130" s="386">
        <f t="shared" ref="F130:AF130" si="9">SUM(F91:F129)</f>
        <v>39200450.210000001</v>
      </c>
      <c r="G130" s="386">
        <f t="shared" si="9"/>
        <v>112571769.66999999</v>
      </c>
      <c r="H130" s="386">
        <f t="shared" si="9"/>
        <v>39526591.510000013</v>
      </c>
      <c r="I130" s="386">
        <f t="shared" si="9"/>
        <v>112454606.22</v>
      </c>
      <c r="J130" s="386">
        <f t="shared" si="9"/>
        <v>39755859.020000003</v>
      </c>
      <c r="K130" s="386">
        <f t="shared" si="9"/>
        <v>113101483.36</v>
      </c>
      <c r="L130" s="386">
        <f t="shared" si="9"/>
        <v>40082008.399999999</v>
      </c>
      <c r="M130" s="386">
        <f t="shared" si="9"/>
        <v>113359532.71000001</v>
      </c>
      <c r="N130" s="386">
        <f t="shared" si="9"/>
        <v>40361238.510000005</v>
      </c>
      <c r="O130" s="386">
        <f t="shared" si="9"/>
        <v>115014438.06999999</v>
      </c>
      <c r="P130" s="386">
        <f t="shared" si="9"/>
        <v>40727219.090000004</v>
      </c>
      <c r="Q130" s="386">
        <f t="shared" si="9"/>
        <v>115477290.96000001</v>
      </c>
      <c r="R130" s="386">
        <f t="shared" si="9"/>
        <v>40994379.859999999</v>
      </c>
      <c r="S130" s="386">
        <f t="shared" si="9"/>
        <v>115830751.41</v>
      </c>
      <c r="T130" s="386">
        <f t="shared" si="9"/>
        <v>41364992.230000004</v>
      </c>
      <c r="U130" s="386">
        <f t="shared" si="9"/>
        <v>116340557.40000001</v>
      </c>
      <c r="V130" s="386">
        <f t="shared" si="9"/>
        <v>41780642.32</v>
      </c>
      <c r="W130" s="386">
        <f t="shared" si="9"/>
        <v>116675236.34</v>
      </c>
      <c r="X130" s="386">
        <f t="shared" si="9"/>
        <v>42032811.619999997</v>
      </c>
      <c r="Y130" s="386">
        <f t="shared" si="9"/>
        <v>116988147.11999999</v>
      </c>
      <c r="Z130" s="386">
        <f t="shared" si="9"/>
        <v>42288253.859999999</v>
      </c>
      <c r="AA130" s="386">
        <f t="shared" si="9"/>
        <v>117607026.10999998</v>
      </c>
      <c r="AB130" s="386">
        <f t="shared" si="9"/>
        <v>42645845.780000001</v>
      </c>
      <c r="AC130" s="386">
        <f t="shared" si="9"/>
        <v>117946720.29000001</v>
      </c>
      <c r="AD130" s="386">
        <f t="shared" si="9"/>
        <v>43006649.770000011</v>
      </c>
      <c r="AE130" s="386">
        <f t="shared" si="9"/>
        <v>115047938.98749998</v>
      </c>
      <c r="AF130" s="386">
        <f t="shared" si="9"/>
        <v>41055282.682499997</v>
      </c>
    </row>
    <row r="131" spans="1:32">
      <c r="A131" s="20">
        <v>123</v>
      </c>
      <c r="B131" s="1328" t="s">
        <v>1808</v>
      </c>
      <c r="C131" s="1328"/>
      <c r="D131" s="387"/>
      <c r="E131" s="388"/>
      <c r="F131" s="388"/>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row>
    <row r="132" spans="1:32">
      <c r="A132" s="20">
        <v>124</v>
      </c>
      <c r="C132" s="5" t="s">
        <v>1809</v>
      </c>
      <c r="E132" s="382">
        <v>0</v>
      </c>
      <c r="F132" s="382">
        <v>0</v>
      </c>
      <c r="G132" s="382">
        <v>0</v>
      </c>
      <c r="H132" s="382">
        <v>0</v>
      </c>
      <c r="I132" s="382">
        <v>0</v>
      </c>
      <c r="J132" s="382">
        <v>0</v>
      </c>
      <c r="K132" s="382">
        <v>0</v>
      </c>
      <c r="L132" s="382">
        <v>0</v>
      </c>
      <c r="M132" s="382">
        <v>0</v>
      </c>
      <c r="N132" s="382">
        <v>0</v>
      </c>
      <c r="O132" s="382">
        <v>0</v>
      </c>
      <c r="P132" s="382">
        <v>0</v>
      </c>
      <c r="Q132" s="382">
        <v>0</v>
      </c>
      <c r="R132" s="382">
        <v>0</v>
      </c>
      <c r="S132" s="382">
        <v>0</v>
      </c>
      <c r="T132" s="382">
        <v>0</v>
      </c>
      <c r="U132" s="382">
        <v>87147.19</v>
      </c>
      <c r="V132" s="382">
        <v>30084.41</v>
      </c>
      <c r="W132" s="382">
        <v>87147.19</v>
      </c>
      <c r="X132" s="382">
        <v>30154.9</v>
      </c>
      <c r="Y132" s="382">
        <v>87147.19</v>
      </c>
      <c r="Z132" s="382">
        <v>30225.39</v>
      </c>
      <c r="AA132" s="382">
        <v>87147.19</v>
      </c>
      <c r="AB132" s="382">
        <v>30295.88</v>
      </c>
      <c r="AC132" s="382">
        <v>87147.19</v>
      </c>
      <c r="AD132" s="382">
        <v>30366.37</v>
      </c>
      <c r="AE132" s="382">
        <f t="shared" ref="AE132:AF134" si="10">+(E132+AC132+(+G132+I132+K132+M132+O132+Q132+S132+U132+W132+Y132+AA132)*2)/24</f>
        <v>32680.196249999997</v>
      </c>
      <c r="AF132" s="382">
        <f t="shared" si="10"/>
        <v>11328.647083333335</v>
      </c>
    </row>
    <row r="133" spans="1:32">
      <c r="A133" s="20">
        <v>125</v>
      </c>
      <c r="C133" s="5" t="s">
        <v>1810</v>
      </c>
      <c r="E133" s="382">
        <v>4535.99</v>
      </c>
      <c r="F133" s="382">
        <v>2551.4299999999998</v>
      </c>
      <c r="G133" s="382">
        <v>4535.99</v>
      </c>
      <c r="H133" s="382">
        <v>2559.54</v>
      </c>
      <c r="I133" s="382">
        <v>4535.99</v>
      </c>
      <c r="J133" s="382">
        <v>2567.65</v>
      </c>
      <c r="K133" s="382">
        <v>4535.99</v>
      </c>
      <c r="L133" s="382">
        <v>2575.75</v>
      </c>
      <c r="M133" s="382">
        <v>4535.99</v>
      </c>
      <c r="N133" s="382">
        <v>2583.86</v>
      </c>
      <c r="O133" s="382">
        <v>4535.99</v>
      </c>
      <c r="P133" s="382">
        <v>2591.96</v>
      </c>
      <c r="Q133" s="382">
        <v>4535.99</v>
      </c>
      <c r="R133" s="382">
        <v>2600.0700000000002</v>
      </c>
      <c r="S133" s="382">
        <v>4535.99</v>
      </c>
      <c r="T133" s="382">
        <v>2608.17</v>
      </c>
      <c r="U133" s="382">
        <v>4535.99</v>
      </c>
      <c r="V133" s="382">
        <v>2616.27</v>
      </c>
      <c r="W133" s="382">
        <v>0</v>
      </c>
      <c r="X133" s="382">
        <v>0</v>
      </c>
      <c r="Y133" s="382">
        <v>0</v>
      </c>
      <c r="Z133" s="382">
        <v>0</v>
      </c>
      <c r="AA133" s="382">
        <v>0</v>
      </c>
      <c r="AB133" s="382">
        <v>0</v>
      </c>
      <c r="AC133" s="382">
        <v>0</v>
      </c>
      <c r="AD133" s="382">
        <v>0</v>
      </c>
      <c r="AE133" s="382">
        <f t="shared" si="10"/>
        <v>3212.9929166666661</v>
      </c>
      <c r="AF133" s="382">
        <f t="shared" si="10"/>
        <v>1831.5820833333335</v>
      </c>
    </row>
    <row r="134" spans="1:32">
      <c r="A134" s="20">
        <v>126</v>
      </c>
      <c r="C134" s="5" t="s">
        <v>1811</v>
      </c>
      <c r="E134" s="382">
        <v>15387550.01</v>
      </c>
      <c r="F134" s="382">
        <v>8466077.3900000341</v>
      </c>
      <c r="G134" s="382">
        <v>15387550.01</v>
      </c>
      <c r="H134" s="382">
        <v>3731275.7599998023</v>
      </c>
      <c r="I134" s="382">
        <v>15387550.01</v>
      </c>
      <c r="J134" s="382">
        <v>3731319.9400000405</v>
      </c>
      <c r="K134" s="382">
        <v>15428541.02</v>
      </c>
      <c r="L134" s="382">
        <v>3756741.1300001</v>
      </c>
      <c r="M134" s="382">
        <v>15428541.02</v>
      </c>
      <c r="N134" s="382">
        <v>3756785.3299999214</v>
      </c>
      <c r="O134" s="382">
        <v>15428541.02</v>
      </c>
      <c r="P134" s="382">
        <v>3756829.5099999215</v>
      </c>
      <c r="Q134" s="382">
        <v>15513606.02</v>
      </c>
      <c r="R134" s="382">
        <v>3751844.7100001597</v>
      </c>
      <c r="S134" s="382">
        <v>15513606.02</v>
      </c>
      <c r="T134" s="382">
        <v>3751888.8900000406</v>
      </c>
      <c r="U134" s="382">
        <v>15349364.130000001</v>
      </c>
      <c r="V134" s="382">
        <v>3897392.37</v>
      </c>
      <c r="W134" s="382">
        <v>15304937.890000001</v>
      </c>
      <c r="X134" s="382">
        <v>3875947.42</v>
      </c>
      <c r="Y134" s="382">
        <v>15304937.890000001</v>
      </c>
      <c r="Z134" s="382">
        <v>3893544.55</v>
      </c>
      <c r="AA134" s="382">
        <v>15304937.890000001</v>
      </c>
      <c r="AB134" s="382">
        <v>3911141.64</v>
      </c>
      <c r="AC134" s="382">
        <v>16492357.26</v>
      </c>
      <c r="AD134" s="382">
        <v>3912178.58</v>
      </c>
      <c r="AE134" s="382">
        <f t="shared" si="10"/>
        <v>15441005.546249995</v>
      </c>
      <c r="AF134" s="382">
        <f t="shared" si="10"/>
        <v>4000319.9362499998</v>
      </c>
    </row>
    <row r="135" spans="1:32">
      <c r="A135" s="20">
        <v>127</v>
      </c>
      <c r="B135" s="1329" t="s">
        <v>1808</v>
      </c>
      <c r="C135" s="1329"/>
      <c r="D135" s="384"/>
      <c r="E135" s="386">
        <f>SUM(E132:E134)</f>
        <v>15392086</v>
      </c>
      <c r="F135" s="386">
        <f t="shared" ref="F135:AF135" si="11">SUM(F132:F134)</f>
        <v>8468628.8200000338</v>
      </c>
      <c r="G135" s="386">
        <f t="shared" si="11"/>
        <v>15392086</v>
      </c>
      <c r="H135" s="386">
        <f t="shared" si="11"/>
        <v>3733835.2999998024</v>
      </c>
      <c r="I135" s="386">
        <f t="shared" si="11"/>
        <v>15392086</v>
      </c>
      <c r="J135" s="386">
        <f t="shared" si="11"/>
        <v>3733887.5900000404</v>
      </c>
      <c r="K135" s="386">
        <f t="shared" si="11"/>
        <v>15433077.01</v>
      </c>
      <c r="L135" s="386">
        <f t="shared" si="11"/>
        <v>3759316.8800001</v>
      </c>
      <c r="M135" s="386">
        <f t="shared" si="11"/>
        <v>15433077.01</v>
      </c>
      <c r="N135" s="386">
        <f t="shared" si="11"/>
        <v>3759369.1899999212</v>
      </c>
      <c r="O135" s="386">
        <f t="shared" si="11"/>
        <v>15433077.01</v>
      </c>
      <c r="P135" s="386">
        <f t="shared" si="11"/>
        <v>3759421.4699999215</v>
      </c>
      <c r="Q135" s="386">
        <f t="shared" si="11"/>
        <v>15518142.01</v>
      </c>
      <c r="R135" s="386">
        <f t="shared" si="11"/>
        <v>3754444.7800001595</v>
      </c>
      <c r="S135" s="386">
        <f t="shared" si="11"/>
        <v>15518142.01</v>
      </c>
      <c r="T135" s="386">
        <f t="shared" si="11"/>
        <v>3754497.0600000406</v>
      </c>
      <c r="U135" s="386">
        <f t="shared" si="11"/>
        <v>15441047.310000001</v>
      </c>
      <c r="V135" s="386">
        <f t="shared" si="11"/>
        <v>3930093.0500000003</v>
      </c>
      <c r="W135" s="386">
        <f t="shared" si="11"/>
        <v>15392085.08</v>
      </c>
      <c r="X135" s="386">
        <f t="shared" si="11"/>
        <v>3906102.32</v>
      </c>
      <c r="Y135" s="386">
        <f t="shared" si="11"/>
        <v>15392085.08</v>
      </c>
      <c r="Z135" s="386">
        <f t="shared" si="11"/>
        <v>3923769.94</v>
      </c>
      <c r="AA135" s="386">
        <f t="shared" si="11"/>
        <v>15392085.08</v>
      </c>
      <c r="AB135" s="386">
        <f t="shared" si="11"/>
        <v>3941437.52</v>
      </c>
      <c r="AC135" s="386">
        <f t="shared" si="11"/>
        <v>16579504.449999999</v>
      </c>
      <c r="AD135" s="386">
        <f t="shared" si="11"/>
        <v>3942544.95</v>
      </c>
      <c r="AE135" s="386">
        <f t="shared" si="11"/>
        <v>15476898.735416662</v>
      </c>
      <c r="AF135" s="386">
        <f t="shared" si="11"/>
        <v>4013480.1654166663</v>
      </c>
    </row>
    <row r="136" spans="1:32">
      <c r="A136" s="20">
        <v>128</v>
      </c>
    </row>
    <row r="137" spans="1:32" ht="16.5" thickBot="1">
      <c r="A137" s="20">
        <v>129</v>
      </c>
      <c r="B137" s="389"/>
      <c r="C137" s="390" t="s">
        <v>1812</v>
      </c>
      <c r="D137" s="389"/>
      <c r="E137" s="391">
        <f>SUM(E135,E130,E89,E46)</f>
        <v>870184135.21000016</v>
      </c>
      <c r="F137" s="392">
        <f t="shared" ref="F137:AF137" si="12">SUM(F135,F130,F89,F46)</f>
        <v>433067740.01999992</v>
      </c>
      <c r="G137" s="391">
        <f t="shared" si="12"/>
        <v>871816436.24000001</v>
      </c>
      <c r="H137" s="392">
        <f t="shared" si="12"/>
        <v>434697330.28999996</v>
      </c>
      <c r="I137" s="391">
        <f t="shared" si="12"/>
        <v>873088659.97000015</v>
      </c>
      <c r="J137" s="392">
        <f t="shared" si="12"/>
        <v>436498576.22000003</v>
      </c>
      <c r="K137" s="391">
        <f t="shared" si="12"/>
        <v>876255017.16999996</v>
      </c>
      <c r="L137" s="392">
        <f t="shared" si="12"/>
        <v>437711221.13999999</v>
      </c>
      <c r="M137" s="391">
        <f t="shared" si="12"/>
        <v>879184494.24000001</v>
      </c>
      <c r="N137" s="392">
        <f t="shared" si="12"/>
        <v>439640788.68000001</v>
      </c>
      <c r="O137" s="391">
        <f t="shared" si="12"/>
        <v>882225235.36000013</v>
      </c>
      <c r="P137" s="392">
        <f t="shared" si="12"/>
        <v>441710249.43999994</v>
      </c>
      <c r="Q137" s="391">
        <f t="shared" si="12"/>
        <v>884981171.16999984</v>
      </c>
      <c r="R137" s="392">
        <f t="shared" si="12"/>
        <v>443227594.39000005</v>
      </c>
      <c r="S137" s="391">
        <f t="shared" si="12"/>
        <v>888699901.63</v>
      </c>
      <c r="T137" s="392">
        <f t="shared" si="12"/>
        <v>445185388.59000003</v>
      </c>
      <c r="U137" s="391">
        <f t="shared" si="12"/>
        <v>900821526.50999999</v>
      </c>
      <c r="V137" s="392">
        <f t="shared" si="12"/>
        <v>447162143.47000003</v>
      </c>
      <c r="W137" s="391">
        <f t="shared" si="12"/>
        <v>904664746.21999979</v>
      </c>
      <c r="X137" s="392">
        <f t="shared" si="12"/>
        <v>448787560.88999999</v>
      </c>
      <c r="Y137" s="391">
        <f t="shared" si="12"/>
        <v>910978182.97999966</v>
      </c>
      <c r="Z137" s="392">
        <f t="shared" si="12"/>
        <v>450672015.14999998</v>
      </c>
      <c r="AA137" s="391">
        <f t="shared" si="12"/>
        <v>913158696.38999975</v>
      </c>
      <c r="AB137" s="392">
        <f t="shared" si="12"/>
        <v>452561850.26000011</v>
      </c>
      <c r="AC137" s="391">
        <f t="shared" si="12"/>
        <v>922694563.90999997</v>
      </c>
      <c r="AD137" s="392">
        <f t="shared" si="12"/>
        <v>454336084.94999993</v>
      </c>
      <c r="AE137" s="392">
        <f t="shared" si="12"/>
        <v>890192784.78666639</v>
      </c>
      <c r="AF137" s="392">
        <f t="shared" si="12"/>
        <v>443463052.58374989</v>
      </c>
    </row>
    <row r="138" spans="1:32" ht="16.5" thickTop="1">
      <c r="A138" s="20">
        <v>130</v>
      </c>
      <c r="F138" s="75"/>
      <c r="H138" s="75"/>
      <c r="J138" s="75"/>
      <c r="L138" s="75"/>
      <c r="N138" s="75"/>
      <c r="P138" s="75"/>
      <c r="R138" s="75"/>
      <c r="T138" s="75"/>
    </row>
    <row r="139" spans="1:32">
      <c r="A139" s="20">
        <v>131</v>
      </c>
      <c r="F139" s="75"/>
      <c r="H139" s="75"/>
      <c r="I139" s="75"/>
      <c r="J139" s="75"/>
      <c r="K139" s="75"/>
      <c r="L139" s="75"/>
      <c r="M139" s="75"/>
      <c r="N139" s="75"/>
      <c r="O139" s="75"/>
      <c r="P139" s="75"/>
      <c r="Q139" s="75"/>
      <c r="R139" s="75"/>
      <c r="S139" s="75"/>
      <c r="T139" s="75"/>
      <c r="X139" s="393" t="s">
        <v>1875</v>
      </c>
      <c r="Y139" s="393"/>
      <c r="Z139" s="393"/>
      <c r="AC139" s="394"/>
      <c r="AD139" s="394"/>
      <c r="AE139" s="75">
        <f>+'Working Capital Work Paper'!S11+'Working Capital Work Paper'!S12</f>
        <v>890192784.78249991</v>
      </c>
    </row>
    <row r="140" spans="1:32" ht="30">
      <c r="A140" s="20">
        <v>132</v>
      </c>
      <c r="B140" s="940" t="s">
        <v>2014</v>
      </c>
      <c r="D140" s="8"/>
      <c r="X140" s="393" t="s">
        <v>1876</v>
      </c>
      <c r="AA140" s="395"/>
      <c r="AB140" s="395"/>
      <c r="AC140" s="394"/>
      <c r="AD140" s="394"/>
      <c r="AE140" s="75"/>
      <c r="AF140" s="75">
        <f>-'Working Capital Work Paper'!S27+'Working Capital Work Paper'!S17</f>
        <v>443463061.80874997</v>
      </c>
    </row>
    <row r="141" spans="1:32">
      <c r="A141" s="20">
        <v>133</v>
      </c>
    </row>
    <row r="142" spans="1:32">
      <c r="A142" s="20">
        <v>134</v>
      </c>
      <c r="Q142" s="75"/>
    </row>
    <row r="143" spans="1:32">
      <c r="A143" s="20">
        <v>135</v>
      </c>
      <c r="D143" s="395" t="s">
        <v>1813</v>
      </c>
      <c r="F143" s="75">
        <f>E89</f>
        <v>576210019.71000016</v>
      </c>
      <c r="H143" s="75">
        <f>G89</f>
        <v>577681602.6400001</v>
      </c>
      <c r="J143" s="75">
        <f>I89</f>
        <v>578887129.49000013</v>
      </c>
      <c r="L143" s="75">
        <f>K89</f>
        <v>580920985.41999996</v>
      </c>
      <c r="N143" s="75">
        <f>M89</f>
        <v>583272418.28999996</v>
      </c>
      <c r="P143" s="75">
        <f>O89</f>
        <v>584216840.6500001</v>
      </c>
      <c r="R143" s="75">
        <f>Q89</f>
        <v>585599739.0799998</v>
      </c>
      <c r="T143" s="75">
        <f>S89</f>
        <v>588618364.70000005</v>
      </c>
      <c r="V143" s="75">
        <f>U89</f>
        <v>598832328.44999993</v>
      </c>
      <c r="X143" s="75">
        <f>W89</f>
        <v>601967532.84999979</v>
      </c>
      <c r="Z143" s="75">
        <f>Y89</f>
        <v>607446404.66999972</v>
      </c>
      <c r="AB143" s="75">
        <f>AA89</f>
        <v>608700709.48999977</v>
      </c>
      <c r="AD143" s="75">
        <f>AC89</f>
        <v>614373017.27999997</v>
      </c>
    </row>
    <row r="144" spans="1:32">
      <c r="A144" s="20">
        <v>136</v>
      </c>
      <c r="D144" s="395" t="s">
        <v>1814</v>
      </c>
      <c r="E144" s="396">
        <v>0.75729999999999997</v>
      </c>
      <c r="F144" s="75">
        <f>E144*SUM(E91:E126)</f>
        <v>38371229.104902014</v>
      </c>
      <c r="G144" s="396">
        <v>0.75270000000000004</v>
      </c>
      <c r="H144" s="75">
        <f>G144*SUM(G91:G126)</f>
        <v>38314785.333786003</v>
      </c>
      <c r="I144" s="396">
        <v>0.75270000000000004</v>
      </c>
      <c r="J144" s="75">
        <f>I144*SUM(I91:I126)</f>
        <v>38332402.217070006</v>
      </c>
      <c r="K144" s="396">
        <v>0.75270000000000004</v>
      </c>
      <c r="L144" s="75">
        <f>K144*SUM(K91:K126)</f>
        <v>38363920.551060006</v>
      </c>
      <c r="M144" s="396">
        <v>0.75270000000000004</v>
      </c>
      <c r="N144" s="75">
        <f>M144*SUM(M91:M126)</f>
        <v>38314170.234873004</v>
      </c>
      <c r="O144" s="396">
        <v>0.75270000000000004</v>
      </c>
      <c r="P144" s="75">
        <f>O144*SUM(O91:O126)</f>
        <v>38343936.426276006</v>
      </c>
      <c r="Q144" s="396">
        <v>0.75270000000000004</v>
      </c>
      <c r="R144" s="75">
        <f>Q144*SUM(Q91:Q126)</f>
        <v>38325086.522541009</v>
      </c>
      <c r="S144" s="396">
        <v>0.75270000000000004</v>
      </c>
      <c r="T144" s="75">
        <f>S144*SUM(S91:S126)</f>
        <v>38329788.165240005</v>
      </c>
      <c r="U144" s="396">
        <v>0.75270000000000004</v>
      </c>
      <c r="V144" s="75">
        <f>U144*SUM(U91:U126)</f>
        <v>38505845.711385004</v>
      </c>
      <c r="W144" s="396">
        <v>0.75270000000000004</v>
      </c>
      <c r="X144" s="75">
        <f>W144*SUM(W91:W126)</f>
        <v>38509572.336612001</v>
      </c>
      <c r="Y144" s="396">
        <v>0.75270000000000004</v>
      </c>
      <c r="Z144" s="75">
        <f>Y144*SUM(Y91:Y126)</f>
        <v>38523791.276177995</v>
      </c>
      <c r="AA144" s="396">
        <v>0.75270000000000004</v>
      </c>
      <c r="AB144" s="75">
        <f>AA144*SUM(AA91:AA126)</f>
        <v>38569650.441971995</v>
      </c>
      <c r="AC144" s="396">
        <v>0.75270000000000004</v>
      </c>
      <c r="AD144" s="75">
        <f>AC144*SUM(AC91:AC126)</f>
        <v>38604032.122032002</v>
      </c>
      <c r="AE144" s="75"/>
    </row>
    <row r="145" spans="1:32">
      <c r="A145" s="20">
        <v>137</v>
      </c>
      <c r="D145" s="395" t="s">
        <v>1815</v>
      </c>
      <c r="E145" s="396">
        <v>0.75060000000000004</v>
      </c>
      <c r="F145" s="75">
        <f>SUM(E127:E129)*E145</f>
        <v>46307269.400057994</v>
      </c>
      <c r="G145" s="396">
        <v>0.74880000000000002</v>
      </c>
      <c r="H145" s="75">
        <f>SUM(G127:G129)*G145</f>
        <v>46177477.998911999</v>
      </c>
      <c r="I145" s="396">
        <v>0.74880000000000002</v>
      </c>
      <c r="J145" s="75">
        <f>SUM(I127:I129)*I145</f>
        <v>46072220.403456002</v>
      </c>
      <c r="K145" s="396">
        <v>0.74880000000000002</v>
      </c>
      <c r="L145" s="75">
        <f>SUM(K127:K129)*K145</f>
        <v>46525246.979328007</v>
      </c>
      <c r="M145" s="396">
        <v>0.74880000000000002</v>
      </c>
      <c r="N145" s="75">
        <f>SUM(M127:M129)*M145</f>
        <v>46767966.875136003</v>
      </c>
      <c r="O145" s="396">
        <v>0.74880000000000002</v>
      </c>
      <c r="P145" s="75">
        <f>SUM(O127:O129)*O145</f>
        <v>47977548.046272002</v>
      </c>
      <c r="Q145" s="396">
        <v>0.74880000000000002</v>
      </c>
      <c r="R145" s="75">
        <f>SUM(Q127:Q129)*Q145</f>
        <v>48342884.526143998</v>
      </c>
      <c r="S145" s="396">
        <v>0.74880000000000002</v>
      </c>
      <c r="T145" s="75">
        <f>SUM(S127:S129)*S145</f>
        <v>48602878.429247998</v>
      </c>
      <c r="U145" s="396">
        <v>0.74880000000000002</v>
      </c>
      <c r="V145" s="75">
        <f>SUM(U127:U129)*U145</f>
        <v>48809475.823679999</v>
      </c>
      <c r="W145" s="396">
        <v>0.74880000000000002</v>
      </c>
      <c r="X145" s="75">
        <f>SUM(W127:W129)*W145</f>
        <v>49056376.097663999</v>
      </c>
      <c r="Y145" s="396">
        <v>0.74880000000000002</v>
      </c>
      <c r="Z145" s="75">
        <f>SUM(Y127:Y129)*Y145</f>
        <v>49276538.423424006</v>
      </c>
      <c r="AA145" s="396">
        <v>0.74880000000000002</v>
      </c>
      <c r="AB145" s="75">
        <f>SUM(AA127:AA129)*AA145</f>
        <v>49694333.457599998</v>
      </c>
      <c r="AC145" s="396">
        <v>0.74880000000000002</v>
      </c>
      <c r="AD145" s="75">
        <f>SUM(AC127:AC129)*AC145</f>
        <v>49914492.922944002</v>
      </c>
    </row>
    <row r="146" spans="1:32">
      <c r="A146" s="20">
        <v>138</v>
      </c>
      <c r="F146" s="75"/>
      <c r="H146" s="75"/>
      <c r="J146" s="75"/>
      <c r="L146" s="75"/>
      <c r="N146" s="75"/>
      <c r="P146" s="75"/>
      <c r="R146" s="75"/>
      <c r="T146" s="75"/>
      <c r="V146" s="75"/>
      <c r="X146" s="75"/>
      <c r="Z146" s="75"/>
      <c r="AB146" s="75"/>
      <c r="AD146" s="75"/>
    </row>
    <row r="147" spans="1:32">
      <c r="A147" s="20">
        <v>139</v>
      </c>
      <c r="D147" s="395" t="s">
        <v>1816</v>
      </c>
      <c r="F147" s="75">
        <f>SUM(F143:F145)</f>
        <v>660888518.21496022</v>
      </c>
      <c r="H147" s="75">
        <f>SUM(H143:H145)</f>
        <v>662173865.97269809</v>
      </c>
      <c r="J147" s="75">
        <f>SUM(J143:J145)</f>
        <v>663291752.11052608</v>
      </c>
      <c r="L147" s="75">
        <f>SUM(L143:L145)</f>
        <v>665810152.95038795</v>
      </c>
      <c r="N147" s="75">
        <f>SUM(N143:N145)</f>
        <v>668354555.40000904</v>
      </c>
      <c r="P147" s="75">
        <f>SUM(P143:P145)</f>
        <v>670538325.1225481</v>
      </c>
      <c r="R147" s="75">
        <f>SUM(R143:R145)</f>
        <v>672267710.12868488</v>
      </c>
      <c r="T147" s="75">
        <f>SUM(T143:T145)</f>
        <v>675551031.29448807</v>
      </c>
      <c r="V147" s="75">
        <f>SUM(V143:V145)</f>
        <v>686147649.98506498</v>
      </c>
      <c r="X147" s="75">
        <f>SUM(X143:X145)</f>
        <v>689533481.28427577</v>
      </c>
      <c r="Z147" s="75">
        <f>SUM(Z143:Z145)</f>
        <v>695246734.36960173</v>
      </c>
      <c r="AB147" s="75">
        <f>SUM(AB143:AB145)</f>
        <v>696964693.38957179</v>
      </c>
      <c r="AD147" s="75">
        <f>SUM(AD143:AD145)</f>
        <v>702891542.32497597</v>
      </c>
      <c r="AE147" s="5" t="s">
        <v>1824</v>
      </c>
      <c r="AF147" s="397">
        <f t="shared" ref="AF147" si="13">+(F147+AD147+(+H147+J147+L147+N147+P147+R147+T147+V147+X147+Z147+AB147)*2)/24</f>
        <v>677314165.18981874</v>
      </c>
    </row>
    <row r="148" spans="1:32">
      <c r="A148" s="20">
        <v>140</v>
      </c>
      <c r="AB148" s="75"/>
      <c r="AD148" s="75"/>
    </row>
    <row r="149" spans="1:32">
      <c r="A149" s="20">
        <v>141</v>
      </c>
      <c r="D149" s="395" t="s">
        <v>1813</v>
      </c>
      <c r="F149" s="75">
        <f>F89</f>
        <v>304692694.86999989</v>
      </c>
      <c r="H149" s="75">
        <f>H89</f>
        <v>309480837.00000012</v>
      </c>
      <c r="J149" s="75">
        <f>J89</f>
        <v>310705295.72999996</v>
      </c>
      <c r="L149" s="75">
        <f>L89</f>
        <v>311239204.5999999</v>
      </c>
      <c r="N149" s="75">
        <f>N89</f>
        <v>312471439.2100001</v>
      </c>
      <c r="P149" s="75">
        <f>P89</f>
        <v>313749995.52000004</v>
      </c>
      <c r="R149" s="75">
        <f>R89</f>
        <v>314596173.39999992</v>
      </c>
      <c r="T149" s="75">
        <f>T89</f>
        <v>315768871.25</v>
      </c>
      <c r="V149" s="75">
        <f>V89</f>
        <v>316875748.73000002</v>
      </c>
      <c r="X149" s="75">
        <f>X89</f>
        <v>317897034.14999998</v>
      </c>
      <c r="Z149" s="75">
        <f>Z89</f>
        <v>319107740.81999993</v>
      </c>
      <c r="AB149" s="75">
        <f>AB89</f>
        <v>320289045.50000006</v>
      </c>
      <c r="AD149" s="75">
        <f>AD89</f>
        <v>321296055.43999994</v>
      </c>
    </row>
    <row r="150" spans="1:32">
      <c r="A150" s="20">
        <v>142</v>
      </c>
      <c r="D150" s="395" t="s">
        <v>1814</v>
      </c>
      <c r="F150" s="75">
        <f>E144*SUM(F91:F126)</f>
        <v>14121417.833711002</v>
      </c>
      <c r="H150" s="75">
        <f>G144*SUM(H91:H126)</f>
        <v>14224595.436597006</v>
      </c>
      <c r="J150" s="75">
        <f>I144*SUM(J91:J126)</f>
        <v>14447222.516688002</v>
      </c>
      <c r="L150" s="75">
        <f>K144*SUM(L91:L126)</f>
        <v>14637791.862915</v>
      </c>
      <c r="N150" s="75">
        <f>M144*SUM(N91:N126)</f>
        <v>14814580.491516005</v>
      </c>
      <c r="P150" s="75">
        <f>O144*SUM(P91:P126)</f>
        <v>15036871.227612006</v>
      </c>
      <c r="R150" s="75">
        <f>Q144*SUM(R91:R126)</f>
        <v>15244430.909643</v>
      </c>
      <c r="T150" s="75">
        <f>S144*SUM(T91:T126)</f>
        <v>15454995.979761003</v>
      </c>
      <c r="V150" s="75">
        <f>U144*SUM(V91:V126)</f>
        <v>15669776.982795002</v>
      </c>
      <c r="X150" s="75">
        <f>W144*SUM(X91:X126)</f>
        <v>15888759.888416998</v>
      </c>
      <c r="Z150" s="75">
        <f>Y144*SUM(Z91:Z126)</f>
        <v>16100583.111639</v>
      </c>
      <c r="AB150" s="75">
        <f>AA144*SUM(AB91:AB126)</f>
        <v>16312009.759812003</v>
      </c>
      <c r="AD150" s="75">
        <f>AC144*SUM(AD91:AD126)</f>
        <v>16523491.558314003</v>
      </c>
    </row>
    <row r="151" spans="1:32">
      <c r="A151" s="20">
        <v>143</v>
      </c>
      <c r="D151" s="395" t="s">
        <v>1815</v>
      </c>
      <c r="F151" s="75">
        <f>SUM(F127:F129)*E145</f>
        <v>15427375.389683999</v>
      </c>
      <c r="H151" s="75">
        <f>SUM(H127:H129)*G145</f>
        <v>15446618.853120003</v>
      </c>
      <c r="J151" s="75">
        <f>SUM(J127:J129)*I145</f>
        <v>15396820.792703999</v>
      </c>
      <c r="L151" s="75">
        <f>SUM(L127:L129)*K145</f>
        <v>15451459.508160001</v>
      </c>
      <c r="N151" s="75">
        <f>SUM(N127:N129)*M145</f>
        <v>15484674.389184</v>
      </c>
      <c r="P151" s="75">
        <f>SUM(P127:P129)*O145</f>
        <v>15537581.676863998</v>
      </c>
      <c r="R151" s="75">
        <f>SUM(R127:R129)*Q145</f>
        <v>15531147.418176003</v>
      </c>
      <c r="T151" s="75">
        <f>SUM(T127:T129)*S145</f>
        <v>15599187.90144</v>
      </c>
      <c r="V151" s="75">
        <f>SUM(V127:V129)*U145</f>
        <v>15696758.540735999</v>
      </c>
      <c r="X151" s="75">
        <f>SUM(X127:X129)*W145</f>
        <v>15667734.633408001</v>
      </c>
      <c r="Z151" s="75">
        <f>SUM(Z127:Z129)*Y145</f>
        <v>15648284.089151999</v>
      </c>
      <c r="AB151" s="75">
        <f>SUM(AB127:AB129)*AA145</f>
        <v>15705717.745536</v>
      </c>
      <c r="AD151" s="75">
        <f>SUM(AD127:AD129)*AC145</f>
        <v>15765501.735360002</v>
      </c>
    </row>
    <row r="152" spans="1:32">
      <c r="A152" s="20">
        <v>144</v>
      </c>
      <c r="F152" s="75"/>
      <c r="H152" s="75"/>
      <c r="J152" s="75"/>
      <c r="L152" s="75"/>
      <c r="N152" s="75"/>
      <c r="P152" s="75"/>
      <c r="R152" s="75"/>
      <c r="T152" s="75"/>
      <c r="V152" s="75"/>
      <c r="X152" s="75"/>
      <c r="Z152" s="75"/>
      <c r="AB152" s="75"/>
      <c r="AD152" s="75"/>
    </row>
    <row r="153" spans="1:32">
      <c r="A153" s="20">
        <v>145</v>
      </c>
      <c r="D153" s="395" t="s">
        <v>1817</v>
      </c>
      <c r="F153" s="75">
        <f>SUM(F149:F151)</f>
        <v>334241488.09339494</v>
      </c>
      <c r="H153" s="75">
        <f>SUM(H149:H151)</f>
        <v>339152051.28971714</v>
      </c>
      <c r="J153" s="75">
        <f>SUM(J149:J151)</f>
        <v>340549339.03939193</v>
      </c>
      <c r="L153" s="75">
        <f>SUM(L149:L151)</f>
        <v>341328455.97107488</v>
      </c>
      <c r="N153" s="75">
        <f>SUM(N149:N151)</f>
        <v>342770694.09070009</v>
      </c>
      <c r="P153" s="75">
        <f>SUM(P149:P151)</f>
        <v>344324448.42447603</v>
      </c>
      <c r="R153" s="75">
        <f>SUM(R149:R151)</f>
        <v>345371751.72781891</v>
      </c>
      <c r="T153" s="75">
        <f>SUM(T149:T151)</f>
        <v>346823055.13120103</v>
      </c>
      <c r="V153" s="75">
        <f>SUM(V149:V151)</f>
        <v>348242284.25353104</v>
      </c>
      <c r="X153" s="75">
        <f>SUM(X149:X151)</f>
        <v>349453528.67182499</v>
      </c>
      <c r="Z153" s="75">
        <f>SUM(Z149:Z151)</f>
        <v>350856608.02079093</v>
      </c>
      <c r="AB153" s="75">
        <f>SUM(AB149:AB151)</f>
        <v>352306773.00534809</v>
      </c>
      <c r="AD153" s="75">
        <f>SUM(AD149:AD151)</f>
        <v>353585048.73367399</v>
      </c>
      <c r="AE153" s="5" t="s">
        <v>1825</v>
      </c>
      <c r="AF153" s="397">
        <f t="shared" ref="AF153" si="14">+(F153+AD153+(+H153+J153+L153+N153+P153+R153+T153+V153+X153+Z153+AB153)*2)/24</f>
        <v>345424354.83661753</v>
      </c>
    </row>
  </sheetData>
  <mergeCells count="22">
    <mergeCell ref="B131:C131"/>
    <mergeCell ref="B135:C135"/>
    <mergeCell ref="A5:G5"/>
    <mergeCell ref="A1:G1"/>
    <mergeCell ref="A2:G2"/>
    <mergeCell ref="A3:G3"/>
    <mergeCell ref="A4:G4"/>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view="pageBreakPreview" zoomScale="60" zoomScaleNormal="100" workbookViewId="0">
      <selection activeCell="R3" sqref="R3:U3"/>
    </sheetView>
  </sheetViews>
  <sheetFormatPr defaultColWidth="9.140625" defaultRowHeight="15.75"/>
  <cols>
    <col min="1" max="1" width="9.42578125" style="20" bestFit="1" customWidth="1"/>
    <col min="2" max="2" width="22.140625" style="5" bestFit="1" customWidth="1"/>
    <col min="3" max="3" width="9.140625" style="5"/>
    <col min="4" max="4" width="4.5703125" style="5" customWidth="1"/>
    <col min="5" max="9" width="9.140625" style="5"/>
    <col min="10" max="10" width="21.28515625" style="5" bestFit="1" customWidth="1"/>
    <col min="11" max="12" width="20.42578125" style="5" bestFit="1" customWidth="1"/>
    <col min="13" max="13" width="21.85546875" style="5" bestFit="1" customWidth="1"/>
    <col min="14" max="14" width="20.42578125" style="5" bestFit="1" customWidth="1"/>
    <col min="15" max="15" width="19.85546875" style="5" bestFit="1" customWidth="1"/>
    <col min="16" max="16" width="21.28515625" style="5" bestFit="1" customWidth="1"/>
    <col min="17" max="18" width="20.42578125" style="5" bestFit="1" customWidth="1"/>
    <col min="19" max="19" width="20.5703125" style="5" bestFit="1" customWidth="1"/>
    <col min="20" max="21" width="19.85546875" style="5" bestFit="1" customWidth="1"/>
    <col min="22" max="22" width="20.42578125" style="5" bestFit="1" customWidth="1"/>
    <col min="23" max="23" width="19.85546875" style="5" bestFit="1" customWidth="1"/>
    <col min="24" max="24" width="20.42578125" style="5" bestFit="1" customWidth="1"/>
    <col min="25" max="25" width="20.5703125" style="5" bestFit="1" customWidth="1"/>
    <col min="26" max="27" width="20.42578125" style="5" bestFit="1" customWidth="1"/>
    <col min="28" max="28" width="20.5703125" style="5" bestFit="1" customWidth="1"/>
    <col min="29" max="30" width="20.42578125" style="5" bestFit="1" customWidth="1"/>
    <col min="31" max="31" width="20.5703125" style="5" bestFit="1" customWidth="1"/>
    <col min="32" max="32" width="19.42578125" style="5" bestFit="1" customWidth="1"/>
    <col min="33" max="34" width="19.85546875" style="5" bestFit="1" customWidth="1"/>
    <col min="35" max="36" width="20.42578125" style="5" bestFit="1" customWidth="1"/>
    <col min="37" max="37" width="21.85546875" style="5" bestFit="1" customWidth="1"/>
    <col min="38" max="38" width="19.85546875" style="5" bestFit="1" customWidth="1"/>
    <col min="39" max="39" width="20.42578125" style="5" bestFit="1" customWidth="1"/>
    <col min="40" max="40" width="21.28515625" style="5" bestFit="1" customWidth="1"/>
    <col min="41" max="41" width="20.42578125" style="5" bestFit="1" customWidth="1"/>
    <col min="42" max="42" width="19.85546875" style="5" bestFit="1" customWidth="1"/>
    <col min="43" max="43" width="21.28515625" style="5" bestFit="1" customWidth="1"/>
    <col min="44" max="44" width="19.85546875" style="5" bestFit="1" customWidth="1"/>
    <col min="45" max="45" width="19.42578125" style="5" bestFit="1" customWidth="1"/>
    <col min="46" max="46" width="21.85546875" style="5" bestFit="1" customWidth="1"/>
    <col min="47" max="47" width="20.42578125" style="5" bestFit="1" customWidth="1"/>
    <col min="48" max="48" width="19.85546875" style="5" bestFit="1" customWidth="1"/>
    <col min="49" max="49" width="20.5703125" style="5" bestFit="1" customWidth="1"/>
    <col min="50" max="50" width="17.5703125" style="5" bestFit="1" customWidth="1"/>
    <col min="51" max="51" width="16.5703125" style="5" customWidth="1"/>
    <col min="52" max="16384" width="9.140625" style="5"/>
  </cols>
  <sheetData>
    <row r="1" spans="1:51">
      <c r="E1" s="1287" t="s">
        <v>56</v>
      </c>
      <c r="F1" s="1287"/>
      <c r="G1" s="1287"/>
      <c r="H1" s="1287"/>
      <c r="I1" s="1287"/>
      <c r="J1" s="1287"/>
      <c r="K1" s="1287"/>
      <c r="R1" s="1287" t="s">
        <v>56</v>
      </c>
      <c r="S1" s="1287"/>
      <c r="T1" s="1287"/>
      <c r="U1" s="1287"/>
      <c r="V1" s="4"/>
      <c r="W1" s="4"/>
      <c r="X1" s="4"/>
      <c r="Y1" s="4"/>
      <c r="AB1" s="1287" t="s">
        <v>56</v>
      </c>
      <c r="AC1" s="1287"/>
      <c r="AD1" s="1287"/>
      <c r="AE1" s="1287"/>
      <c r="AF1" s="4"/>
      <c r="AG1" s="4"/>
      <c r="AK1" s="1287" t="s">
        <v>56</v>
      </c>
      <c r="AL1" s="1287"/>
      <c r="AM1" s="1287"/>
      <c r="AN1" s="1287"/>
      <c r="AO1" s="1287"/>
      <c r="AU1" s="1287" t="s">
        <v>56</v>
      </c>
      <c r="AV1" s="1287"/>
      <c r="AW1" s="1287"/>
      <c r="AX1" s="1287"/>
      <c r="AY1" s="1287"/>
    </row>
    <row r="2" spans="1:51">
      <c r="E2" s="7"/>
      <c r="F2" s="1287" t="s">
        <v>1609</v>
      </c>
      <c r="G2" s="1287"/>
      <c r="H2" s="1287"/>
      <c r="I2" s="1287"/>
      <c r="J2" s="1287"/>
      <c r="K2" s="7"/>
      <c r="R2" s="1287" t="s">
        <v>1609</v>
      </c>
      <c r="S2" s="1287"/>
      <c r="T2" s="1287"/>
      <c r="U2" s="1287"/>
      <c r="V2" s="4"/>
      <c r="W2" s="4"/>
      <c r="X2" s="4"/>
      <c r="Y2" s="7"/>
      <c r="AA2" s="7"/>
      <c r="AB2" s="1287" t="s">
        <v>1609</v>
      </c>
      <c r="AC2" s="1287"/>
      <c r="AD2" s="1287"/>
      <c r="AE2" s="1287"/>
      <c r="AF2" s="4"/>
      <c r="AG2" s="7"/>
      <c r="AK2" s="1287" t="s">
        <v>1609</v>
      </c>
      <c r="AL2" s="1287"/>
      <c r="AM2" s="1287"/>
      <c r="AN2" s="1287"/>
      <c r="AO2" s="1287"/>
      <c r="AS2" s="7"/>
      <c r="AU2" s="1287" t="s">
        <v>1609</v>
      </c>
      <c r="AV2" s="1287"/>
      <c r="AW2" s="1287"/>
      <c r="AX2" s="1287"/>
      <c r="AY2" s="1287"/>
    </row>
    <row r="3" spans="1:51">
      <c r="E3" s="7"/>
      <c r="F3" s="1287"/>
      <c r="G3" s="1287"/>
      <c r="H3" s="1287"/>
      <c r="I3" s="1287"/>
      <c r="J3" s="1287"/>
      <c r="K3" s="7"/>
      <c r="R3" s="1287"/>
      <c r="S3" s="1287"/>
      <c r="T3" s="1287"/>
      <c r="U3" s="1287"/>
      <c r="V3" s="4"/>
      <c r="W3" s="4"/>
      <c r="X3" s="4"/>
      <c r="Y3" s="7"/>
      <c r="AA3" s="7"/>
      <c r="AB3" s="1287" t="s">
        <v>1612</v>
      </c>
      <c r="AC3" s="1287"/>
      <c r="AD3" s="1287"/>
      <c r="AE3" s="1287"/>
      <c r="AF3" s="4"/>
      <c r="AG3" s="7"/>
      <c r="AK3" s="1287" t="s">
        <v>1612</v>
      </c>
      <c r="AL3" s="1287"/>
      <c r="AM3" s="1287"/>
      <c r="AN3" s="1287"/>
      <c r="AO3" s="1287"/>
      <c r="AS3" s="7"/>
      <c r="AU3" s="1287" t="s">
        <v>1612</v>
      </c>
      <c r="AV3" s="1287"/>
      <c r="AW3" s="1287"/>
      <c r="AX3" s="1287"/>
      <c r="AY3" s="1287"/>
    </row>
    <row r="4" spans="1:51">
      <c r="E4" s="1287" t="s">
        <v>1951</v>
      </c>
      <c r="F4" s="1287"/>
      <c r="G4" s="1287"/>
      <c r="H4" s="1287"/>
      <c r="I4" s="1287"/>
      <c r="J4" s="1287"/>
      <c r="K4" s="1287"/>
      <c r="R4" s="1287" t="s">
        <v>1951</v>
      </c>
      <c r="S4" s="1287"/>
      <c r="T4" s="1287"/>
      <c r="U4" s="1287"/>
      <c r="V4" s="4"/>
      <c r="W4" s="4"/>
      <c r="X4" s="4"/>
      <c r="Y4" s="4"/>
      <c r="AB4" s="1287" t="s">
        <v>1951</v>
      </c>
      <c r="AC4" s="1287"/>
      <c r="AD4" s="1287"/>
      <c r="AE4" s="1287"/>
      <c r="AF4" s="4"/>
      <c r="AG4" s="4"/>
      <c r="AK4" s="1287" t="s">
        <v>1951</v>
      </c>
      <c r="AL4" s="1287"/>
      <c r="AM4" s="1287"/>
      <c r="AN4" s="1287"/>
      <c r="AO4" s="1287"/>
      <c r="AU4" s="1287" t="s">
        <v>1951</v>
      </c>
      <c r="AV4" s="1287"/>
      <c r="AW4" s="1287"/>
      <c r="AX4" s="1287"/>
      <c r="AY4" s="1287"/>
    </row>
    <row r="5" spans="1:51">
      <c r="F5" s="1287" t="s">
        <v>980</v>
      </c>
      <c r="G5" s="1287"/>
      <c r="H5" s="1287"/>
      <c r="I5" s="1287"/>
      <c r="J5" s="1287"/>
      <c r="R5" s="1287" t="s">
        <v>980</v>
      </c>
      <c r="S5" s="1287"/>
      <c r="T5" s="1287"/>
      <c r="U5" s="1287"/>
      <c r="V5" s="4"/>
      <c r="W5" s="4"/>
      <c r="X5" s="4"/>
      <c r="AB5" s="1287" t="s">
        <v>980</v>
      </c>
      <c r="AC5" s="1287"/>
      <c r="AD5" s="1287"/>
      <c r="AE5" s="1287"/>
      <c r="AF5" s="4"/>
      <c r="AK5" s="1287" t="s">
        <v>980</v>
      </c>
      <c r="AL5" s="1287"/>
      <c r="AM5" s="1287"/>
      <c r="AN5" s="1287"/>
      <c r="AO5" s="1287"/>
      <c r="AU5" s="1287" t="s">
        <v>980</v>
      </c>
      <c r="AV5" s="1287"/>
      <c r="AW5" s="1287"/>
      <c r="AX5" s="1287"/>
      <c r="AY5" s="1287"/>
    </row>
    <row r="8" spans="1:51" s="20" customFormat="1" ht="16.5" thickBot="1">
      <c r="A8" s="20" t="s">
        <v>886</v>
      </c>
      <c r="B8" s="20" t="s">
        <v>1623</v>
      </c>
      <c r="C8" s="20" t="s">
        <v>1621</v>
      </c>
      <c r="E8" s="20" t="s">
        <v>1622</v>
      </c>
      <c r="F8" s="20" t="s">
        <v>1625</v>
      </c>
      <c r="G8" s="20" t="s">
        <v>1626</v>
      </c>
      <c r="H8" s="20" t="s">
        <v>1635</v>
      </c>
      <c r="I8" s="20" t="s">
        <v>1636</v>
      </c>
      <c r="J8" s="20" t="s">
        <v>1637</v>
      </c>
      <c r="K8" s="20" t="s">
        <v>1638</v>
      </c>
      <c r="L8" s="20" t="s">
        <v>1639</v>
      </c>
      <c r="M8" s="20" t="s">
        <v>1640</v>
      </c>
      <c r="N8" s="20" t="s">
        <v>1830</v>
      </c>
      <c r="O8" s="20" t="s">
        <v>1642</v>
      </c>
      <c r="P8" s="20" t="s">
        <v>1643</v>
      </c>
      <c r="Q8" s="20" t="s">
        <v>1644</v>
      </c>
      <c r="R8" s="20" t="s">
        <v>1918</v>
      </c>
      <c r="S8" s="20" t="s">
        <v>1919</v>
      </c>
      <c r="T8" s="20" t="s">
        <v>1920</v>
      </c>
      <c r="U8" s="20" t="s">
        <v>1921</v>
      </c>
      <c r="V8" s="20" t="s">
        <v>1922</v>
      </c>
      <c r="W8" s="20" t="s">
        <v>1923</v>
      </c>
      <c r="X8" s="20" t="s">
        <v>1924</v>
      </c>
      <c r="Y8" s="20" t="s">
        <v>1925</v>
      </c>
      <c r="Z8" s="20" t="s">
        <v>1926</v>
      </c>
      <c r="AA8" s="20" t="s">
        <v>1927</v>
      </c>
      <c r="AB8" s="20" t="s">
        <v>1928</v>
      </c>
      <c r="AC8" s="20" t="s">
        <v>1176</v>
      </c>
      <c r="AD8" s="20" t="s">
        <v>1929</v>
      </c>
      <c r="AE8" s="20" t="s">
        <v>1930</v>
      </c>
      <c r="AF8" s="20" t="s">
        <v>1931</v>
      </c>
      <c r="AG8" s="20" t="s">
        <v>1932</v>
      </c>
      <c r="AH8" s="20" t="s">
        <v>1934</v>
      </c>
      <c r="AI8" s="20" t="s">
        <v>1935</v>
      </c>
      <c r="AJ8" s="20" t="s">
        <v>1936</v>
      </c>
      <c r="AK8" s="20" t="s">
        <v>1937</v>
      </c>
      <c r="AL8" s="20" t="s">
        <v>1938</v>
      </c>
      <c r="AM8" s="20" t="s">
        <v>1939</v>
      </c>
      <c r="AN8" s="20" t="s">
        <v>1940</v>
      </c>
      <c r="AO8" s="20" t="s">
        <v>1941</v>
      </c>
      <c r="AP8" s="20" t="s">
        <v>1942</v>
      </c>
      <c r="AQ8" s="20" t="s">
        <v>1943</v>
      </c>
      <c r="AR8" s="20" t="s">
        <v>1944</v>
      </c>
      <c r="AS8" s="20" t="s">
        <v>1945</v>
      </c>
      <c r="AT8" s="20" t="s">
        <v>1946</v>
      </c>
      <c r="AU8" s="20" t="s">
        <v>1765</v>
      </c>
      <c r="AV8" s="20" t="s">
        <v>1947</v>
      </c>
      <c r="AW8" s="20" t="s">
        <v>1948</v>
      </c>
      <c r="AX8" s="20" t="s">
        <v>1949</v>
      </c>
      <c r="AY8" s="20" t="s">
        <v>1950</v>
      </c>
    </row>
    <row r="9" spans="1:51">
      <c r="A9" s="20">
        <v>1</v>
      </c>
      <c r="B9" s="1332" t="s">
        <v>2013</v>
      </c>
      <c r="C9" s="1333"/>
      <c r="D9" s="1333"/>
      <c r="E9" s="1334"/>
      <c r="F9" s="1344" t="s">
        <v>390</v>
      </c>
      <c r="G9" s="1344"/>
      <c r="H9" s="1344"/>
      <c r="I9" s="1345"/>
      <c r="J9" s="398" t="s">
        <v>1176</v>
      </c>
      <c r="K9" s="399" t="s">
        <v>1826</v>
      </c>
      <c r="L9" s="400" t="s">
        <v>1827</v>
      </c>
      <c r="M9" s="398" t="s">
        <v>1176</v>
      </c>
      <c r="N9" s="399" t="s">
        <v>1826</v>
      </c>
      <c r="O9" s="400" t="s">
        <v>1827</v>
      </c>
      <c r="P9" s="398" t="s">
        <v>1176</v>
      </c>
      <c r="Q9" s="399" t="s">
        <v>1826</v>
      </c>
      <c r="R9" s="400" t="s">
        <v>1827</v>
      </c>
      <c r="S9" s="398" t="s">
        <v>1176</v>
      </c>
      <c r="T9" s="399" t="s">
        <v>1826</v>
      </c>
      <c r="U9" s="400" t="s">
        <v>1827</v>
      </c>
      <c r="V9" s="398" t="s">
        <v>1176</v>
      </c>
      <c r="W9" s="399" t="s">
        <v>1826</v>
      </c>
      <c r="X9" s="400" t="s">
        <v>1827</v>
      </c>
      <c r="Y9" s="398" t="s">
        <v>1176</v>
      </c>
      <c r="Z9" s="399" t="s">
        <v>1826</v>
      </c>
      <c r="AA9" s="400" t="s">
        <v>1827</v>
      </c>
      <c r="AB9" s="398" t="s">
        <v>1176</v>
      </c>
      <c r="AC9" s="399" t="s">
        <v>1826</v>
      </c>
      <c r="AD9" s="400" t="s">
        <v>1827</v>
      </c>
      <c r="AE9" s="398" t="s">
        <v>1176</v>
      </c>
      <c r="AF9" s="399" t="s">
        <v>1826</v>
      </c>
      <c r="AG9" s="400" t="s">
        <v>1827</v>
      </c>
      <c r="AH9" s="398" t="s">
        <v>1176</v>
      </c>
      <c r="AI9" s="399" t="s">
        <v>1826</v>
      </c>
      <c r="AJ9" s="400" t="s">
        <v>1827</v>
      </c>
      <c r="AK9" s="398" t="s">
        <v>1176</v>
      </c>
      <c r="AL9" s="399" t="s">
        <v>1826</v>
      </c>
      <c r="AM9" s="400" t="s">
        <v>1827</v>
      </c>
      <c r="AN9" s="398" t="s">
        <v>1176</v>
      </c>
      <c r="AO9" s="399" t="s">
        <v>1826</v>
      </c>
      <c r="AP9" s="400" t="s">
        <v>1827</v>
      </c>
      <c r="AQ9" s="398" t="s">
        <v>1176</v>
      </c>
      <c r="AR9" s="399" t="s">
        <v>1826</v>
      </c>
      <c r="AS9" s="400" t="s">
        <v>1827</v>
      </c>
      <c r="AT9" s="398" t="s">
        <v>1176</v>
      </c>
      <c r="AU9" s="399" t="s">
        <v>1826</v>
      </c>
      <c r="AV9" s="400" t="s">
        <v>1827</v>
      </c>
      <c r="AW9" s="401" t="s">
        <v>1868</v>
      </c>
      <c r="AX9" s="401" t="s">
        <v>107</v>
      </c>
      <c r="AY9" s="401" t="s">
        <v>81</v>
      </c>
    </row>
    <row r="10" spans="1:51">
      <c r="A10" s="20">
        <v>2</v>
      </c>
      <c r="B10" s="1335"/>
      <c r="C10" s="1336"/>
      <c r="D10" s="1336"/>
      <c r="E10" s="1337"/>
      <c r="F10" s="1330" t="s">
        <v>391</v>
      </c>
      <c r="G10" s="1330"/>
      <c r="H10" s="1330"/>
      <c r="I10" s="1331"/>
      <c r="J10" s="402" t="s">
        <v>1828</v>
      </c>
      <c r="K10" s="403" t="s">
        <v>1828</v>
      </c>
      <c r="L10" s="404" t="s">
        <v>1828</v>
      </c>
      <c r="M10" s="402" t="s">
        <v>1829</v>
      </c>
      <c r="N10" s="403" t="s">
        <v>1829</v>
      </c>
      <c r="O10" s="404" t="s">
        <v>1829</v>
      </c>
      <c r="P10" s="402" t="s">
        <v>1829</v>
      </c>
      <c r="Q10" s="403" t="s">
        <v>1829</v>
      </c>
      <c r="R10" s="404" t="s">
        <v>1829</v>
      </c>
      <c r="S10" s="402" t="s">
        <v>1829</v>
      </c>
      <c r="T10" s="403" t="s">
        <v>1829</v>
      </c>
      <c r="U10" s="404" t="s">
        <v>1829</v>
      </c>
      <c r="V10" s="402" t="s">
        <v>1829</v>
      </c>
      <c r="W10" s="403" t="s">
        <v>1829</v>
      </c>
      <c r="X10" s="404" t="s">
        <v>1829</v>
      </c>
      <c r="Y10" s="402" t="s">
        <v>1829</v>
      </c>
      <c r="Z10" s="403" t="s">
        <v>1829</v>
      </c>
      <c r="AA10" s="404" t="s">
        <v>1829</v>
      </c>
      <c r="AB10" s="402" t="s">
        <v>1829</v>
      </c>
      <c r="AC10" s="403" t="s">
        <v>1829</v>
      </c>
      <c r="AD10" s="404" t="s">
        <v>1829</v>
      </c>
      <c r="AE10" s="402" t="s">
        <v>1829</v>
      </c>
      <c r="AF10" s="403" t="s">
        <v>1829</v>
      </c>
      <c r="AG10" s="404" t="s">
        <v>1829</v>
      </c>
      <c r="AH10" s="402" t="s">
        <v>1829</v>
      </c>
      <c r="AI10" s="403" t="s">
        <v>1829</v>
      </c>
      <c r="AJ10" s="404" t="s">
        <v>1829</v>
      </c>
      <c r="AK10" s="402" t="s">
        <v>1829</v>
      </c>
      <c r="AL10" s="403" t="s">
        <v>1829</v>
      </c>
      <c r="AM10" s="404" t="s">
        <v>1829</v>
      </c>
      <c r="AN10" s="402" t="s">
        <v>1829</v>
      </c>
      <c r="AO10" s="403" t="s">
        <v>1829</v>
      </c>
      <c r="AP10" s="404" t="s">
        <v>1829</v>
      </c>
      <c r="AQ10" s="402" t="s">
        <v>1829</v>
      </c>
      <c r="AR10" s="403" t="s">
        <v>1829</v>
      </c>
      <c r="AS10" s="404" t="s">
        <v>1829</v>
      </c>
      <c r="AT10" s="402" t="s">
        <v>1829</v>
      </c>
      <c r="AU10" s="403" t="s">
        <v>1829</v>
      </c>
      <c r="AV10" s="404" t="s">
        <v>1829</v>
      </c>
    </row>
    <row r="11" spans="1:51">
      <c r="A11" s="20">
        <v>3</v>
      </c>
      <c r="B11" s="1335"/>
      <c r="C11" s="1336"/>
      <c r="D11" s="1336"/>
      <c r="E11" s="1337"/>
      <c r="F11" s="1330" t="s">
        <v>392</v>
      </c>
      <c r="G11" s="1330"/>
      <c r="H11" s="1330"/>
      <c r="I11" s="1331"/>
      <c r="J11" s="402" t="s">
        <v>1830</v>
      </c>
      <c r="K11" s="403" t="s">
        <v>1830</v>
      </c>
      <c r="L11" s="404" t="s">
        <v>1830</v>
      </c>
      <c r="M11" s="402" t="s">
        <v>1830</v>
      </c>
      <c r="N11" s="403" t="s">
        <v>1830</v>
      </c>
      <c r="O11" s="404" t="s">
        <v>1830</v>
      </c>
      <c r="P11" s="402" t="s">
        <v>1830</v>
      </c>
      <c r="Q11" s="403" t="s">
        <v>1830</v>
      </c>
      <c r="R11" s="404" t="s">
        <v>1830</v>
      </c>
      <c r="S11" s="402" t="s">
        <v>1830</v>
      </c>
      <c r="T11" s="403" t="s">
        <v>1830</v>
      </c>
      <c r="U11" s="404" t="s">
        <v>1830</v>
      </c>
      <c r="V11" s="402" t="s">
        <v>1830</v>
      </c>
      <c r="W11" s="403" t="s">
        <v>1830</v>
      </c>
      <c r="X11" s="404" t="s">
        <v>1830</v>
      </c>
      <c r="Y11" s="402" t="s">
        <v>1830</v>
      </c>
      <c r="Z11" s="403" t="s">
        <v>1830</v>
      </c>
      <c r="AA11" s="404" t="s">
        <v>1830</v>
      </c>
      <c r="AB11" s="402" t="s">
        <v>1830</v>
      </c>
      <c r="AC11" s="403" t="s">
        <v>1830</v>
      </c>
      <c r="AD11" s="404" t="s">
        <v>1830</v>
      </c>
      <c r="AE11" s="402" t="s">
        <v>1830</v>
      </c>
      <c r="AF11" s="403" t="s">
        <v>1830</v>
      </c>
      <c r="AG11" s="404" t="s">
        <v>1830</v>
      </c>
      <c r="AH11" s="402" t="s">
        <v>1830</v>
      </c>
      <c r="AI11" s="403" t="s">
        <v>1830</v>
      </c>
      <c r="AJ11" s="404" t="s">
        <v>1830</v>
      </c>
      <c r="AK11" s="402" t="s">
        <v>1830</v>
      </c>
      <c r="AL11" s="403" t="s">
        <v>1830</v>
      </c>
      <c r="AM11" s="404" t="s">
        <v>1830</v>
      </c>
      <c r="AN11" s="402" t="s">
        <v>1830</v>
      </c>
      <c r="AO11" s="403" t="s">
        <v>1830</v>
      </c>
      <c r="AP11" s="404" t="s">
        <v>1830</v>
      </c>
      <c r="AQ11" s="402" t="s">
        <v>1830</v>
      </c>
      <c r="AR11" s="403" t="s">
        <v>1830</v>
      </c>
      <c r="AS11" s="404" t="s">
        <v>1830</v>
      </c>
      <c r="AT11" s="402" t="s">
        <v>1830</v>
      </c>
      <c r="AU11" s="403" t="s">
        <v>1830</v>
      </c>
      <c r="AV11" s="404" t="s">
        <v>1830</v>
      </c>
      <c r="AX11" s="401" t="s">
        <v>372</v>
      </c>
    </row>
    <row r="12" spans="1:51">
      <c r="A12" s="286">
        <v>4</v>
      </c>
      <c r="B12" s="1335"/>
      <c r="C12" s="1336"/>
      <c r="D12" s="1336"/>
      <c r="E12" s="1337"/>
      <c r="F12" s="1330" t="s">
        <v>393</v>
      </c>
      <c r="G12" s="1330"/>
      <c r="H12" s="1330"/>
      <c r="I12" s="1331"/>
      <c r="J12" s="402" t="s">
        <v>536</v>
      </c>
      <c r="K12" s="403" t="s">
        <v>536</v>
      </c>
      <c r="L12" s="404" t="s">
        <v>536</v>
      </c>
      <c r="M12" s="402" t="s">
        <v>622</v>
      </c>
      <c r="N12" s="403" t="s">
        <v>622</v>
      </c>
      <c r="O12" s="404" t="s">
        <v>622</v>
      </c>
      <c r="P12" s="402" t="s">
        <v>676</v>
      </c>
      <c r="Q12" s="403" t="s">
        <v>676</v>
      </c>
      <c r="R12" s="404" t="s">
        <v>676</v>
      </c>
      <c r="S12" s="402" t="s">
        <v>678</v>
      </c>
      <c r="T12" s="403" t="s">
        <v>678</v>
      </c>
      <c r="U12" s="404" t="s">
        <v>678</v>
      </c>
      <c r="V12" s="402" t="s">
        <v>1831</v>
      </c>
      <c r="W12" s="403" t="s">
        <v>1831</v>
      </c>
      <c r="X12" s="404" t="s">
        <v>1831</v>
      </c>
      <c r="Y12" s="402" t="s">
        <v>1832</v>
      </c>
      <c r="Z12" s="403" t="s">
        <v>1832</v>
      </c>
      <c r="AA12" s="404" t="s">
        <v>1832</v>
      </c>
      <c r="AB12" s="402" t="s">
        <v>1833</v>
      </c>
      <c r="AC12" s="403" t="s">
        <v>1833</v>
      </c>
      <c r="AD12" s="404" t="s">
        <v>1833</v>
      </c>
      <c r="AE12" s="402" t="s">
        <v>1834</v>
      </c>
      <c r="AF12" s="403" t="s">
        <v>1834</v>
      </c>
      <c r="AG12" s="404" t="s">
        <v>1834</v>
      </c>
      <c r="AH12" s="402" t="s">
        <v>413</v>
      </c>
      <c r="AI12" s="403" t="s">
        <v>413</v>
      </c>
      <c r="AJ12" s="404" t="s">
        <v>413</v>
      </c>
      <c r="AK12" s="402" t="s">
        <v>1835</v>
      </c>
      <c r="AL12" s="403" t="s">
        <v>1835</v>
      </c>
      <c r="AM12" s="404" t="s">
        <v>1835</v>
      </c>
      <c r="AN12" s="402" t="s">
        <v>1836</v>
      </c>
      <c r="AO12" s="403" t="s">
        <v>1836</v>
      </c>
      <c r="AP12" s="404" t="s">
        <v>1836</v>
      </c>
      <c r="AQ12" s="402" t="s">
        <v>1837</v>
      </c>
      <c r="AR12" s="403" t="s">
        <v>1837</v>
      </c>
      <c r="AS12" s="404" t="s">
        <v>1837</v>
      </c>
      <c r="AT12" s="402" t="s">
        <v>536</v>
      </c>
      <c r="AU12" s="403" t="s">
        <v>536</v>
      </c>
      <c r="AV12" s="404" t="s">
        <v>536</v>
      </c>
    </row>
    <row r="13" spans="1:51" ht="16.5" thickBot="1">
      <c r="A13" s="286">
        <v>5</v>
      </c>
      <c r="B13" s="1338"/>
      <c r="C13" s="1339"/>
      <c r="D13" s="1339"/>
      <c r="E13" s="1340"/>
      <c r="F13" s="1330" t="s">
        <v>394</v>
      </c>
      <c r="G13" s="1330"/>
      <c r="H13" s="1330"/>
      <c r="I13" s="1331"/>
      <c r="J13" s="402" t="s">
        <v>987</v>
      </c>
      <c r="K13" s="403" t="s">
        <v>987</v>
      </c>
      <c r="L13" s="404" t="s">
        <v>987</v>
      </c>
      <c r="M13" s="402" t="s">
        <v>987</v>
      </c>
      <c r="N13" s="403" t="s">
        <v>987</v>
      </c>
      <c r="O13" s="404" t="s">
        <v>987</v>
      </c>
      <c r="P13" s="402" t="s">
        <v>987</v>
      </c>
      <c r="Q13" s="403" t="s">
        <v>987</v>
      </c>
      <c r="R13" s="404" t="s">
        <v>987</v>
      </c>
      <c r="S13" s="402" t="s">
        <v>987</v>
      </c>
      <c r="T13" s="403" t="s">
        <v>987</v>
      </c>
      <c r="U13" s="404" t="s">
        <v>987</v>
      </c>
      <c r="V13" s="402" t="s">
        <v>987</v>
      </c>
      <c r="W13" s="403" t="s">
        <v>987</v>
      </c>
      <c r="X13" s="404" t="s">
        <v>987</v>
      </c>
      <c r="Y13" s="402" t="s">
        <v>987</v>
      </c>
      <c r="Z13" s="403" t="s">
        <v>987</v>
      </c>
      <c r="AA13" s="404" t="s">
        <v>987</v>
      </c>
      <c r="AB13" s="402" t="s">
        <v>987</v>
      </c>
      <c r="AC13" s="403" t="s">
        <v>987</v>
      </c>
      <c r="AD13" s="404" t="s">
        <v>987</v>
      </c>
      <c r="AE13" s="402" t="s">
        <v>987</v>
      </c>
      <c r="AF13" s="403" t="s">
        <v>987</v>
      </c>
      <c r="AG13" s="404" t="s">
        <v>987</v>
      </c>
      <c r="AH13" s="402" t="s">
        <v>987</v>
      </c>
      <c r="AI13" s="403" t="s">
        <v>987</v>
      </c>
      <c r="AJ13" s="404" t="s">
        <v>987</v>
      </c>
      <c r="AK13" s="402" t="s">
        <v>987</v>
      </c>
      <c r="AL13" s="403" t="s">
        <v>987</v>
      </c>
      <c r="AM13" s="404" t="s">
        <v>987</v>
      </c>
      <c r="AN13" s="402" t="s">
        <v>987</v>
      </c>
      <c r="AO13" s="403" t="s">
        <v>987</v>
      </c>
      <c r="AP13" s="404" t="s">
        <v>987</v>
      </c>
      <c r="AQ13" s="402" t="s">
        <v>987</v>
      </c>
      <c r="AR13" s="403" t="s">
        <v>987</v>
      </c>
      <c r="AS13" s="404" t="s">
        <v>987</v>
      </c>
      <c r="AT13" s="402" t="s">
        <v>987</v>
      </c>
      <c r="AU13" s="403" t="s">
        <v>987</v>
      </c>
      <c r="AV13" s="404" t="s">
        <v>987</v>
      </c>
    </row>
    <row r="14" spans="1:51">
      <c r="A14" s="286">
        <v>6</v>
      </c>
      <c r="B14" s="405"/>
      <c r="C14" s="406"/>
      <c r="D14" s="406"/>
      <c r="E14" s="406"/>
      <c r="F14" s="406"/>
      <c r="G14" s="406"/>
      <c r="H14" s="406"/>
      <c r="I14" s="407"/>
      <c r="J14" s="405"/>
      <c r="K14" s="406"/>
      <c r="L14" s="407"/>
      <c r="M14" s="405"/>
      <c r="N14" s="406"/>
      <c r="O14" s="407"/>
      <c r="P14" s="405"/>
      <c r="Q14" s="406"/>
      <c r="R14" s="407"/>
      <c r="S14" s="405"/>
      <c r="T14" s="406"/>
      <c r="U14" s="407"/>
      <c r="V14" s="405"/>
      <c r="W14" s="406"/>
      <c r="X14" s="407"/>
      <c r="Y14" s="405"/>
      <c r="Z14" s="406"/>
      <c r="AA14" s="407"/>
      <c r="AB14" s="405"/>
      <c r="AC14" s="406"/>
      <c r="AD14" s="407"/>
      <c r="AE14" s="405"/>
      <c r="AF14" s="406"/>
      <c r="AG14" s="407"/>
      <c r="AH14" s="405"/>
      <c r="AI14" s="406"/>
      <c r="AJ14" s="407"/>
      <c r="AK14" s="405"/>
      <c r="AL14" s="406"/>
      <c r="AM14" s="407"/>
      <c r="AN14" s="405"/>
      <c r="AO14" s="406"/>
      <c r="AP14" s="407"/>
      <c r="AQ14" s="405"/>
      <c r="AR14" s="406"/>
      <c r="AS14" s="407"/>
      <c r="AT14" s="405"/>
      <c r="AU14" s="406"/>
      <c r="AV14" s="407"/>
      <c r="AW14" s="407"/>
      <c r="AX14" s="407"/>
      <c r="AY14" s="407"/>
    </row>
    <row r="15" spans="1:51" ht="31.5">
      <c r="A15" s="286">
        <v>7</v>
      </c>
      <c r="B15" s="410"/>
      <c r="C15" s="411" t="s">
        <v>1838</v>
      </c>
      <c r="D15" s="411"/>
      <c r="E15" s="411" t="s">
        <v>1839</v>
      </c>
      <c r="F15" s="411" t="s">
        <v>1840</v>
      </c>
      <c r="G15" s="411" t="s">
        <v>1841</v>
      </c>
      <c r="H15" s="411" t="s">
        <v>1842</v>
      </c>
      <c r="I15" s="412" t="s">
        <v>1843</v>
      </c>
      <c r="J15" s="410"/>
      <c r="K15" s="413"/>
      <c r="L15" s="414"/>
      <c r="M15" s="410"/>
      <c r="N15" s="413"/>
      <c r="O15" s="414"/>
      <c r="P15" s="410"/>
      <c r="Q15" s="413"/>
      <c r="R15" s="414"/>
      <c r="S15" s="410"/>
      <c r="T15" s="413"/>
      <c r="U15" s="414"/>
      <c r="V15" s="410"/>
      <c r="W15" s="413"/>
      <c r="X15" s="414"/>
      <c r="Y15" s="410"/>
      <c r="Z15" s="413"/>
      <c r="AA15" s="414"/>
      <c r="AB15" s="410"/>
      <c r="AC15" s="413"/>
      <c r="AD15" s="414"/>
      <c r="AE15" s="410"/>
      <c r="AF15" s="413"/>
      <c r="AG15" s="414"/>
      <c r="AH15" s="410"/>
      <c r="AI15" s="413"/>
      <c r="AJ15" s="414"/>
      <c r="AK15" s="410"/>
      <c r="AL15" s="413"/>
      <c r="AM15" s="414"/>
      <c r="AN15" s="410"/>
      <c r="AO15" s="413"/>
      <c r="AP15" s="414"/>
      <c r="AQ15" s="410"/>
      <c r="AR15" s="413"/>
      <c r="AS15" s="414"/>
      <c r="AT15" s="410"/>
      <c r="AU15" s="413"/>
      <c r="AV15" s="414"/>
    </row>
    <row r="16" spans="1:51">
      <c r="A16" s="286">
        <v>8</v>
      </c>
      <c r="B16" s="1341" t="s">
        <v>1845</v>
      </c>
      <c r="C16" s="1342"/>
      <c r="D16" s="1342"/>
      <c r="E16" s="1342"/>
      <c r="F16" s="1342"/>
      <c r="G16" s="1342"/>
      <c r="H16" s="1342"/>
      <c r="I16" s="1343"/>
      <c r="J16" s="415"/>
      <c r="K16" s="416"/>
      <c r="L16" s="417"/>
      <c r="M16" s="415"/>
      <c r="N16" s="416"/>
      <c r="O16" s="417"/>
      <c r="P16" s="415"/>
      <c r="Q16" s="416"/>
      <c r="R16" s="417"/>
      <c r="S16" s="415"/>
      <c r="T16" s="416"/>
      <c r="U16" s="417"/>
      <c r="V16" s="415"/>
      <c r="W16" s="416"/>
      <c r="X16" s="417"/>
      <c r="Y16" s="415"/>
      <c r="Z16" s="416"/>
      <c r="AA16" s="417"/>
      <c r="AB16" s="415"/>
      <c r="AC16" s="416"/>
      <c r="AD16" s="417"/>
      <c r="AE16" s="415"/>
      <c r="AF16" s="416"/>
      <c r="AG16" s="417"/>
      <c r="AH16" s="415"/>
      <c r="AI16" s="416"/>
      <c r="AJ16" s="417"/>
      <c r="AK16" s="415"/>
      <c r="AL16" s="416"/>
      <c r="AM16" s="417"/>
      <c r="AN16" s="415"/>
      <c r="AO16" s="416"/>
      <c r="AP16" s="417"/>
      <c r="AQ16" s="415"/>
      <c r="AR16" s="416"/>
      <c r="AS16" s="417"/>
      <c r="AT16" s="415"/>
      <c r="AU16" s="416"/>
      <c r="AV16" s="417"/>
    </row>
    <row r="17" spans="1:56">
      <c r="A17" s="286">
        <v>9</v>
      </c>
      <c r="B17" s="408" t="s">
        <v>1846</v>
      </c>
      <c r="C17" s="403" t="s">
        <v>1179</v>
      </c>
      <c r="D17" s="403"/>
      <c r="E17" s="403" t="s">
        <v>1847</v>
      </c>
      <c r="F17" s="403" t="s">
        <v>824</v>
      </c>
      <c r="G17" s="403" t="s">
        <v>1848</v>
      </c>
      <c r="H17" s="403" t="s">
        <v>405</v>
      </c>
      <c r="I17" s="404" t="s">
        <v>405</v>
      </c>
      <c r="J17" s="415">
        <v>0</v>
      </c>
      <c r="K17" s="416">
        <v>0</v>
      </c>
      <c r="L17" s="417"/>
      <c r="M17" s="415">
        <v>0</v>
      </c>
      <c r="N17" s="416">
        <v>0</v>
      </c>
      <c r="O17" s="417"/>
      <c r="P17" s="415">
        <v>0</v>
      </c>
      <c r="Q17" s="416">
        <v>0</v>
      </c>
      <c r="R17" s="417"/>
      <c r="S17" s="415">
        <v>0</v>
      </c>
      <c r="T17" s="416">
        <v>0</v>
      </c>
      <c r="U17" s="417"/>
      <c r="V17" s="415">
        <v>0</v>
      </c>
      <c r="W17" s="416">
        <v>0</v>
      </c>
      <c r="X17" s="417"/>
      <c r="Y17" s="415">
        <v>0</v>
      </c>
      <c r="Z17" s="416">
        <v>0</v>
      </c>
      <c r="AA17" s="417"/>
      <c r="AB17" s="415">
        <v>0</v>
      </c>
      <c r="AC17" s="416">
        <v>0</v>
      </c>
      <c r="AD17" s="417"/>
      <c r="AE17" s="415">
        <v>0</v>
      </c>
      <c r="AF17" s="416">
        <v>0</v>
      </c>
      <c r="AG17" s="417"/>
      <c r="AH17" s="415">
        <v>0</v>
      </c>
      <c r="AI17" s="416">
        <v>0</v>
      </c>
      <c r="AJ17" s="417"/>
      <c r="AK17" s="415">
        <v>0</v>
      </c>
      <c r="AL17" s="416">
        <v>0</v>
      </c>
      <c r="AM17" s="417"/>
      <c r="AN17" s="415">
        <v>0</v>
      </c>
      <c r="AO17" s="416">
        <v>0</v>
      </c>
      <c r="AP17" s="417"/>
      <c r="AQ17" s="415">
        <v>0</v>
      </c>
      <c r="AR17" s="416">
        <v>0</v>
      </c>
      <c r="AS17" s="417"/>
      <c r="AT17" s="415">
        <v>0</v>
      </c>
      <c r="AU17" s="416">
        <v>0</v>
      </c>
      <c r="AV17" s="417"/>
    </row>
    <row r="18" spans="1:56">
      <c r="A18" s="20">
        <v>10</v>
      </c>
      <c r="B18" s="408" t="s">
        <v>1849</v>
      </c>
      <c r="C18" s="403" t="s">
        <v>1179</v>
      </c>
      <c r="D18" s="403"/>
      <c r="E18" s="403" t="s">
        <v>405</v>
      </c>
      <c r="F18" s="403" t="s">
        <v>824</v>
      </c>
      <c r="G18" s="403" t="s">
        <v>1850</v>
      </c>
      <c r="H18" s="403" t="s">
        <v>405</v>
      </c>
      <c r="I18" s="404" t="s">
        <v>405</v>
      </c>
      <c r="J18" s="415">
        <v>-2279109.5</v>
      </c>
      <c r="K18" s="418">
        <v>-2238048.0300000003</v>
      </c>
      <c r="L18" s="417">
        <v>-41061.47</v>
      </c>
      <c r="M18" s="415">
        <v>-2226742.2999999998</v>
      </c>
      <c r="N18" s="418">
        <v>-2177832.12</v>
      </c>
      <c r="O18" s="417">
        <v>-48910.18</v>
      </c>
      <c r="P18" s="415">
        <v>-2231648.46</v>
      </c>
      <c r="Q18" s="418">
        <v>-2182738.2800000003</v>
      </c>
      <c r="R18" s="417">
        <v>-48910.18</v>
      </c>
      <c r="S18" s="415">
        <v>-2244974.9500000002</v>
      </c>
      <c r="T18" s="418">
        <v>-2196064.77</v>
      </c>
      <c r="U18" s="417">
        <v>-48910.18</v>
      </c>
      <c r="V18" s="415">
        <v>-2238326.9700000002</v>
      </c>
      <c r="W18" s="418">
        <v>-2188576.84</v>
      </c>
      <c r="X18" s="417">
        <v>-49750.13</v>
      </c>
      <c r="Y18" s="415">
        <v>-2236733.9700000002</v>
      </c>
      <c r="Z18" s="418">
        <v>-2188576.84</v>
      </c>
      <c r="AA18" s="417">
        <v>-48157.13</v>
      </c>
      <c r="AB18" s="415">
        <v>-2236210.0699999998</v>
      </c>
      <c r="AC18" s="418">
        <v>-2186613.7000000002</v>
      </c>
      <c r="AD18" s="417">
        <v>-49596.37</v>
      </c>
      <c r="AE18" s="415">
        <v>-2902309.1</v>
      </c>
      <c r="AF18" s="418">
        <v>-2852426.2</v>
      </c>
      <c r="AG18" s="417">
        <v>-49882.9</v>
      </c>
      <c r="AH18" s="415">
        <v>-2962128.58</v>
      </c>
      <c r="AI18" s="418">
        <v>-2864501.58</v>
      </c>
      <c r="AJ18" s="417">
        <v>-97627</v>
      </c>
      <c r="AK18" s="415">
        <v>-2962128.58</v>
      </c>
      <c r="AL18" s="418">
        <v>-2864501.58</v>
      </c>
      <c r="AM18" s="417">
        <v>-97627</v>
      </c>
      <c r="AN18" s="415">
        <v>-2962128.58</v>
      </c>
      <c r="AO18" s="418">
        <v>-2864501.58</v>
      </c>
      <c r="AP18" s="417">
        <v>-97627</v>
      </c>
      <c r="AQ18" s="415">
        <v>-2960940.58</v>
      </c>
      <c r="AR18" s="418">
        <v>-2863313.58</v>
      </c>
      <c r="AS18" s="417">
        <v>-97627</v>
      </c>
      <c r="AT18" s="415">
        <v>-2978881.44</v>
      </c>
      <c r="AU18" s="418">
        <v>-2863313.58</v>
      </c>
      <c r="AV18" s="417">
        <v>-115567.86</v>
      </c>
      <c r="AW18" s="208">
        <f>+(AT18+J18+(M18+P18+S18+V18+Y18+AB18+AE18+AH18+AK18+AN18+AQ18)*2)/24</f>
        <v>-2566105.6341666658</v>
      </c>
      <c r="AX18" s="208">
        <f t="shared" ref="AX18:AY22" si="0">+(AU18+K18+(N18+Q18+T18+W18+Z18+AC18+AF18+AI18+AL18+AO18+AR18)*2)/24</f>
        <v>-2498360.6562499995</v>
      </c>
      <c r="AY18" s="208">
        <f t="shared" si="0"/>
        <v>-67744.97791666667</v>
      </c>
    </row>
    <row r="19" spans="1:56">
      <c r="A19" s="20">
        <v>11</v>
      </c>
      <c r="B19" s="408" t="s">
        <v>1851</v>
      </c>
      <c r="C19" s="403" t="s">
        <v>1179</v>
      </c>
      <c r="D19" s="403"/>
      <c r="E19" s="403" t="s">
        <v>1844</v>
      </c>
      <c r="F19" s="403" t="s">
        <v>824</v>
      </c>
      <c r="G19" s="403" t="s">
        <v>1852</v>
      </c>
      <c r="H19" s="403" t="s">
        <v>405</v>
      </c>
      <c r="I19" s="404" t="s">
        <v>405</v>
      </c>
      <c r="J19" s="415">
        <v>76970.94</v>
      </c>
      <c r="K19" s="416">
        <v>76970.94</v>
      </c>
      <c r="L19" s="417">
        <v>0</v>
      </c>
      <c r="M19" s="415">
        <v>0</v>
      </c>
      <c r="N19" s="416">
        <v>0</v>
      </c>
      <c r="O19" s="417">
        <v>0</v>
      </c>
      <c r="P19" s="415">
        <v>7662.17</v>
      </c>
      <c r="Q19" s="416">
        <v>7662.17</v>
      </c>
      <c r="R19" s="417">
        <v>0</v>
      </c>
      <c r="S19" s="415">
        <v>7662.17</v>
      </c>
      <c r="T19" s="416">
        <v>7662.17</v>
      </c>
      <c r="U19" s="417">
        <v>0</v>
      </c>
      <c r="V19" s="415">
        <v>16274.85</v>
      </c>
      <c r="W19" s="416">
        <v>16274.85</v>
      </c>
      <c r="X19" s="417">
        <v>0</v>
      </c>
      <c r="Y19" s="415">
        <v>46932.4</v>
      </c>
      <c r="Z19" s="416">
        <v>46932.4</v>
      </c>
      <c r="AA19" s="417">
        <v>0</v>
      </c>
      <c r="AB19" s="415">
        <v>111861.2</v>
      </c>
      <c r="AC19" s="416">
        <v>111861.2</v>
      </c>
      <c r="AD19" s="417">
        <v>0</v>
      </c>
      <c r="AE19" s="415">
        <v>111861.2</v>
      </c>
      <c r="AF19" s="416">
        <v>111861.2</v>
      </c>
      <c r="AG19" s="417">
        <v>0</v>
      </c>
      <c r="AH19" s="415">
        <v>111861.2</v>
      </c>
      <c r="AI19" s="416">
        <v>111861.2</v>
      </c>
      <c r="AJ19" s="417">
        <v>0</v>
      </c>
      <c r="AK19" s="415">
        <v>111861.2</v>
      </c>
      <c r="AL19" s="416">
        <v>111861.2</v>
      </c>
      <c r="AM19" s="417">
        <v>0</v>
      </c>
      <c r="AN19" s="415">
        <v>111861.2</v>
      </c>
      <c r="AO19" s="416">
        <v>111861.2</v>
      </c>
      <c r="AP19" s="417">
        <v>0</v>
      </c>
      <c r="AQ19" s="415">
        <v>168335.9</v>
      </c>
      <c r="AR19" s="416">
        <v>168335.9</v>
      </c>
      <c r="AS19" s="417">
        <v>0</v>
      </c>
      <c r="AT19" s="415">
        <v>168335.9</v>
      </c>
      <c r="AU19" s="416">
        <v>168335.9</v>
      </c>
      <c r="AV19" s="417">
        <v>0</v>
      </c>
      <c r="AW19" s="208">
        <f t="shared" ref="AW19:AW22" si="1">+(AT19+J19+(M19+P19+S19+V19+Y19+AB19+AE19+AH19+AK19+AN19+AQ19)*2)/24</f>
        <v>77402.242500000008</v>
      </c>
      <c r="AX19" s="208">
        <f t="shared" si="0"/>
        <v>77402.242500000008</v>
      </c>
      <c r="AY19" s="208">
        <f t="shared" si="0"/>
        <v>0</v>
      </c>
    </row>
    <row r="20" spans="1:56">
      <c r="A20" s="20">
        <v>12</v>
      </c>
      <c r="B20" s="408" t="s">
        <v>1853</v>
      </c>
      <c r="C20" s="403" t="s">
        <v>1179</v>
      </c>
      <c r="D20" s="403"/>
      <c r="E20" s="403" t="s">
        <v>1844</v>
      </c>
      <c r="F20" s="403" t="s">
        <v>824</v>
      </c>
      <c r="G20" s="403" t="s">
        <v>1854</v>
      </c>
      <c r="H20" s="403" t="s">
        <v>405</v>
      </c>
      <c r="I20" s="404" t="s">
        <v>405</v>
      </c>
      <c r="J20" s="419">
        <v>0</v>
      </c>
      <c r="K20" s="420">
        <v>0.01</v>
      </c>
      <c r="L20" s="421">
        <v>-0.01</v>
      </c>
      <c r="M20" s="419">
        <v>0</v>
      </c>
      <c r="N20" s="420">
        <v>0.01</v>
      </c>
      <c r="O20" s="421">
        <v>-0.01</v>
      </c>
      <c r="P20" s="419">
        <v>0</v>
      </c>
      <c r="Q20" s="420">
        <v>0.01</v>
      </c>
      <c r="R20" s="421">
        <v>-0.01</v>
      </c>
      <c r="S20" s="419">
        <v>0</v>
      </c>
      <c r="T20" s="420">
        <v>0.01</v>
      </c>
      <c r="U20" s="421">
        <v>-0.01</v>
      </c>
      <c r="V20" s="419">
        <v>0</v>
      </c>
      <c r="W20" s="420">
        <v>0.01</v>
      </c>
      <c r="X20" s="421">
        <v>-0.01</v>
      </c>
      <c r="Y20" s="419">
        <v>0</v>
      </c>
      <c r="Z20" s="420">
        <v>0.01</v>
      </c>
      <c r="AA20" s="421">
        <v>-0.01</v>
      </c>
      <c r="AB20" s="419">
        <v>0</v>
      </c>
      <c r="AC20" s="420">
        <v>0.01</v>
      </c>
      <c r="AD20" s="421">
        <v>-0.01</v>
      </c>
      <c r="AE20" s="419">
        <v>0</v>
      </c>
      <c r="AF20" s="420">
        <v>0.01</v>
      </c>
      <c r="AG20" s="421">
        <v>-0.01</v>
      </c>
      <c r="AH20" s="419">
        <v>0</v>
      </c>
      <c r="AI20" s="420">
        <v>0.01</v>
      </c>
      <c r="AJ20" s="421">
        <v>-0.01</v>
      </c>
      <c r="AK20" s="419">
        <v>0</v>
      </c>
      <c r="AL20" s="420">
        <v>0.01</v>
      </c>
      <c r="AM20" s="421">
        <v>-0.01</v>
      </c>
      <c r="AN20" s="419">
        <v>0</v>
      </c>
      <c r="AO20" s="420">
        <v>0.01</v>
      </c>
      <c r="AP20" s="421">
        <v>-0.01</v>
      </c>
      <c r="AQ20" s="419">
        <v>0</v>
      </c>
      <c r="AR20" s="420">
        <v>0.01</v>
      </c>
      <c r="AS20" s="421">
        <v>-0.01</v>
      </c>
      <c r="AT20" s="419">
        <v>0</v>
      </c>
      <c r="AU20" s="420">
        <v>0.01</v>
      </c>
      <c r="AV20" s="421">
        <v>-0.01</v>
      </c>
      <c r="AW20" s="208">
        <f t="shared" si="1"/>
        <v>0</v>
      </c>
      <c r="AX20" s="208">
        <f t="shared" si="0"/>
        <v>9.9999999999999985E-3</v>
      </c>
      <c r="AY20" s="208">
        <f t="shared" si="0"/>
        <v>-9.9999999999999985E-3</v>
      </c>
    </row>
    <row r="21" spans="1:56">
      <c r="A21" s="286">
        <v>13</v>
      </c>
      <c r="B21" s="408" t="s">
        <v>1855</v>
      </c>
      <c r="C21" s="403" t="s">
        <v>1179</v>
      </c>
      <c r="D21" s="403"/>
      <c r="E21" s="403" t="s">
        <v>1844</v>
      </c>
      <c r="F21" s="403" t="s">
        <v>824</v>
      </c>
      <c r="G21" s="403" t="s">
        <v>1856</v>
      </c>
      <c r="H21" s="403" t="s">
        <v>405</v>
      </c>
      <c r="I21" s="404" t="s">
        <v>405</v>
      </c>
      <c r="J21" s="419">
        <v>-1873090.42</v>
      </c>
      <c r="K21" s="420">
        <v>-1418589.59</v>
      </c>
      <c r="L21" s="421">
        <v>-454500.83</v>
      </c>
      <c r="M21" s="419">
        <v>-1871940.47</v>
      </c>
      <c r="N21" s="420">
        <v>-1408934.05</v>
      </c>
      <c r="O21" s="421">
        <v>-463006.42</v>
      </c>
      <c r="P21" s="419">
        <v>-1871424.42</v>
      </c>
      <c r="Q21" s="420">
        <v>-1408545.62</v>
      </c>
      <c r="R21" s="421">
        <v>-462878.8</v>
      </c>
      <c r="S21" s="419">
        <v>-1801886.81</v>
      </c>
      <c r="T21" s="420">
        <v>-1356204.66</v>
      </c>
      <c r="U21" s="421">
        <v>-445682.15</v>
      </c>
      <c r="V21" s="419">
        <v>-1811877.29</v>
      </c>
      <c r="W21" s="420">
        <v>-1363724.49</v>
      </c>
      <c r="X21" s="421">
        <v>-448152.8</v>
      </c>
      <c r="Y21" s="419">
        <v>-1835727.71</v>
      </c>
      <c r="Z21" s="420">
        <v>-1381676.7</v>
      </c>
      <c r="AA21" s="421">
        <v>-454051.01</v>
      </c>
      <c r="AB21" s="419">
        <v>-1810275.43</v>
      </c>
      <c r="AC21" s="420">
        <v>-1362518.77</v>
      </c>
      <c r="AD21" s="421">
        <v>-447756.66</v>
      </c>
      <c r="AE21" s="419">
        <v>-1806885.94</v>
      </c>
      <c r="AF21" s="420">
        <v>-1359967.5</v>
      </c>
      <c r="AG21" s="421">
        <v>-446918.44</v>
      </c>
      <c r="AH21" s="419">
        <v>-1807118.06</v>
      </c>
      <c r="AI21" s="420">
        <v>-1360142.22</v>
      </c>
      <c r="AJ21" s="421">
        <v>-446975.84</v>
      </c>
      <c r="AK21" s="419">
        <v>-1718242.87</v>
      </c>
      <c r="AL21" s="420">
        <v>-1293245.8600000001</v>
      </c>
      <c r="AM21" s="421">
        <v>-424997.01</v>
      </c>
      <c r="AN21" s="419">
        <v>-1714074.84</v>
      </c>
      <c r="AO21" s="420">
        <v>-1290108.58</v>
      </c>
      <c r="AP21" s="421">
        <v>-423966.26</v>
      </c>
      <c r="AQ21" s="419">
        <v>-1706168.66</v>
      </c>
      <c r="AR21" s="420">
        <v>-1284157.6000000001</v>
      </c>
      <c r="AS21" s="421">
        <v>-422011.06</v>
      </c>
      <c r="AT21" s="419">
        <v>-1671584.25</v>
      </c>
      <c r="AU21" s="420">
        <v>-1258125.9099999999</v>
      </c>
      <c r="AV21" s="421">
        <v>-413458.34</v>
      </c>
      <c r="AW21" s="208">
        <f t="shared" si="1"/>
        <v>-1793996.6529166668</v>
      </c>
      <c r="AX21" s="208">
        <f t="shared" si="0"/>
        <v>-1350631.9833333334</v>
      </c>
      <c r="AY21" s="208">
        <f t="shared" si="0"/>
        <v>-443364.66958333325</v>
      </c>
    </row>
    <row r="22" spans="1:56" ht="16.5" thickBot="1">
      <c r="A22" s="286">
        <v>14</v>
      </c>
      <c r="B22" s="408" t="s">
        <v>1857</v>
      </c>
      <c r="C22" s="403" t="s">
        <v>1179</v>
      </c>
      <c r="D22" s="403"/>
      <c r="E22" s="403" t="s">
        <v>1844</v>
      </c>
      <c r="F22" s="403" t="s">
        <v>824</v>
      </c>
      <c r="G22" s="403" t="s">
        <v>1858</v>
      </c>
      <c r="H22" s="403" t="s">
        <v>405</v>
      </c>
      <c r="I22" s="404" t="s">
        <v>405</v>
      </c>
      <c r="J22" s="419">
        <v>0</v>
      </c>
      <c r="K22" s="420">
        <v>0</v>
      </c>
      <c r="L22" s="421">
        <v>0</v>
      </c>
      <c r="M22" s="419">
        <v>0</v>
      </c>
      <c r="N22" s="420">
        <v>0</v>
      </c>
      <c r="O22" s="421">
        <v>0</v>
      </c>
      <c r="P22" s="419">
        <v>0</v>
      </c>
      <c r="Q22" s="420">
        <v>0</v>
      </c>
      <c r="R22" s="421">
        <v>0</v>
      </c>
      <c r="S22" s="419">
        <v>0</v>
      </c>
      <c r="T22" s="420">
        <v>0</v>
      </c>
      <c r="U22" s="421">
        <v>0</v>
      </c>
      <c r="V22" s="419">
        <v>0</v>
      </c>
      <c r="W22" s="420">
        <v>0</v>
      </c>
      <c r="X22" s="421">
        <v>0</v>
      </c>
      <c r="Y22" s="419">
        <v>0</v>
      </c>
      <c r="Z22" s="420">
        <v>0</v>
      </c>
      <c r="AA22" s="421">
        <v>0</v>
      </c>
      <c r="AB22" s="419">
        <v>0</v>
      </c>
      <c r="AC22" s="420">
        <v>0</v>
      </c>
      <c r="AD22" s="421">
        <v>0</v>
      </c>
      <c r="AE22" s="419">
        <v>0</v>
      </c>
      <c r="AF22" s="420">
        <v>0</v>
      </c>
      <c r="AG22" s="421">
        <v>0</v>
      </c>
      <c r="AH22" s="419">
        <v>0</v>
      </c>
      <c r="AI22" s="420">
        <v>0</v>
      </c>
      <c r="AJ22" s="421">
        <v>0</v>
      </c>
      <c r="AK22" s="419">
        <v>0</v>
      </c>
      <c r="AL22" s="420">
        <v>0</v>
      </c>
      <c r="AM22" s="421">
        <v>0</v>
      </c>
      <c r="AN22" s="419">
        <v>0</v>
      </c>
      <c r="AO22" s="420">
        <v>0</v>
      </c>
      <c r="AP22" s="421">
        <v>0</v>
      </c>
      <c r="AQ22" s="419">
        <v>0</v>
      </c>
      <c r="AR22" s="420">
        <v>0</v>
      </c>
      <c r="AS22" s="421">
        <v>0</v>
      </c>
      <c r="AT22" s="419">
        <v>0</v>
      </c>
      <c r="AU22" s="420">
        <v>0</v>
      </c>
      <c r="AV22" s="421">
        <v>0</v>
      </c>
      <c r="AW22" s="422">
        <f t="shared" si="1"/>
        <v>0</v>
      </c>
      <c r="AX22" s="422">
        <f t="shared" si="0"/>
        <v>0</v>
      </c>
      <c r="AY22" s="422">
        <f t="shared" si="0"/>
        <v>0</v>
      </c>
    </row>
    <row r="23" spans="1:56" ht="16.5" thickBot="1">
      <c r="A23" s="286">
        <v>15</v>
      </c>
      <c r="B23" s="408"/>
      <c r="C23" s="403"/>
      <c r="D23" s="403"/>
      <c r="E23" s="403"/>
      <c r="F23" s="403"/>
      <c r="G23" s="403"/>
      <c r="H23" s="403"/>
      <c r="I23" s="404"/>
      <c r="J23" s="423">
        <f>SUM(J18:J22)</f>
        <v>-4075228.98</v>
      </c>
      <c r="K23" s="424">
        <f>SUM(K17:K22)</f>
        <v>-3579666.6700000009</v>
      </c>
      <c r="L23" s="425">
        <f>SUM(L18:L22)</f>
        <v>-495562.31</v>
      </c>
      <c r="M23" s="423">
        <f>SUM(M17:M22)</f>
        <v>-4098682.7699999996</v>
      </c>
      <c r="N23" s="424">
        <f>SUM(N17:N22)</f>
        <v>-3586766.16</v>
      </c>
      <c r="O23" s="425">
        <f>SUM(O18:O22)</f>
        <v>-511916.61</v>
      </c>
      <c r="P23" s="423">
        <f>SUM(P17:P22)</f>
        <v>-4095410.71</v>
      </c>
      <c r="Q23" s="424">
        <f>SUM(Q17:Q22)</f>
        <v>-3583621.7200000007</v>
      </c>
      <c r="R23" s="425">
        <f>SUM(R18:R22)</f>
        <v>-511788.99</v>
      </c>
      <c r="S23" s="423">
        <f>SUM(S17:S22)</f>
        <v>-4039199.5900000003</v>
      </c>
      <c r="T23" s="424">
        <f>SUM(T17:T22)</f>
        <v>-3544607.25</v>
      </c>
      <c r="U23" s="425">
        <f>SUM(U18:U22)</f>
        <v>-494592.34</v>
      </c>
      <c r="V23" s="423">
        <f>SUM(V17:V22)</f>
        <v>-4033929.41</v>
      </c>
      <c r="W23" s="424">
        <f>SUM(W17:W22)</f>
        <v>-3536026.4699999997</v>
      </c>
      <c r="X23" s="425">
        <f>SUM(X18:X22)</f>
        <v>-497902.94</v>
      </c>
      <c r="Y23" s="423">
        <f>SUM(Y17:Y22)</f>
        <v>-4025529.2800000003</v>
      </c>
      <c r="Z23" s="424">
        <f>SUM(Z17:Z22)</f>
        <v>-3523321.13</v>
      </c>
      <c r="AA23" s="425">
        <f>SUM(AA18:AA22)</f>
        <v>-502208.15</v>
      </c>
      <c r="AB23" s="423">
        <f>SUM(AB17:AB22)</f>
        <v>-3934624.3</v>
      </c>
      <c r="AC23" s="424">
        <f>SUM(AC17:AC22)</f>
        <v>-3437271.2600000002</v>
      </c>
      <c r="AD23" s="425">
        <f>SUM(AD18:AD22)</f>
        <v>-497353.04</v>
      </c>
      <c r="AE23" s="423">
        <f>SUM(AE17:AE22)</f>
        <v>-4597333.84</v>
      </c>
      <c r="AF23" s="424">
        <f>SUM(AF17:AF22)</f>
        <v>-4100532.49</v>
      </c>
      <c r="AG23" s="425">
        <f>SUM(AG18:AG22)</f>
        <v>-496801.35</v>
      </c>
      <c r="AH23" s="423">
        <f>SUM(AH17:AH22)</f>
        <v>-4657385.4399999995</v>
      </c>
      <c r="AI23" s="424">
        <f>SUM(AI17:AI22)</f>
        <v>-4112782.59</v>
      </c>
      <c r="AJ23" s="425">
        <f>SUM(AJ18:AJ22)</f>
        <v>-544602.85</v>
      </c>
      <c r="AK23" s="423">
        <f>SUM(AK17:AK22)</f>
        <v>-4568510.25</v>
      </c>
      <c r="AL23" s="424">
        <f>SUM(AL17:AL22)</f>
        <v>-4045886.2300000004</v>
      </c>
      <c r="AM23" s="425">
        <f>SUM(AM18:AM22)</f>
        <v>-522624.02</v>
      </c>
      <c r="AN23" s="423">
        <f>SUM(AN17:AN22)</f>
        <v>-4564342.22</v>
      </c>
      <c r="AO23" s="424">
        <f>SUM(AO17:AO22)</f>
        <v>-4042748.95</v>
      </c>
      <c r="AP23" s="425">
        <f>SUM(AP18:AP22)</f>
        <v>-521593.27</v>
      </c>
      <c r="AQ23" s="423">
        <f>SUM(AQ17:AQ22)</f>
        <v>-4498773.34</v>
      </c>
      <c r="AR23" s="424">
        <f>SUM(AR17:AR22)</f>
        <v>-3979135.2700000005</v>
      </c>
      <c r="AS23" s="425">
        <f>SUM(AS18:AS22)</f>
        <v>-519638.07</v>
      </c>
      <c r="AT23" s="423">
        <f>SUM(AT17:AT22)</f>
        <v>-4482129.79</v>
      </c>
      <c r="AU23" s="424">
        <f>SUM(AU17:AU22)</f>
        <v>-3953103.58</v>
      </c>
      <c r="AV23" s="425">
        <f>SUM(AV18:AV22)</f>
        <v>-529026.21</v>
      </c>
      <c r="AW23" s="426">
        <f>SUM(AW18:AW22)</f>
        <v>-4282700.0445833327</v>
      </c>
      <c r="AX23" s="427">
        <f t="shared" ref="AX23:AY23" si="2">SUM(AX18:AX22)</f>
        <v>-3771590.387083333</v>
      </c>
      <c r="AY23" s="428">
        <f t="shared" si="2"/>
        <v>-511109.65749999991</v>
      </c>
    </row>
    <row r="24" spans="1:56" ht="16.5" thickTop="1">
      <c r="A24" s="286">
        <v>16</v>
      </c>
      <c r="B24" s="408"/>
      <c r="C24" s="403"/>
      <c r="D24" s="403"/>
      <c r="E24" s="403"/>
      <c r="F24" s="403"/>
      <c r="G24" s="403"/>
      <c r="H24" s="403"/>
      <c r="I24" s="404"/>
      <c r="J24" s="415"/>
      <c r="K24" s="416"/>
      <c r="L24" s="417">
        <v>8.7311491370201111E-10</v>
      </c>
      <c r="M24" s="415"/>
      <c r="N24" s="416"/>
      <c r="O24" s="417">
        <v>5.8207660913467407E-10</v>
      </c>
      <c r="P24" s="415"/>
      <c r="Q24" s="416"/>
      <c r="R24" s="417">
        <v>6.9849193096160889E-10</v>
      </c>
      <c r="S24" s="415"/>
      <c r="T24" s="416"/>
      <c r="U24" s="417">
        <v>0</v>
      </c>
      <c r="V24" s="415"/>
      <c r="W24" s="416"/>
      <c r="X24" s="417">
        <v>0</v>
      </c>
      <c r="Y24" s="415"/>
      <c r="Z24" s="416"/>
      <c r="AA24" s="417">
        <v>0</v>
      </c>
      <c r="AB24" s="415"/>
      <c r="AC24" s="416"/>
      <c r="AD24" s="417">
        <v>0</v>
      </c>
      <c r="AE24" s="415"/>
      <c r="AF24" s="416"/>
      <c r="AG24" s="417">
        <v>0</v>
      </c>
      <c r="AH24" s="415"/>
      <c r="AI24" s="416"/>
      <c r="AJ24" s="417">
        <v>0</v>
      </c>
      <c r="AK24" s="415"/>
      <c r="AL24" s="416"/>
      <c r="AM24" s="417">
        <v>4.6566128730773926E-10</v>
      </c>
      <c r="AN24" s="415"/>
      <c r="AO24" s="416"/>
      <c r="AP24" s="417">
        <v>4.6566128730773926E-10</v>
      </c>
      <c r="AQ24" s="415"/>
      <c r="AR24" s="416"/>
      <c r="AS24" s="417">
        <v>6.4028427004814148E-10</v>
      </c>
      <c r="AT24" s="415"/>
      <c r="AU24" s="416"/>
      <c r="AV24" s="417">
        <v>0</v>
      </c>
      <c r="AW24" s="429">
        <f>+'Working Capital Work Paper'!S301</f>
        <v>-4282700.0445833337</v>
      </c>
      <c r="AX24" s="1346" t="s">
        <v>1877</v>
      </c>
      <c r="AY24" s="1346"/>
      <c r="AZ24" s="1346"/>
      <c r="BA24" s="1346"/>
      <c r="BB24" s="1346"/>
      <c r="BC24" s="1346"/>
      <c r="BD24" s="1346"/>
    </row>
    <row r="25" spans="1:56">
      <c r="A25" s="286">
        <v>17</v>
      </c>
      <c r="B25" s="1341" t="s">
        <v>1859</v>
      </c>
      <c r="C25" s="1342"/>
      <c r="D25" s="1342"/>
      <c r="E25" s="1342"/>
      <c r="F25" s="1342"/>
      <c r="G25" s="1342"/>
      <c r="H25" s="1342"/>
      <c r="I25" s="1343"/>
      <c r="J25" s="430"/>
      <c r="K25" s="431"/>
      <c r="L25" s="432"/>
      <c r="M25" s="430"/>
      <c r="N25" s="431"/>
      <c r="O25" s="432"/>
      <c r="P25" s="430"/>
      <c r="Q25" s="431"/>
      <c r="R25" s="432"/>
      <c r="S25" s="430"/>
      <c r="T25" s="431"/>
      <c r="U25" s="432"/>
      <c r="V25" s="430"/>
      <c r="W25" s="431"/>
      <c r="X25" s="432"/>
      <c r="Y25" s="430"/>
      <c r="Z25" s="431"/>
      <c r="AA25" s="432"/>
      <c r="AB25" s="430"/>
      <c r="AC25" s="431"/>
      <c r="AD25" s="432"/>
      <c r="AE25" s="430"/>
      <c r="AF25" s="431"/>
      <c r="AG25" s="432"/>
      <c r="AH25" s="430"/>
      <c r="AI25" s="431"/>
      <c r="AJ25" s="432"/>
      <c r="AK25" s="430"/>
      <c r="AL25" s="431"/>
      <c r="AM25" s="432"/>
      <c r="AN25" s="430"/>
      <c r="AO25" s="431"/>
      <c r="AP25" s="432"/>
      <c r="AQ25" s="430"/>
      <c r="AR25" s="431"/>
      <c r="AS25" s="432"/>
      <c r="AT25" s="430"/>
      <c r="AU25" s="431"/>
      <c r="AV25" s="432"/>
      <c r="AX25" s="1346"/>
      <c r="AY25" s="1346"/>
      <c r="AZ25" s="1346"/>
      <c r="BA25" s="1346"/>
      <c r="BB25" s="1346"/>
      <c r="BC25" s="1346"/>
      <c r="BD25" s="1346"/>
    </row>
    <row r="26" spans="1:56">
      <c r="A26" s="286">
        <v>18</v>
      </c>
      <c r="B26" s="433" t="s">
        <v>1860</v>
      </c>
      <c r="C26" s="403" t="s">
        <v>1179</v>
      </c>
      <c r="D26" s="403"/>
      <c r="E26" s="403" t="s">
        <v>1844</v>
      </c>
      <c r="F26" s="434" t="s">
        <v>846</v>
      </c>
      <c r="G26" s="434" t="s">
        <v>1861</v>
      </c>
      <c r="H26" s="434" t="s">
        <v>405</v>
      </c>
      <c r="I26" s="435" t="s">
        <v>405</v>
      </c>
      <c r="J26" s="436">
        <v>-95924439.430000007</v>
      </c>
      <c r="K26" s="437">
        <v>-73343826.390000001</v>
      </c>
      <c r="L26" s="438">
        <v>-22580613.039999999</v>
      </c>
      <c r="M26" s="436">
        <v>-95880284.769999996</v>
      </c>
      <c r="N26" s="437">
        <v>-73396357.989999995</v>
      </c>
      <c r="O26" s="438">
        <v>-22483926.780000001</v>
      </c>
      <c r="P26" s="436">
        <v>-95836130.090000004</v>
      </c>
      <c r="Q26" s="437">
        <v>-73362557.579999998</v>
      </c>
      <c r="R26" s="438">
        <v>-22473572.510000002</v>
      </c>
      <c r="S26" s="436">
        <v>-95477141.109999999</v>
      </c>
      <c r="T26" s="437">
        <v>-73087751.519999996</v>
      </c>
      <c r="U26" s="438">
        <v>-22389389.59</v>
      </c>
      <c r="V26" s="436">
        <v>-95326147.390000001</v>
      </c>
      <c r="W26" s="437">
        <v>-72972165.829999998</v>
      </c>
      <c r="X26" s="438">
        <v>-22353981.559999999</v>
      </c>
      <c r="Y26" s="436">
        <v>-95175153.719999999</v>
      </c>
      <c r="Z26" s="437">
        <v>-72856580.180000007</v>
      </c>
      <c r="AA26" s="438">
        <v>-22318573.539999999</v>
      </c>
      <c r="AB26" s="436">
        <v>-95342095.019999996</v>
      </c>
      <c r="AC26" s="437">
        <v>-72984373.75</v>
      </c>
      <c r="AD26" s="438">
        <v>-22357721.27</v>
      </c>
      <c r="AE26" s="436">
        <v>-95244090.469999999</v>
      </c>
      <c r="AF26" s="437">
        <v>-72909351.269999996</v>
      </c>
      <c r="AG26" s="438">
        <v>-22334739.199999999</v>
      </c>
      <c r="AH26" s="436">
        <v>-95146085.950000003</v>
      </c>
      <c r="AI26" s="437">
        <v>-72834328.810000002</v>
      </c>
      <c r="AJ26" s="438">
        <v>-22311757.140000001</v>
      </c>
      <c r="AK26" s="436">
        <v>-96377115.560000002</v>
      </c>
      <c r="AL26" s="437">
        <v>-73776681.980000004</v>
      </c>
      <c r="AM26" s="438">
        <v>-22600433.579999998</v>
      </c>
      <c r="AN26" s="436">
        <v>-96426781.480000004</v>
      </c>
      <c r="AO26" s="437">
        <v>-73814701.239999995</v>
      </c>
      <c r="AP26" s="438">
        <v>-22612080.239999998</v>
      </c>
      <c r="AQ26" s="436">
        <v>-98123078.379999995</v>
      </c>
      <c r="AR26" s="437">
        <v>-75113216.519999996</v>
      </c>
      <c r="AS26" s="438">
        <v>-23009861.859999999</v>
      </c>
      <c r="AT26" s="436">
        <v>-98089298.930000007</v>
      </c>
      <c r="AU26" s="437">
        <v>-75087358.349999994</v>
      </c>
      <c r="AV26" s="438">
        <v>-23001940.579999998</v>
      </c>
      <c r="AW26" s="208">
        <f t="shared" ref="AW26:AW29" si="3">+(AT26+J26+(M26+P26+S26+V26+Y26+AB26+AE26+AH26+AK26+AN26+AQ26)*2)/24</f>
        <v>-95946747.760000005</v>
      </c>
      <c r="AX26" s="208">
        <f t="shared" ref="AX26:AX29" si="4">+(AU26+K26+(N26+Q26+T26+W26+Z26+AC26+AF26+AI26+AL26+AO26+AR26)*2)/24</f>
        <v>-73443638.25333333</v>
      </c>
      <c r="AY26" s="208">
        <f t="shared" ref="AY26:AY29" si="5">+(AV26+L26+(O26+R26+U26+X26+AA26+AD26+AG26+AJ26+AM26+AP26+AS26)*2)/24</f>
        <v>-22503109.506666671</v>
      </c>
    </row>
    <row r="27" spans="1:56">
      <c r="A27" s="286">
        <v>19</v>
      </c>
      <c r="B27" s="433" t="s">
        <v>1862</v>
      </c>
      <c r="C27" s="403" t="s">
        <v>1179</v>
      </c>
      <c r="D27" s="403"/>
      <c r="E27" s="403" t="s">
        <v>1844</v>
      </c>
      <c r="F27" s="434" t="s">
        <v>848</v>
      </c>
      <c r="G27" s="434" t="s">
        <v>1863</v>
      </c>
      <c r="H27" s="434" t="s">
        <v>405</v>
      </c>
      <c r="I27" s="435" t="s">
        <v>405</v>
      </c>
      <c r="J27" s="436">
        <v>-298910.77</v>
      </c>
      <c r="K27" s="437">
        <v>-228547.15</v>
      </c>
      <c r="L27" s="438">
        <v>-70363.62</v>
      </c>
      <c r="M27" s="436">
        <v>-297733.95</v>
      </c>
      <c r="N27" s="437">
        <v>-227915.33</v>
      </c>
      <c r="O27" s="438">
        <v>-69818.62</v>
      </c>
      <c r="P27" s="436">
        <v>-296557.15000000002</v>
      </c>
      <c r="Q27" s="437">
        <v>-227014.49</v>
      </c>
      <c r="R27" s="438">
        <v>-69542.66</v>
      </c>
      <c r="S27" s="436">
        <v>-295380.34999999998</v>
      </c>
      <c r="T27" s="437">
        <v>-226113.65</v>
      </c>
      <c r="U27" s="438">
        <v>-69266.7</v>
      </c>
      <c r="V27" s="436">
        <v>-294203.53000000003</v>
      </c>
      <c r="W27" s="437">
        <v>-225212.79</v>
      </c>
      <c r="X27" s="438">
        <v>-68990.740000000005</v>
      </c>
      <c r="Y27" s="436">
        <v>-293026.71999999997</v>
      </c>
      <c r="Z27" s="437">
        <v>-224311.94</v>
      </c>
      <c r="AA27" s="438">
        <v>-68714.78</v>
      </c>
      <c r="AB27" s="436">
        <v>-291849.90999999997</v>
      </c>
      <c r="AC27" s="437">
        <v>-223411.09</v>
      </c>
      <c r="AD27" s="438">
        <v>-68438.820000000007</v>
      </c>
      <c r="AE27" s="436">
        <v>-290673.11</v>
      </c>
      <c r="AF27" s="437">
        <v>-222510.25</v>
      </c>
      <c r="AG27" s="438">
        <v>-68162.86</v>
      </c>
      <c r="AH27" s="436">
        <v>-289496.3</v>
      </c>
      <c r="AI27" s="437">
        <v>-221609.4</v>
      </c>
      <c r="AJ27" s="438">
        <v>-67886.899999999994</v>
      </c>
      <c r="AK27" s="436">
        <v>-288319.49</v>
      </c>
      <c r="AL27" s="437">
        <v>-220708.55</v>
      </c>
      <c r="AM27" s="438">
        <v>-67610.9399999999</v>
      </c>
      <c r="AN27" s="436">
        <v>-287142.69</v>
      </c>
      <c r="AO27" s="437">
        <v>-219807.71</v>
      </c>
      <c r="AP27" s="438">
        <v>-67334.979999999894</v>
      </c>
      <c r="AQ27" s="436">
        <v>-285965.88</v>
      </c>
      <c r="AR27" s="437">
        <v>-218906.86</v>
      </c>
      <c r="AS27" s="438">
        <v>-67059.019999999902</v>
      </c>
      <c r="AT27" s="436">
        <v>-284789.06</v>
      </c>
      <c r="AU27" s="437">
        <v>-218006</v>
      </c>
      <c r="AV27" s="438">
        <v>-66783.059999999896</v>
      </c>
      <c r="AW27" s="208">
        <f t="shared" si="3"/>
        <v>-291849.91624999995</v>
      </c>
      <c r="AX27" s="208">
        <f t="shared" si="4"/>
        <v>-223399.88625000001</v>
      </c>
      <c r="AY27" s="208">
        <f t="shared" si="5"/>
        <v>-68450.02999999997</v>
      </c>
    </row>
    <row r="28" spans="1:56">
      <c r="A28" s="286">
        <v>20</v>
      </c>
      <c r="B28" s="433" t="s">
        <v>1864</v>
      </c>
      <c r="C28" s="403" t="s">
        <v>1179</v>
      </c>
      <c r="D28" s="403"/>
      <c r="E28" s="403" t="s">
        <v>405</v>
      </c>
      <c r="F28" s="434" t="s">
        <v>846</v>
      </c>
      <c r="G28" s="434" t="s">
        <v>1865</v>
      </c>
      <c r="H28" s="434" t="s">
        <v>405</v>
      </c>
      <c r="I28" s="435" t="s">
        <v>405</v>
      </c>
      <c r="J28" s="439">
        <v>-3872422.04</v>
      </c>
      <c r="K28" s="439">
        <v>0</v>
      </c>
      <c r="L28" s="440">
        <v>-3872422.04</v>
      </c>
      <c r="M28" s="439">
        <v>-3872775.8</v>
      </c>
      <c r="N28" s="439">
        <v>0</v>
      </c>
      <c r="O28" s="440">
        <v>-3872775.8</v>
      </c>
      <c r="P28" s="439">
        <v>-3873129.56</v>
      </c>
      <c r="Q28" s="439">
        <v>0</v>
      </c>
      <c r="R28" s="440">
        <v>-3873129.56</v>
      </c>
      <c r="S28" s="439">
        <v>-3843445.26</v>
      </c>
      <c r="T28" s="439">
        <v>0</v>
      </c>
      <c r="U28" s="440">
        <v>-3843445.26</v>
      </c>
      <c r="V28" s="439">
        <v>-3839198.49</v>
      </c>
      <c r="W28" s="439">
        <v>0</v>
      </c>
      <c r="X28" s="440">
        <v>-3839198.49</v>
      </c>
      <c r="Y28" s="439">
        <v>-3834951.74</v>
      </c>
      <c r="Z28" s="439">
        <v>0</v>
      </c>
      <c r="AA28" s="440">
        <v>-3834951.74</v>
      </c>
      <c r="AB28" s="439">
        <v>-3847427.87</v>
      </c>
      <c r="AC28" s="439">
        <v>0</v>
      </c>
      <c r="AD28" s="440">
        <v>-3847427.87</v>
      </c>
      <c r="AE28" s="439">
        <v>-3845968.28</v>
      </c>
      <c r="AF28" s="439">
        <v>0</v>
      </c>
      <c r="AG28" s="440">
        <v>-3845968.28</v>
      </c>
      <c r="AH28" s="439">
        <v>-3844508.66</v>
      </c>
      <c r="AI28" s="439">
        <v>0</v>
      </c>
      <c r="AJ28" s="440">
        <v>-3844508.66</v>
      </c>
      <c r="AK28" s="439">
        <v>-3893025.52</v>
      </c>
      <c r="AL28" s="439">
        <v>0</v>
      </c>
      <c r="AM28" s="440">
        <v>-3893025.52</v>
      </c>
      <c r="AN28" s="439">
        <v>-3897118.86</v>
      </c>
      <c r="AO28" s="439">
        <v>0</v>
      </c>
      <c r="AP28" s="440">
        <v>-3897118.86</v>
      </c>
      <c r="AQ28" s="439">
        <v>-4047193.88</v>
      </c>
      <c r="AR28" s="439">
        <v>0</v>
      </c>
      <c r="AS28" s="440">
        <v>-4047193.88</v>
      </c>
      <c r="AT28" s="439">
        <v>-4085566.09</v>
      </c>
      <c r="AU28" s="439">
        <v>0</v>
      </c>
      <c r="AV28" s="440">
        <v>-4085566.09</v>
      </c>
      <c r="AW28" s="208">
        <f t="shared" si="3"/>
        <v>-3884811.4987500007</v>
      </c>
      <c r="AX28" s="208">
        <f t="shared" si="4"/>
        <v>0</v>
      </c>
      <c r="AY28" s="208">
        <f t="shared" si="5"/>
        <v>-3884811.4987500007</v>
      </c>
    </row>
    <row r="29" spans="1:56" ht="16.5" thickBot="1">
      <c r="A29" s="286">
        <v>21</v>
      </c>
      <c r="B29" s="433" t="s">
        <v>1866</v>
      </c>
      <c r="C29" s="403" t="s">
        <v>1179</v>
      </c>
      <c r="D29" s="403"/>
      <c r="E29" s="403" t="s">
        <v>405</v>
      </c>
      <c r="F29" s="434" t="s">
        <v>848</v>
      </c>
      <c r="G29" s="434" t="s">
        <v>1867</v>
      </c>
      <c r="H29" s="434" t="s">
        <v>405</v>
      </c>
      <c r="I29" s="435" t="s">
        <v>405</v>
      </c>
      <c r="J29" s="439">
        <v>-13181.63</v>
      </c>
      <c r="K29" s="439">
        <v>0</v>
      </c>
      <c r="L29" s="441">
        <v>-13181.63</v>
      </c>
      <c r="M29" s="439">
        <v>-13129.73</v>
      </c>
      <c r="N29" s="439">
        <v>0</v>
      </c>
      <c r="O29" s="441">
        <v>-13129.73</v>
      </c>
      <c r="P29" s="439">
        <v>-13077.84</v>
      </c>
      <c r="Q29" s="439">
        <v>0</v>
      </c>
      <c r="R29" s="441">
        <v>-13077.84</v>
      </c>
      <c r="S29" s="439">
        <v>-15536.55</v>
      </c>
      <c r="T29" s="439">
        <v>0</v>
      </c>
      <c r="U29" s="441">
        <v>-15536.55</v>
      </c>
      <c r="V29" s="439">
        <v>-15474.65</v>
      </c>
      <c r="W29" s="439">
        <v>0</v>
      </c>
      <c r="X29" s="441">
        <v>-15474.65</v>
      </c>
      <c r="Y29" s="439">
        <v>-15412.75</v>
      </c>
      <c r="Z29" s="439">
        <v>0</v>
      </c>
      <c r="AA29" s="441">
        <v>-15412.75</v>
      </c>
      <c r="AB29" s="439">
        <v>-15350.85</v>
      </c>
      <c r="AC29" s="439">
        <v>0</v>
      </c>
      <c r="AD29" s="441">
        <v>-15350.85</v>
      </c>
      <c r="AE29" s="439">
        <v>-15288.96</v>
      </c>
      <c r="AF29" s="439">
        <v>0</v>
      </c>
      <c r="AG29" s="441">
        <v>-15288.96</v>
      </c>
      <c r="AH29" s="439">
        <v>-15227.06</v>
      </c>
      <c r="AI29" s="439">
        <v>0</v>
      </c>
      <c r="AJ29" s="441">
        <v>-15227.06</v>
      </c>
      <c r="AK29" s="439">
        <v>-15165.16</v>
      </c>
      <c r="AL29" s="439">
        <v>0</v>
      </c>
      <c r="AM29" s="441">
        <v>-15165.16</v>
      </c>
      <c r="AN29" s="439">
        <v>-15103.26</v>
      </c>
      <c r="AO29" s="439">
        <v>0</v>
      </c>
      <c r="AP29" s="441">
        <v>-15103.26</v>
      </c>
      <c r="AQ29" s="439">
        <v>-15041.37</v>
      </c>
      <c r="AR29" s="439">
        <v>0</v>
      </c>
      <c r="AS29" s="441">
        <v>-15041.37</v>
      </c>
      <c r="AT29" s="439">
        <v>-14979.47</v>
      </c>
      <c r="AU29" s="439">
        <v>0</v>
      </c>
      <c r="AV29" s="441">
        <v>-14979.47</v>
      </c>
      <c r="AW29" s="422">
        <f t="shared" si="3"/>
        <v>-14824.060833333331</v>
      </c>
      <c r="AX29" s="422">
        <f t="shared" si="4"/>
        <v>0</v>
      </c>
      <c r="AY29" s="422">
        <f t="shared" si="5"/>
        <v>-14824.060833333331</v>
      </c>
    </row>
    <row r="30" spans="1:56" ht="16.5" thickBot="1">
      <c r="A30" s="286">
        <v>22</v>
      </c>
      <c r="B30" s="408"/>
      <c r="C30" s="403"/>
      <c r="D30" s="403"/>
      <c r="E30" s="403"/>
      <c r="F30" s="403"/>
      <c r="G30" s="403"/>
      <c r="H30" s="403"/>
      <c r="I30" s="404"/>
      <c r="J30" s="423">
        <f t="shared" ref="J30:AV30" si="6">SUM(J26:J29)</f>
        <v>-100108953.87</v>
      </c>
      <c r="K30" s="424">
        <f t="shared" si="6"/>
        <v>-73572373.540000007</v>
      </c>
      <c r="L30" s="425">
        <f t="shared" si="6"/>
        <v>-26536580.329999998</v>
      </c>
      <c r="M30" s="423">
        <f t="shared" si="6"/>
        <v>-100063924.25</v>
      </c>
      <c r="N30" s="424">
        <f t="shared" si="6"/>
        <v>-73624273.319999993</v>
      </c>
      <c r="O30" s="425">
        <f t="shared" si="6"/>
        <v>-26439650.930000003</v>
      </c>
      <c r="P30" s="423">
        <f t="shared" si="6"/>
        <v>-100018894.64000002</v>
      </c>
      <c r="Q30" s="424">
        <f t="shared" si="6"/>
        <v>-73589572.069999993</v>
      </c>
      <c r="R30" s="425">
        <f t="shared" si="6"/>
        <v>-26429322.57</v>
      </c>
      <c r="S30" s="423">
        <f t="shared" si="6"/>
        <v>-99631503.269999996</v>
      </c>
      <c r="T30" s="424">
        <f t="shared" si="6"/>
        <v>-73313865.170000002</v>
      </c>
      <c r="U30" s="425">
        <f t="shared" si="6"/>
        <v>-26317638.099999998</v>
      </c>
      <c r="V30" s="423">
        <f t="shared" si="6"/>
        <v>-99475024.060000002</v>
      </c>
      <c r="W30" s="424">
        <f t="shared" si="6"/>
        <v>-73197378.620000005</v>
      </c>
      <c r="X30" s="425">
        <f t="shared" si="6"/>
        <v>-26277645.439999998</v>
      </c>
      <c r="Y30" s="423">
        <f t="shared" si="6"/>
        <v>-99318544.929999992</v>
      </c>
      <c r="Z30" s="424">
        <f t="shared" si="6"/>
        <v>-73080892.120000005</v>
      </c>
      <c r="AA30" s="425">
        <f t="shared" si="6"/>
        <v>-26237652.810000002</v>
      </c>
      <c r="AB30" s="423">
        <f t="shared" si="6"/>
        <v>-99496723.649999991</v>
      </c>
      <c r="AC30" s="424">
        <f t="shared" si="6"/>
        <v>-73207784.840000004</v>
      </c>
      <c r="AD30" s="425">
        <f t="shared" si="6"/>
        <v>-26288938.810000002</v>
      </c>
      <c r="AE30" s="423">
        <f t="shared" si="6"/>
        <v>-99396020.819999993</v>
      </c>
      <c r="AF30" s="424">
        <f t="shared" si="6"/>
        <v>-73131861.519999996</v>
      </c>
      <c r="AG30" s="425">
        <f t="shared" si="6"/>
        <v>-26264159.300000001</v>
      </c>
      <c r="AH30" s="423">
        <f t="shared" si="6"/>
        <v>-99295317.969999999</v>
      </c>
      <c r="AI30" s="424">
        <f t="shared" si="6"/>
        <v>-73055938.210000008</v>
      </c>
      <c r="AJ30" s="425">
        <f t="shared" si="6"/>
        <v>-26239379.759999998</v>
      </c>
      <c r="AK30" s="423">
        <f t="shared" si="6"/>
        <v>-100573625.72999999</v>
      </c>
      <c r="AL30" s="424">
        <f t="shared" si="6"/>
        <v>-73997390.530000001</v>
      </c>
      <c r="AM30" s="425">
        <f t="shared" si="6"/>
        <v>-26576235.199999999</v>
      </c>
      <c r="AN30" s="423">
        <f t="shared" si="6"/>
        <v>-100626146.29000001</v>
      </c>
      <c r="AO30" s="424">
        <f t="shared" si="6"/>
        <v>-74034508.949999988</v>
      </c>
      <c r="AP30" s="425">
        <f t="shared" si="6"/>
        <v>-26591637.34</v>
      </c>
      <c r="AQ30" s="423">
        <f t="shared" si="6"/>
        <v>-102471279.50999999</v>
      </c>
      <c r="AR30" s="424">
        <f t="shared" si="6"/>
        <v>-75332123.379999995</v>
      </c>
      <c r="AS30" s="425">
        <f t="shared" si="6"/>
        <v>-27139156.129999999</v>
      </c>
      <c r="AT30" s="423">
        <f t="shared" si="6"/>
        <v>-102474633.55000001</v>
      </c>
      <c r="AU30" s="424">
        <f t="shared" si="6"/>
        <v>-75305364.349999994</v>
      </c>
      <c r="AV30" s="425">
        <f t="shared" si="6"/>
        <v>-27169269.199999996</v>
      </c>
      <c r="AW30" s="426">
        <f>SUM(AW25:AW29)</f>
        <v>-100138233.23583335</v>
      </c>
      <c r="AX30" s="427">
        <f t="shared" ref="AX30" si="7">SUM(AX25:AX29)</f>
        <v>-73667038.139583334</v>
      </c>
      <c r="AY30" s="428">
        <f t="shared" ref="AY30" si="8">SUM(AY25:AY29)</f>
        <v>-26471195.096250009</v>
      </c>
    </row>
    <row r="31" spans="1:56" ht="17.25" thickTop="1" thickBot="1">
      <c r="A31" s="286">
        <v>23</v>
      </c>
      <c r="B31" s="442" t="s">
        <v>1891</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row>
    <row r="32" spans="1:56">
      <c r="A32" s="20">
        <v>24</v>
      </c>
      <c r="C32" s="74" t="s">
        <v>1179</v>
      </c>
      <c r="E32" s="74" t="s">
        <v>1882</v>
      </c>
      <c r="F32" s="74" t="s">
        <v>846</v>
      </c>
      <c r="G32" s="74" t="s">
        <v>1883</v>
      </c>
      <c r="H32" s="74"/>
      <c r="I32" s="74"/>
      <c r="J32" s="443">
        <v>38942.18</v>
      </c>
      <c r="K32" s="444"/>
      <c r="L32" s="445"/>
      <c r="M32" s="444">
        <v>38536.93</v>
      </c>
      <c r="N32" s="444"/>
      <c r="O32" s="445"/>
      <c r="P32" s="444">
        <v>38131.699999999997</v>
      </c>
      <c r="Q32" s="444"/>
      <c r="R32" s="445"/>
      <c r="S32" s="444">
        <v>30325.16</v>
      </c>
      <c r="T32" s="444"/>
      <c r="U32" s="445"/>
      <c r="V32" s="444">
        <v>29796.79</v>
      </c>
      <c r="W32" s="444"/>
      <c r="X32" s="445"/>
      <c r="Y32" s="444">
        <v>29268.42</v>
      </c>
      <c r="Z32" s="444"/>
      <c r="AA32" s="445"/>
      <c r="AB32" s="444">
        <v>28716.29</v>
      </c>
      <c r="AC32" s="444"/>
      <c r="AD32" s="445"/>
      <c r="AE32" s="444">
        <v>28183.94</v>
      </c>
      <c r="AF32" s="444"/>
      <c r="AG32" s="445"/>
      <c r="AH32" s="444">
        <v>27651.63</v>
      </c>
      <c r="AI32" s="444"/>
      <c r="AJ32" s="445"/>
      <c r="AK32" s="444">
        <v>28514.799999999999</v>
      </c>
      <c r="AL32" s="444"/>
      <c r="AM32" s="445"/>
      <c r="AN32" s="444">
        <v>28137.52</v>
      </c>
      <c r="AO32" s="444"/>
      <c r="AP32" s="445"/>
      <c r="AQ32" s="444">
        <v>29498.17</v>
      </c>
      <c r="AR32" s="444"/>
      <c r="AS32" s="445"/>
      <c r="AT32" s="444">
        <v>31017.37</v>
      </c>
      <c r="AU32" s="444"/>
      <c r="AV32" s="445"/>
      <c r="AW32" s="208">
        <f t="shared" ref="AW32:AW37" si="9">+(AT32+J32+(M32+P32+S32+V32+Y32+AB32+AE32+AH32+AK32+AN32+AQ32)*2)/24</f>
        <v>30978.427083333339</v>
      </c>
      <c r="AX32" s="74"/>
      <c r="AY32" s="74"/>
    </row>
    <row r="33" spans="1:51">
      <c r="A33" s="20">
        <v>25</v>
      </c>
      <c r="C33" s="74" t="s">
        <v>1179</v>
      </c>
      <c r="E33" s="74" t="s">
        <v>1882</v>
      </c>
      <c r="F33" s="74" t="s">
        <v>846</v>
      </c>
      <c r="G33" s="74" t="s">
        <v>1884</v>
      </c>
      <c r="H33" s="74"/>
      <c r="I33" s="74"/>
      <c r="J33" s="446">
        <v>-214358.06</v>
      </c>
      <c r="K33" s="447"/>
      <c r="L33" s="448"/>
      <c r="M33" s="447">
        <v>-213529.1</v>
      </c>
      <c r="N33" s="447"/>
      <c r="O33" s="448"/>
      <c r="P33" s="447">
        <v>-212700.13</v>
      </c>
      <c r="Q33" s="447"/>
      <c r="R33" s="448"/>
      <c r="S33" s="447">
        <v>-998639.19</v>
      </c>
      <c r="T33" s="447"/>
      <c r="U33" s="448"/>
      <c r="V33" s="447">
        <v>-996839.2</v>
      </c>
      <c r="W33" s="447"/>
      <c r="X33" s="448"/>
      <c r="Y33" s="447">
        <v>-995039.19</v>
      </c>
      <c r="Z33" s="447"/>
      <c r="AA33" s="448"/>
      <c r="AB33" s="447">
        <v>-993281.09</v>
      </c>
      <c r="AC33" s="447"/>
      <c r="AD33" s="448"/>
      <c r="AE33" s="447">
        <v>-991488.07</v>
      </c>
      <c r="AF33" s="447"/>
      <c r="AG33" s="448"/>
      <c r="AH33" s="447">
        <v>-989695.05</v>
      </c>
      <c r="AI33" s="447"/>
      <c r="AJ33" s="448"/>
      <c r="AK33" s="447">
        <v>-1003601.37</v>
      </c>
      <c r="AL33" s="447"/>
      <c r="AM33" s="448"/>
      <c r="AN33" s="447">
        <v>-1003552.74</v>
      </c>
      <c r="AO33" s="447"/>
      <c r="AP33" s="448"/>
      <c r="AQ33" s="447">
        <v>-944033.17</v>
      </c>
      <c r="AR33" s="447"/>
      <c r="AS33" s="448"/>
      <c r="AT33" s="447">
        <v>-903902.86</v>
      </c>
      <c r="AU33" s="447"/>
      <c r="AV33" s="448"/>
      <c r="AW33" s="208">
        <f t="shared" si="9"/>
        <v>-825127.39666666684</v>
      </c>
      <c r="AX33" s="74"/>
      <c r="AY33" s="74"/>
    </row>
    <row r="34" spans="1:51">
      <c r="A34" s="20">
        <v>26</v>
      </c>
      <c r="C34" s="74" t="s">
        <v>1179</v>
      </c>
      <c r="E34" s="74" t="s">
        <v>1882</v>
      </c>
      <c r="F34" s="74" t="s">
        <v>846</v>
      </c>
      <c r="G34" s="74" t="s">
        <v>1885</v>
      </c>
      <c r="H34" s="74"/>
      <c r="I34" s="74"/>
      <c r="J34" s="446">
        <v>581511.75</v>
      </c>
      <c r="K34" s="447"/>
      <c r="L34" s="448"/>
      <c r="M34" s="447">
        <v>581511.75</v>
      </c>
      <c r="N34" s="447"/>
      <c r="O34" s="448"/>
      <c r="P34" s="447">
        <v>581511.75</v>
      </c>
      <c r="Q34" s="447"/>
      <c r="R34" s="448"/>
      <c r="S34" s="447">
        <v>581511.75</v>
      </c>
      <c r="T34" s="447"/>
      <c r="U34" s="448"/>
      <c r="V34" s="447">
        <v>581511.75</v>
      </c>
      <c r="W34" s="447"/>
      <c r="X34" s="448"/>
      <c r="Y34" s="447">
        <v>581511.75</v>
      </c>
      <c r="Z34" s="447"/>
      <c r="AA34" s="448"/>
      <c r="AB34" s="447">
        <v>581511.75</v>
      </c>
      <c r="AC34" s="447"/>
      <c r="AD34" s="448"/>
      <c r="AE34" s="447">
        <v>581511.75</v>
      </c>
      <c r="AF34" s="447"/>
      <c r="AG34" s="448"/>
      <c r="AH34" s="447">
        <v>581511.75</v>
      </c>
      <c r="AI34" s="447"/>
      <c r="AJ34" s="448"/>
      <c r="AK34" s="447">
        <v>581511.75</v>
      </c>
      <c r="AL34" s="447"/>
      <c r="AM34" s="448"/>
      <c r="AN34" s="447">
        <v>581511.75</v>
      </c>
      <c r="AO34" s="447"/>
      <c r="AP34" s="448"/>
      <c r="AQ34" s="447">
        <v>581511.75</v>
      </c>
      <c r="AR34" s="447"/>
      <c r="AS34" s="448"/>
      <c r="AT34" s="447">
        <v>542744.30000000005</v>
      </c>
      <c r="AU34" s="447"/>
      <c r="AV34" s="448"/>
      <c r="AW34" s="208">
        <f t="shared" si="9"/>
        <v>579896.43958333333</v>
      </c>
      <c r="AX34" s="74"/>
      <c r="AY34" s="74"/>
    </row>
    <row r="35" spans="1:51">
      <c r="A35" s="286">
        <v>27</v>
      </c>
      <c r="C35" s="74" t="s">
        <v>1179</v>
      </c>
      <c r="E35" s="74" t="s">
        <v>1844</v>
      </c>
      <c r="F35" s="74" t="s">
        <v>846</v>
      </c>
      <c r="G35" s="74" t="s">
        <v>1886</v>
      </c>
      <c r="H35" s="74"/>
      <c r="I35" s="74"/>
      <c r="J35" s="446">
        <v>883065.23</v>
      </c>
      <c r="K35" s="447"/>
      <c r="L35" s="448"/>
      <c r="M35" s="447">
        <v>873875.83</v>
      </c>
      <c r="N35" s="447"/>
      <c r="O35" s="448"/>
      <c r="P35" s="447">
        <v>864686.41</v>
      </c>
      <c r="Q35" s="447"/>
      <c r="R35" s="448"/>
      <c r="S35" s="447">
        <v>576540.86</v>
      </c>
      <c r="T35" s="447"/>
      <c r="U35" s="448"/>
      <c r="V35" s="447">
        <v>566495.44999999995</v>
      </c>
      <c r="W35" s="447"/>
      <c r="X35" s="448"/>
      <c r="Y35" s="447">
        <v>556450.04</v>
      </c>
      <c r="Z35" s="447"/>
      <c r="AA35" s="448"/>
      <c r="AB35" s="447">
        <v>545952.99</v>
      </c>
      <c r="AC35" s="447"/>
      <c r="AD35" s="448"/>
      <c r="AE35" s="447">
        <v>535832.31999999995</v>
      </c>
      <c r="AF35" s="447"/>
      <c r="AG35" s="448"/>
      <c r="AH35" s="447">
        <v>525711.64</v>
      </c>
      <c r="AI35" s="447"/>
      <c r="AJ35" s="448"/>
      <c r="AK35" s="447">
        <v>542122.19999999995</v>
      </c>
      <c r="AL35" s="447"/>
      <c r="AM35" s="448"/>
      <c r="AN35" s="447">
        <v>534949.46</v>
      </c>
      <c r="AO35" s="447"/>
      <c r="AP35" s="448"/>
      <c r="AQ35" s="447">
        <v>560818.09</v>
      </c>
      <c r="AR35" s="447"/>
      <c r="AS35" s="448"/>
      <c r="AT35" s="447">
        <v>589700.96</v>
      </c>
      <c r="AU35" s="447"/>
      <c r="AV35" s="448"/>
      <c r="AW35" s="208">
        <f t="shared" si="9"/>
        <v>618318.19874999998</v>
      </c>
      <c r="AX35" s="74"/>
      <c r="AY35" s="74"/>
    </row>
    <row r="36" spans="1:51">
      <c r="A36" s="286">
        <v>28</v>
      </c>
      <c r="C36" s="74" t="s">
        <v>1179</v>
      </c>
      <c r="E36" s="74" t="s">
        <v>1844</v>
      </c>
      <c r="F36" s="74" t="s">
        <v>846</v>
      </c>
      <c r="G36" s="74" t="s">
        <v>1887</v>
      </c>
      <c r="H36" s="74"/>
      <c r="I36" s="74"/>
      <c r="J36" s="446">
        <v>1854336.33</v>
      </c>
      <c r="K36" s="447"/>
      <c r="L36" s="448"/>
      <c r="M36" s="447">
        <v>1836441.33</v>
      </c>
      <c r="N36" s="447"/>
      <c r="O36" s="448"/>
      <c r="P36" s="447">
        <v>1818546.33</v>
      </c>
      <c r="Q36" s="447"/>
      <c r="R36" s="448"/>
      <c r="S36" s="447">
        <v>2069357.94</v>
      </c>
      <c r="T36" s="447"/>
      <c r="U36" s="448"/>
      <c r="V36" s="447">
        <v>2048902.18</v>
      </c>
      <c r="W36" s="447"/>
      <c r="X36" s="448"/>
      <c r="Y36" s="447">
        <v>2028446.39</v>
      </c>
      <c r="Z36" s="447"/>
      <c r="AA36" s="448"/>
      <c r="AB36" s="447">
        <v>2007193.81</v>
      </c>
      <c r="AC36" s="447"/>
      <c r="AD36" s="448"/>
      <c r="AE36" s="447">
        <v>1986605.22</v>
      </c>
      <c r="AF36" s="447"/>
      <c r="AG36" s="448"/>
      <c r="AH36" s="447">
        <v>1966016.64</v>
      </c>
      <c r="AI36" s="447"/>
      <c r="AJ36" s="448"/>
      <c r="AK36" s="447">
        <v>2010399.81</v>
      </c>
      <c r="AL36" s="447"/>
      <c r="AM36" s="448"/>
      <c r="AN36" s="447">
        <v>1997030.29</v>
      </c>
      <c r="AO36" s="447"/>
      <c r="AP36" s="448"/>
      <c r="AQ36" s="447">
        <v>1985552.47</v>
      </c>
      <c r="AR36" s="447"/>
      <c r="AS36" s="448"/>
      <c r="AT36" s="447">
        <v>1999061.83</v>
      </c>
      <c r="AU36" s="447"/>
      <c r="AV36" s="448"/>
      <c r="AW36" s="208">
        <f t="shared" si="9"/>
        <v>1973432.6241666668</v>
      </c>
      <c r="AX36" s="74"/>
      <c r="AY36" s="74"/>
    </row>
    <row r="37" spans="1:51">
      <c r="A37" s="286">
        <v>29</v>
      </c>
      <c r="C37" s="74" t="s">
        <v>1179</v>
      </c>
      <c r="E37" s="74" t="s">
        <v>1844</v>
      </c>
      <c r="F37" s="74" t="s">
        <v>846</v>
      </c>
      <c r="G37" s="74" t="s">
        <v>1888</v>
      </c>
      <c r="H37" s="74"/>
      <c r="I37" s="74"/>
      <c r="J37" s="449">
        <v>-161895.75</v>
      </c>
      <c r="K37" s="447"/>
      <c r="L37" s="448"/>
      <c r="M37" s="447">
        <v>-161895.75</v>
      </c>
      <c r="N37" s="447"/>
      <c r="O37" s="448"/>
      <c r="P37" s="447">
        <v>-161895.75</v>
      </c>
      <c r="Q37" s="447"/>
      <c r="R37" s="448"/>
      <c r="S37" s="447">
        <v>-161895.75</v>
      </c>
      <c r="T37" s="447"/>
      <c r="U37" s="448"/>
      <c r="V37" s="447">
        <v>-161895.75</v>
      </c>
      <c r="W37" s="447"/>
      <c r="X37" s="448"/>
      <c r="Y37" s="447">
        <v>-161895.75</v>
      </c>
      <c r="Z37" s="447"/>
      <c r="AA37" s="448"/>
      <c r="AB37" s="447">
        <v>-161895.75</v>
      </c>
      <c r="AC37" s="447"/>
      <c r="AD37" s="448"/>
      <c r="AE37" s="447">
        <v>-161895.75</v>
      </c>
      <c r="AF37" s="447"/>
      <c r="AG37" s="448"/>
      <c r="AH37" s="447">
        <v>-161895.75</v>
      </c>
      <c r="AI37" s="447"/>
      <c r="AJ37" s="448"/>
      <c r="AK37" s="447">
        <v>-161895.75</v>
      </c>
      <c r="AL37" s="447"/>
      <c r="AM37" s="448"/>
      <c r="AN37" s="447">
        <v>-161895.75</v>
      </c>
      <c r="AO37" s="447"/>
      <c r="AP37" s="448"/>
      <c r="AQ37" s="447">
        <v>-161895.75</v>
      </c>
      <c r="AR37" s="447"/>
      <c r="AS37" s="448"/>
      <c r="AT37" s="447">
        <v>-151102.70000000001</v>
      </c>
      <c r="AU37" s="447"/>
      <c r="AV37" s="448"/>
      <c r="AW37" s="208">
        <f t="shared" si="9"/>
        <v>-161446.03958333333</v>
      </c>
      <c r="AX37" s="74"/>
      <c r="AY37" s="74"/>
    </row>
    <row r="38" spans="1:51">
      <c r="A38" s="286">
        <v>30</v>
      </c>
      <c r="C38" s="74"/>
      <c r="E38" s="74"/>
      <c r="F38" s="74"/>
      <c r="G38" s="74"/>
      <c r="H38" s="74"/>
      <c r="I38" s="74"/>
      <c r="J38" s="450">
        <f>SUM(J32:J37)</f>
        <v>2981601.68</v>
      </c>
      <c r="K38" s="447"/>
      <c r="L38" s="448"/>
      <c r="M38" s="450">
        <f>SUM(M32:M37)</f>
        <v>2954940.99</v>
      </c>
      <c r="N38" s="447"/>
      <c r="O38" s="448"/>
      <c r="P38" s="450">
        <f>SUM(P32:P37)</f>
        <v>2928280.31</v>
      </c>
      <c r="Q38" s="447"/>
      <c r="R38" s="448"/>
      <c r="S38" s="450">
        <f>SUM(S32:S37)</f>
        <v>2097200.77</v>
      </c>
      <c r="T38" s="447"/>
      <c r="U38" s="448"/>
      <c r="V38" s="450">
        <f>SUM(V32:V37)</f>
        <v>2067971.2199999997</v>
      </c>
      <c r="W38" s="447"/>
      <c r="X38" s="448"/>
      <c r="Y38" s="450">
        <f>SUM(Y32:Y37)</f>
        <v>2038741.6600000001</v>
      </c>
      <c r="Z38" s="447"/>
      <c r="AA38" s="448"/>
      <c r="AB38" s="450">
        <f>SUM(AB32:AB37)</f>
        <v>2008198</v>
      </c>
      <c r="AC38" s="447"/>
      <c r="AD38" s="448"/>
      <c r="AE38" s="450">
        <f>SUM(AE32:AE37)</f>
        <v>1978749.4100000001</v>
      </c>
      <c r="AF38" s="447"/>
      <c r="AG38" s="448"/>
      <c r="AH38" s="450">
        <f>SUM(AH32:AH37)</f>
        <v>1949300.8599999999</v>
      </c>
      <c r="AI38" s="447"/>
      <c r="AJ38" s="448"/>
      <c r="AK38" s="450">
        <f>SUM(AK32:AK37)</f>
        <v>1997051.44</v>
      </c>
      <c r="AL38" s="447"/>
      <c r="AM38" s="448"/>
      <c r="AN38" s="450">
        <f>SUM(AN32:AN37)</f>
        <v>1976180.5300000003</v>
      </c>
      <c r="AO38" s="447"/>
      <c r="AP38" s="448"/>
      <c r="AQ38" s="450">
        <f>SUM(AQ32:AQ37)</f>
        <v>2051451.56</v>
      </c>
      <c r="AR38" s="447"/>
      <c r="AS38" s="448"/>
      <c r="AT38" s="450">
        <f>SUM(AT32:AT37)</f>
        <v>2107518.9</v>
      </c>
      <c r="AU38" s="447"/>
      <c r="AV38" s="448"/>
      <c r="AW38" s="450">
        <f>SUM(AW32:AW37)</f>
        <v>2216052.2533333334</v>
      </c>
      <c r="AX38" s="74"/>
      <c r="AY38" s="74"/>
    </row>
    <row r="39" spans="1:51">
      <c r="A39" s="286">
        <v>31</v>
      </c>
      <c r="C39" s="74"/>
      <c r="E39" s="74"/>
      <c r="F39" s="74"/>
      <c r="G39" s="74"/>
      <c r="H39" s="74"/>
      <c r="I39" s="74"/>
      <c r="J39" s="446"/>
      <c r="K39" s="447"/>
      <c r="L39" s="448"/>
      <c r="M39" s="447"/>
      <c r="N39" s="447"/>
      <c r="O39" s="448"/>
      <c r="P39" s="447"/>
      <c r="Q39" s="447"/>
      <c r="R39" s="448"/>
      <c r="S39" s="447"/>
      <c r="T39" s="447"/>
      <c r="U39" s="448"/>
      <c r="V39" s="447"/>
      <c r="W39" s="447"/>
      <c r="X39" s="448"/>
      <c r="Y39" s="447"/>
      <c r="Z39" s="447"/>
      <c r="AA39" s="448"/>
      <c r="AB39" s="447"/>
      <c r="AC39" s="447"/>
      <c r="AD39" s="448"/>
      <c r="AE39" s="447"/>
      <c r="AF39" s="447"/>
      <c r="AG39" s="448"/>
      <c r="AH39" s="447"/>
      <c r="AI39" s="447"/>
      <c r="AJ39" s="448"/>
      <c r="AK39" s="447"/>
      <c r="AL39" s="447"/>
      <c r="AM39" s="448"/>
      <c r="AN39" s="447"/>
      <c r="AO39" s="447"/>
      <c r="AP39" s="448"/>
      <c r="AQ39" s="447"/>
      <c r="AR39" s="447"/>
      <c r="AS39" s="448"/>
      <c r="AT39" s="447"/>
      <c r="AU39" s="447"/>
      <c r="AV39" s="448"/>
      <c r="AW39" s="74"/>
      <c r="AX39" s="74"/>
      <c r="AY39" s="74"/>
    </row>
    <row r="40" spans="1:51">
      <c r="A40" s="286">
        <v>32</v>
      </c>
      <c r="C40" s="74" t="s">
        <v>1179</v>
      </c>
      <c r="E40" s="74" t="s">
        <v>1882</v>
      </c>
      <c r="F40" s="74" t="s">
        <v>848</v>
      </c>
      <c r="G40" s="74" t="s">
        <v>1885</v>
      </c>
      <c r="H40" s="74"/>
      <c r="I40" s="74"/>
      <c r="J40" s="446">
        <v>-1866272.87</v>
      </c>
      <c r="K40" s="447"/>
      <c r="L40" s="448"/>
      <c r="M40" s="447">
        <v>-1866801.81</v>
      </c>
      <c r="N40" s="447"/>
      <c r="O40" s="448"/>
      <c r="P40" s="447">
        <v>-1867330.76</v>
      </c>
      <c r="Q40" s="447"/>
      <c r="R40" s="448"/>
      <c r="S40" s="447">
        <v>-2160511.04</v>
      </c>
      <c r="T40" s="447"/>
      <c r="U40" s="448"/>
      <c r="V40" s="447">
        <v>-2161140.1</v>
      </c>
      <c r="W40" s="447"/>
      <c r="X40" s="448"/>
      <c r="Y40" s="447">
        <v>-2161769.15</v>
      </c>
      <c r="Z40" s="447"/>
      <c r="AA40" s="448"/>
      <c r="AB40" s="447">
        <v>-2161571.6</v>
      </c>
      <c r="AC40" s="447"/>
      <c r="AD40" s="448"/>
      <c r="AE40" s="447">
        <v>-2162063.12</v>
      </c>
      <c r="AF40" s="447"/>
      <c r="AG40" s="448"/>
      <c r="AH40" s="447">
        <v>-2162554.64</v>
      </c>
      <c r="AI40" s="447"/>
      <c r="AJ40" s="448"/>
      <c r="AK40" s="447">
        <v>-2157345.3199999998</v>
      </c>
      <c r="AL40" s="447"/>
      <c r="AM40" s="448"/>
      <c r="AN40" s="447">
        <v>-2157203.5499999998</v>
      </c>
      <c r="AO40" s="447"/>
      <c r="AP40" s="448"/>
      <c r="AQ40" s="447">
        <v>-2157061.7999999998</v>
      </c>
      <c r="AR40" s="447"/>
      <c r="AS40" s="448"/>
      <c r="AT40" s="447">
        <v>-2094061.52</v>
      </c>
      <c r="AU40" s="447"/>
      <c r="AV40" s="448"/>
      <c r="AW40" s="208">
        <f t="shared" ref="AW40:AW41" si="10">+(AT40+J40+(M40+P40+S40+V40+Y40+AB40+AE40+AH40+AK40+AN40+AQ40)*2)/24</f>
        <v>-2096293.3404166671</v>
      </c>
      <c r="AX40" s="74"/>
      <c r="AY40" s="74"/>
    </row>
    <row r="41" spans="1:51">
      <c r="A41" s="286">
        <v>33</v>
      </c>
      <c r="C41" s="74" t="s">
        <v>1179</v>
      </c>
      <c r="E41" s="74" t="s">
        <v>1844</v>
      </c>
      <c r="F41" s="74" t="s">
        <v>848</v>
      </c>
      <c r="G41" s="74" t="s">
        <v>1888</v>
      </c>
      <c r="H41" s="74"/>
      <c r="I41" s="74"/>
      <c r="J41" s="449">
        <v>-34608022.850000001</v>
      </c>
      <c r="K41" s="447"/>
      <c r="L41" s="448"/>
      <c r="M41" s="447">
        <v>-34620017.43</v>
      </c>
      <c r="N41" s="447"/>
      <c r="O41" s="448"/>
      <c r="P41" s="447">
        <v>-34632012.07</v>
      </c>
      <c r="Q41" s="447"/>
      <c r="R41" s="448"/>
      <c r="S41" s="447">
        <v>-34594533.43</v>
      </c>
      <c r="T41" s="447"/>
      <c r="U41" s="448"/>
      <c r="V41" s="447">
        <v>-34606492.979999997</v>
      </c>
      <c r="W41" s="447"/>
      <c r="X41" s="448"/>
      <c r="Y41" s="447">
        <v>-34618452.57</v>
      </c>
      <c r="Z41" s="447"/>
      <c r="AA41" s="448"/>
      <c r="AB41" s="447">
        <v>-34614696.380000003</v>
      </c>
      <c r="AC41" s="447"/>
      <c r="AD41" s="448"/>
      <c r="AE41" s="447">
        <v>-34624041.229999997</v>
      </c>
      <c r="AF41" s="447"/>
      <c r="AG41" s="448"/>
      <c r="AH41" s="447">
        <v>-34633386.079999998</v>
      </c>
      <c r="AI41" s="447"/>
      <c r="AJ41" s="448"/>
      <c r="AK41" s="447">
        <v>-34534346.850000001</v>
      </c>
      <c r="AL41" s="447"/>
      <c r="AM41" s="448"/>
      <c r="AN41" s="447">
        <v>-34531651.57</v>
      </c>
      <c r="AO41" s="447"/>
      <c r="AP41" s="448"/>
      <c r="AQ41" s="447">
        <v>-34528956.350000001</v>
      </c>
      <c r="AR41" s="447"/>
      <c r="AS41" s="448"/>
      <c r="AT41" s="447">
        <v>-33763265.57</v>
      </c>
      <c r="AU41" s="447"/>
      <c r="AV41" s="448"/>
      <c r="AW41" s="208">
        <f t="shared" si="10"/>
        <v>-34560352.595833331</v>
      </c>
      <c r="AX41" s="74"/>
      <c r="AY41" s="74"/>
    </row>
    <row r="42" spans="1:51">
      <c r="A42" s="286">
        <v>34</v>
      </c>
      <c r="B42" s="74"/>
      <c r="C42" s="74"/>
      <c r="D42" s="74"/>
      <c r="E42" s="74"/>
      <c r="F42" s="74"/>
      <c r="G42" s="74"/>
      <c r="H42" s="74"/>
      <c r="I42" s="74"/>
      <c r="J42" s="446">
        <f>+J40+J41</f>
        <v>-36474295.719999999</v>
      </c>
      <c r="K42" s="447"/>
      <c r="L42" s="448"/>
      <c r="M42" s="446">
        <f>+M40+M41</f>
        <v>-36486819.240000002</v>
      </c>
      <c r="N42" s="447"/>
      <c r="O42" s="448"/>
      <c r="P42" s="446">
        <f>+P40+P41</f>
        <v>-36499342.829999998</v>
      </c>
      <c r="Q42" s="447"/>
      <c r="R42" s="448"/>
      <c r="S42" s="446">
        <f>+S40+S41</f>
        <v>-36755044.469999999</v>
      </c>
      <c r="T42" s="447"/>
      <c r="U42" s="448"/>
      <c r="V42" s="446">
        <f>+V40+V41</f>
        <v>-36767633.079999998</v>
      </c>
      <c r="W42" s="447"/>
      <c r="X42" s="448"/>
      <c r="Y42" s="446">
        <f>+Y40+Y41</f>
        <v>-36780221.719999999</v>
      </c>
      <c r="Z42" s="447"/>
      <c r="AA42" s="448"/>
      <c r="AB42" s="446">
        <f>+AB40+AB41</f>
        <v>-36776267.980000004</v>
      </c>
      <c r="AC42" s="447"/>
      <c r="AD42" s="448"/>
      <c r="AE42" s="446">
        <f>+AE40+AE41</f>
        <v>-36786104.349999994</v>
      </c>
      <c r="AF42" s="447"/>
      <c r="AG42" s="448"/>
      <c r="AH42" s="446">
        <f>+AH40+AH41</f>
        <v>-36795940.719999999</v>
      </c>
      <c r="AI42" s="447"/>
      <c r="AJ42" s="448"/>
      <c r="AK42" s="446">
        <f>+AK40+AK41</f>
        <v>-36691692.170000002</v>
      </c>
      <c r="AL42" s="447"/>
      <c r="AM42" s="448"/>
      <c r="AN42" s="446">
        <f>+AN40+AN41</f>
        <v>-36688855.119999997</v>
      </c>
      <c r="AO42" s="447"/>
      <c r="AP42" s="448"/>
      <c r="AQ42" s="446">
        <f>+AQ40+AQ41</f>
        <v>-36686018.149999999</v>
      </c>
      <c r="AR42" s="447"/>
      <c r="AS42" s="448"/>
      <c r="AT42" s="446">
        <f>+AT40+AT41</f>
        <v>-35857327.090000004</v>
      </c>
      <c r="AU42" s="447"/>
      <c r="AV42" s="448"/>
      <c r="AW42" s="446">
        <f>+AW40+AW41</f>
        <v>-36656645.936250001</v>
      </c>
      <c r="AX42" s="74"/>
      <c r="AY42" s="74"/>
    </row>
    <row r="43" spans="1:51">
      <c r="A43" s="286">
        <v>35</v>
      </c>
      <c r="B43" s="74"/>
      <c r="C43" s="74"/>
      <c r="D43" s="74"/>
      <c r="E43" s="74"/>
      <c r="F43" s="74"/>
      <c r="G43" s="74"/>
      <c r="H43" s="74"/>
      <c r="I43" s="74"/>
      <c r="J43" s="446"/>
      <c r="K43" s="447"/>
      <c r="L43" s="448"/>
      <c r="M43" s="446"/>
      <c r="N43" s="447"/>
      <c r="O43" s="448"/>
      <c r="P43" s="446"/>
      <c r="Q43" s="447"/>
      <c r="R43" s="448"/>
      <c r="S43" s="446"/>
      <c r="T43" s="447"/>
      <c r="U43" s="448"/>
      <c r="V43" s="446"/>
      <c r="W43" s="447"/>
      <c r="X43" s="448"/>
      <c r="Y43" s="446"/>
      <c r="Z43" s="447"/>
      <c r="AA43" s="448"/>
      <c r="AB43" s="446"/>
      <c r="AC43" s="447"/>
      <c r="AD43" s="448"/>
      <c r="AE43" s="446"/>
      <c r="AF43" s="447"/>
      <c r="AG43" s="448"/>
      <c r="AH43" s="446"/>
      <c r="AI43" s="447"/>
      <c r="AJ43" s="448"/>
      <c r="AK43" s="446"/>
      <c r="AL43" s="447"/>
      <c r="AM43" s="448"/>
      <c r="AN43" s="446"/>
      <c r="AO43" s="447"/>
      <c r="AP43" s="448"/>
      <c r="AQ43" s="446"/>
      <c r="AR43" s="447"/>
      <c r="AS43" s="448"/>
      <c r="AT43" s="446"/>
      <c r="AU43" s="447"/>
      <c r="AV43" s="448"/>
      <c r="AW43" s="446"/>
      <c r="AX43" s="74"/>
      <c r="AY43" s="74"/>
    </row>
    <row r="44" spans="1:51">
      <c r="A44" s="286">
        <v>36</v>
      </c>
      <c r="B44" s="74"/>
      <c r="C44" s="74"/>
      <c r="D44" s="74"/>
      <c r="E44" s="74"/>
      <c r="F44" s="74"/>
      <c r="G44" s="74"/>
      <c r="H44" s="74"/>
      <c r="I44" s="74"/>
      <c r="J44" s="451">
        <f>+J30+J38+J42</f>
        <v>-133601647.91</v>
      </c>
      <c r="K44" s="447"/>
      <c r="L44" s="448"/>
      <c r="M44" s="451">
        <f>+M30+M38+M42</f>
        <v>-133595802.5</v>
      </c>
      <c r="N44" s="447"/>
      <c r="O44" s="448"/>
      <c r="P44" s="451">
        <f>+P30+P38+P42</f>
        <v>-133589957.16000001</v>
      </c>
      <c r="Q44" s="447"/>
      <c r="R44" s="448"/>
      <c r="S44" s="451">
        <f>+S30+S38+S42</f>
        <v>-134289346.97</v>
      </c>
      <c r="T44" s="447"/>
      <c r="U44" s="448"/>
      <c r="V44" s="451">
        <f>+V30+V38+V42</f>
        <v>-134174685.92</v>
      </c>
      <c r="W44" s="447"/>
      <c r="X44" s="448"/>
      <c r="Y44" s="451">
        <f>+Y30+Y38+Y42</f>
        <v>-134060024.98999999</v>
      </c>
      <c r="Z44" s="447"/>
      <c r="AA44" s="448"/>
      <c r="AB44" s="451">
        <f>+AB30+AB38+AB42</f>
        <v>-134264793.63</v>
      </c>
      <c r="AC44" s="447"/>
      <c r="AD44" s="448"/>
      <c r="AE44" s="451">
        <f>+AE30+AE38+AE42</f>
        <v>-134203375.75999999</v>
      </c>
      <c r="AF44" s="447"/>
      <c r="AG44" s="448"/>
      <c r="AH44" s="451">
        <f>+AH30+AH38+AH42</f>
        <v>-134141957.83</v>
      </c>
      <c r="AI44" s="447"/>
      <c r="AJ44" s="448"/>
      <c r="AK44" s="451">
        <f>+AK30+AK38+AK42</f>
        <v>-135268266.45999998</v>
      </c>
      <c r="AL44" s="447"/>
      <c r="AM44" s="448"/>
      <c r="AN44" s="451">
        <f>+AN30+AN38+AN42</f>
        <v>-135338820.88</v>
      </c>
      <c r="AO44" s="447"/>
      <c r="AP44" s="448"/>
      <c r="AQ44" s="451">
        <f>+AQ30+AQ38+AQ42</f>
        <v>-137105846.09999999</v>
      </c>
      <c r="AR44" s="447"/>
      <c r="AS44" s="448"/>
      <c r="AT44" s="451">
        <f>+AT30+AT38+AT42</f>
        <v>-136224441.74000001</v>
      </c>
      <c r="AU44" s="447"/>
      <c r="AV44" s="448"/>
      <c r="AW44" s="451">
        <f>+AW30+AW38+AW42</f>
        <v>-134578826.91875002</v>
      </c>
      <c r="AX44" s="74"/>
      <c r="AY44" s="74"/>
    </row>
    <row r="45" spans="1:51" ht="16.5" thickBot="1">
      <c r="A45" s="286">
        <v>37</v>
      </c>
      <c r="B45" s="74"/>
      <c r="C45" s="74"/>
      <c r="D45" s="74"/>
      <c r="E45" s="74"/>
      <c r="F45" s="74"/>
      <c r="G45" s="74"/>
      <c r="H45" s="74"/>
      <c r="I45" s="74"/>
      <c r="J45" s="446"/>
      <c r="K45" s="447"/>
      <c r="L45" s="448"/>
      <c r="M45" s="446"/>
      <c r="N45" s="447"/>
      <c r="O45" s="448"/>
      <c r="P45" s="446"/>
      <c r="Q45" s="447"/>
      <c r="R45" s="448"/>
      <c r="S45" s="446"/>
      <c r="T45" s="447"/>
      <c r="U45" s="448"/>
      <c r="V45" s="446"/>
      <c r="W45" s="447"/>
      <c r="X45" s="448"/>
      <c r="Y45" s="446"/>
      <c r="Z45" s="447"/>
      <c r="AA45" s="448"/>
      <c r="AB45" s="446"/>
      <c r="AC45" s="447"/>
      <c r="AD45" s="448"/>
      <c r="AE45" s="446"/>
      <c r="AF45" s="447"/>
      <c r="AG45" s="448"/>
      <c r="AH45" s="446"/>
      <c r="AI45" s="447"/>
      <c r="AJ45" s="448"/>
      <c r="AK45" s="446"/>
      <c r="AL45" s="447"/>
      <c r="AM45" s="448"/>
      <c r="AN45" s="446"/>
      <c r="AO45" s="447"/>
      <c r="AP45" s="448"/>
      <c r="AQ45" s="446"/>
      <c r="AR45" s="447"/>
      <c r="AS45" s="448"/>
      <c r="AT45" s="446"/>
      <c r="AU45" s="447"/>
      <c r="AV45" s="448"/>
      <c r="AW45" s="446"/>
      <c r="AX45" s="74"/>
      <c r="AY45" s="74"/>
    </row>
    <row r="46" spans="1:51">
      <c r="A46" s="20">
        <v>38</v>
      </c>
      <c r="B46" s="1332" t="s">
        <v>2013</v>
      </c>
      <c r="C46" s="1333"/>
      <c r="D46" s="1333"/>
      <c r="E46" s="1334"/>
      <c r="F46" s="74"/>
      <c r="G46" s="74"/>
      <c r="H46" s="74"/>
      <c r="I46" s="74"/>
      <c r="J46" s="446"/>
      <c r="K46" s="447"/>
      <c r="L46" s="448"/>
      <c r="M46" s="446"/>
      <c r="N46" s="447"/>
      <c r="O46" s="448"/>
      <c r="P46" s="446"/>
      <c r="Q46" s="447"/>
      <c r="R46" s="448"/>
      <c r="S46" s="446"/>
      <c r="T46" s="447"/>
      <c r="U46" s="448"/>
      <c r="V46" s="446"/>
      <c r="W46" s="447"/>
      <c r="X46" s="448"/>
      <c r="Y46" s="446"/>
      <c r="Z46" s="447"/>
      <c r="AA46" s="448"/>
      <c r="AB46" s="446"/>
      <c r="AC46" s="447"/>
      <c r="AD46" s="448"/>
      <c r="AE46" s="446"/>
      <c r="AF46" s="447"/>
      <c r="AG46" s="448"/>
      <c r="AH46" s="446"/>
      <c r="AI46" s="447"/>
      <c r="AJ46" s="448"/>
      <c r="AK46" s="446"/>
      <c r="AL46" s="447"/>
      <c r="AM46" s="448"/>
      <c r="AN46" s="446"/>
      <c r="AO46" s="447"/>
      <c r="AP46" s="448"/>
      <c r="AQ46" s="446"/>
      <c r="AR46" s="447"/>
      <c r="AS46" s="448"/>
      <c r="AT46" s="446"/>
      <c r="AU46" s="447"/>
      <c r="AV46" s="448"/>
      <c r="AW46" s="446"/>
      <c r="AX46" s="74"/>
      <c r="AY46" s="74"/>
    </row>
    <row r="47" spans="1:51">
      <c r="A47" s="20">
        <v>39</v>
      </c>
      <c r="B47" s="1335"/>
      <c r="C47" s="1336"/>
      <c r="D47" s="1336"/>
      <c r="E47" s="1337"/>
      <c r="F47" s="74"/>
      <c r="G47" s="74" t="s">
        <v>1889</v>
      </c>
      <c r="H47" s="74"/>
      <c r="I47" s="74"/>
      <c r="J47" s="446">
        <f>+J26+J38+J28</f>
        <v>-96815259.790000007</v>
      </c>
      <c r="K47" s="447"/>
      <c r="L47" s="448"/>
      <c r="M47" s="446">
        <f>+M26+M38+M28</f>
        <v>-96798119.579999998</v>
      </c>
      <c r="N47" s="447"/>
      <c r="O47" s="448"/>
      <c r="P47" s="446">
        <f>+P26+P38+P28</f>
        <v>-96780979.340000004</v>
      </c>
      <c r="Q47" s="447"/>
      <c r="R47" s="448"/>
      <c r="S47" s="446">
        <f>+S26+S38+S28</f>
        <v>-97223385.600000009</v>
      </c>
      <c r="T47" s="447"/>
      <c r="U47" s="448"/>
      <c r="V47" s="446">
        <f>+V26+V38+V28</f>
        <v>-97097374.659999996</v>
      </c>
      <c r="W47" s="447"/>
      <c r="X47" s="448"/>
      <c r="Y47" s="446">
        <f>+Y26+Y38+Y28</f>
        <v>-96971363.799999997</v>
      </c>
      <c r="Z47" s="447"/>
      <c r="AA47" s="448"/>
      <c r="AB47" s="446">
        <f>+AB26+AB38+AB28</f>
        <v>-97181324.890000001</v>
      </c>
      <c r="AC47" s="447"/>
      <c r="AD47" s="448"/>
      <c r="AE47" s="446">
        <f>+AE26+AE38+AE28</f>
        <v>-97111309.340000004</v>
      </c>
      <c r="AF47" s="447"/>
      <c r="AG47" s="448"/>
      <c r="AH47" s="446">
        <f>+AH26+AH38+AH28</f>
        <v>-97041293.75</v>
      </c>
      <c r="AI47" s="447"/>
      <c r="AJ47" s="448"/>
      <c r="AK47" s="446">
        <f>+AK26+AK38+AK28</f>
        <v>-98273089.640000001</v>
      </c>
      <c r="AL47" s="447"/>
      <c r="AM47" s="448"/>
      <c r="AN47" s="446">
        <f>+AN26+AN38+AN28</f>
        <v>-98347719.810000002</v>
      </c>
      <c r="AO47" s="447"/>
      <c r="AP47" s="448"/>
      <c r="AQ47" s="446">
        <f>+AQ26+AQ38+AQ28</f>
        <v>-100118820.69999999</v>
      </c>
      <c r="AR47" s="447"/>
      <c r="AS47" s="448"/>
      <c r="AT47" s="446">
        <f>+AT26+AT38+AT28</f>
        <v>-100067346.12</v>
      </c>
      <c r="AU47" s="447"/>
      <c r="AV47" s="448"/>
      <c r="AW47" s="446">
        <f>+AW26+AW38+AW28</f>
        <v>-97615507.005416676</v>
      </c>
      <c r="AX47" s="74"/>
      <c r="AY47" s="74"/>
    </row>
    <row r="48" spans="1:51">
      <c r="A48" s="20">
        <v>40</v>
      </c>
      <c r="B48" s="1335"/>
      <c r="C48" s="1336"/>
      <c r="D48" s="1336"/>
      <c r="E48" s="1337"/>
      <c r="F48" s="74"/>
      <c r="G48" s="74" t="s">
        <v>1890</v>
      </c>
      <c r="H48" s="74"/>
      <c r="I48" s="74"/>
      <c r="J48" s="449">
        <f>+J27+J29+J42</f>
        <v>-36786388.119999997</v>
      </c>
      <c r="K48" s="447"/>
      <c r="L48" s="448"/>
      <c r="M48" s="449">
        <f>+M27+M29+M42</f>
        <v>-36797682.920000002</v>
      </c>
      <c r="N48" s="447"/>
      <c r="O48" s="448"/>
      <c r="P48" s="449">
        <f>+P27+P29+P42</f>
        <v>-36808977.82</v>
      </c>
      <c r="Q48" s="447"/>
      <c r="R48" s="448"/>
      <c r="S48" s="449">
        <f>+S27+S29+S42</f>
        <v>-37065961.369999997</v>
      </c>
      <c r="T48" s="447"/>
      <c r="U48" s="448"/>
      <c r="V48" s="449">
        <f>+V27+V29+V42</f>
        <v>-37077311.259999998</v>
      </c>
      <c r="W48" s="447"/>
      <c r="X48" s="448"/>
      <c r="Y48" s="449">
        <f>+Y27+Y29+Y42</f>
        <v>-37088661.189999998</v>
      </c>
      <c r="Z48" s="447"/>
      <c r="AA48" s="448"/>
      <c r="AB48" s="449">
        <f>+AB27+AB29+AB42</f>
        <v>-37083468.740000002</v>
      </c>
      <c r="AC48" s="447"/>
      <c r="AD48" s="448"/>
      <c r="AE48" s="449">
        <f>+AE27+AE29+AE42</f>
        <v>-37092066.419999994</v>
      </c>
      <c r="AF48" s="447"/>
      <c r="AG48" s="448"/>
      <c r="AH48" s="449">
        <f>+AH27+AH29+AH42</f>
        <v>-37100664.079999998</v>
      </c>
      <c r="AI48" s="447"/>
      <c r="AJ48" s="448"/>
      <c r="AK48" s="449">
        <f>+AK27+AK29+AK42</f>
        <v>-36995176.82</v>
      </c>
      <c r="AL48" s="447"/>
      <c r="AM48" s="448"/>
      <c r="AN48" s="449">
        <f>+AN27+AN29+AN42</f>
        <v>-36991101.07</v>
      </c>
      <c r="AO48" s="447"/>
      <c r="AP48" s="448"/>
      <c r="AQ48" s="449">
        <f>+AQ27+AQ29+AQ42</f>
        <v>-36987025.399999999</v>
      </c>
      <c r="AR48" s="447"/>
      <c r="AS48" s="448"/>
      <c r="AT48" s="449">
        <f>+AT27+AT29+AT42</f>
        <v>-36157095.620000005</v>
      </c>
      <c r="AU48" s="447"/>
      <c r="AV48" s="448"/>
      <c r="AW48" s="449">
        <f>+AW27+AW29+AW42</f>
        <v>-36963319.913333334</v>
      </c>
      <c r="AX48" s="74"/>
      <c r="AY48" s="74"/>
    </row>
    <row r="49" spans="1:51" ht="16.5" thickBot="1">
      <c r="A49" s="286">
        <v>41</v>
      </c>
      <c r="B49" s="1335"/>
      <c r="C49" s="1336"/>
      <c r="D49" s="1336"/>
      <c r="E49" s="1337"/>
      <c r="F49" s="74"/>
      <c r="G49" s="74"/>
      <c r="H49" s="74"/>
      <c r="I49" s="74"/>
      <c r="J49" s="452">
        <f>+J47+J48</f>
        <v>-133601647.91</v>
      </c>
      <c r="K49" s="453"/>
      <c r="L49" s="454"/>
      <c r="M49" s="452">
        <f>+M47+M48</f>
        <v>-133595802.5</v>
      </c>
      <c r="N49" s="453"/>
      <c r="O49" s="454"/>
      <c r="P49" s="452">
        <f>+P47+P48</f>
        <v>-133589957.16</v>
      </c>
      <c r="Q49" s="453"/>
      <c r="R49" s="454"/>
      <c r="S49" s="452">
        <f>+S47+S48</f>
        <v>-134289346.97</v>
      </c>
      <c r="T49" s="453"/>
      <c r="U49" s="454"/>
      <c r="V49" s="452">
        <f>+V47+V48</f>
        <v>-134174685.91999999</v>
      </c>
      <c r="W49" s="453"/>
      <c r="X49" s="454"/>
      <c r="Y49" s="452">
        <f>+Y47+Y48</f>
        <v>-134060024.98999999</v>
      </c>
      <c r="Z49" s="453"/>
      <c r="AA49" s="454"/>
      <c r="AB49" s="452">
        <f>+AB47+AB48</f>
        <v>-134264793.63</v>
      </c>
      <c r="AC49" s="453"/>
      <c r="AD49" s="454"/>
      <c r="AE49" s="452">
        <f>+AE47+AE48</f>
        <v>-134203375.75999999</v>
      </c>
      <c r="AF49" s="453"/>
      <c r="AG49" s="454"/>
      <c r="AH49" s="452">
        <f>+AH47+AH48</f>
        <v>-134141957.83</v>
      </c>
      <c r="AI49" s="453"/>
      <c r="AJ49" s="454"/>
      <c r="AK49" s="452">
        <f>+AK47+AK48</f>
        <v>-135268266.46000001</v>
      </c>
      <c r="AL49" s="453"/>
      <c r="AM49" s="454"/>
      <c r="AN49" s="452">
        <f>+AN47+AN48</f>
        <v>-135338820.88</v>
      </c>
      <c r="AO49" s="453"/>
      <c r="AP49" s="454"/>
      <c r="AQ49" s="452">
        <f>+AQ47+AQ48</f>
        <v>-137105846.09999999</v>
      </c>
      <c r="AR49" s="453"/>
      <c r="AS49" s="454"/>
      <c r="AT49" s="452">
        <f>+AT47+AT48</f>
        <v>-136224441.74000001</v>
      </c>
      <c r="AU49" s="453"/>
      <c r="AV49" s="454"/>
      <c r="AW49" s="452">
        <f>+AW47+AW48</f>
        <v>-134578826.91875002</v>
      </c>
      <c r="AX49" s="74"/>
      <c r="AY49" s="74"/>
    </row>
    <row r="50" spans="1:51" ht="16.5" thickBot="1">
      <c r="A50" s="286">
        <v>42</v>
      </c>
      <c r="B50" s="1338"/>
      <c r="C50" s="1339"/>
      <c r="D50" s="1339"/>
      <c r="E50" s="1340"/>
      <c r="F50" s="74" t="s">
        <v>1892</v>
      </c>
      <c r="G50" s="74"/>
      <c r="H50" s="74"/>
      <c r="I50" s="74"/>
      <c r="J50" s="74">
        <f>+'Working Capital Work Paper'!F315</f>
        <v>-96815259.790000007</v>
      </c>
      <c r="M50" s="74">
        <f>+'Working Capital Work Paper'!G315</f>
        <v>-96798119.579999998</v>
      </c>
      <c r="P50" s="74">
        <f>+'Working Capital Work Paper'!H315</f>
        <v>-96780979.340000004</v>
      </c>
      <c r="S50" s="74">
        <f>+'Working Capital Work Paper'!I315</f>
        <v>-97223385.599999994</v>
      </c>
      <c r="V50" s="74">
        <f>+'Working Capital Work Paper'!J315</f>
        <v>-97097374.659999996</v>
      </c>
      <c r="W50" s="74"/>
      <c r="X50" s="74"/>
      <c r="Y50" s="74">
        <f>+'Working Capital Work Paper'!K315</f>
        <v>-96971363.799999997</v>
      </c>
      <c r="Z50" s="74"/>
      <c r="AA50" s="74"/>
      <c r="AB50" s="74">
        <f>+'Working Capital Work Paper'!L315</f>
        <v>-97181324.890000001</v>
      </c>
      <c r="AC50" s="74"/>
      <c r="AD50" s="74"/>
      <c r="AE50" s="74">
        <f>+'Working Capital Work Paper'!M315</f>
        <v>-97111309.340000004</v>
      </c>
      <c r="AF50" s="74"/>
      <c r="AG50" s="74"/>
      <c r="AH50" s="74">
        <f>+'Working Capital Work Paper'!N315</f>
        <v>-97041293.75</v>
      </c>
      <c r="AI50" s="74"/>
      <c r="AJ50" s="74"/>
      <c r="AK50" s="74">
        <f>+'Working Capital Work Paper'!O315</f>
        <v>-98273089.640000001</v>
      </c>
      <c r="AL50" s="74"/>
      <c r="AM50" s="74"/>
      <c r="AN50" s="74">
        <f>+'Working Capital Work Paper'!P315</f>
        <v>-98347719.810000002</v>
      </c>
      <c r="AO50" s="74"/>
      <c r="AP50" s="74"/>
      <c r="AQ50" s="74">
        <f>+'Working Capital Work Paper'!Q315</f>
        <v>-100118820.7</v>
      </c>
      <c r="AR50" s="74"/>
      <c r="AS50" s="74"/>
      <c r="AT50" s="74">
        <f>+'Working Capital Work Paper'!R315</f>
        <v>-100067346.12</v>
      </c>
      <c r="AV50" s="74"/>
      <c r="AW50" s="74">
        <f>+'Working Capital Work Paper'!S315</f>
        <v>-97615507.005416676</v>
      </c>
      <c r="AX50" s="74"/>
      <c r="AY50" s="74"/>
    </row>
    <row r="51" spans="1:51">
      <c r="A51" s="286">
        <v>43</v>
      </c>
      <c r="B51" s="74"/>
      <c r="C51" s="74"/>
      <c r="D51" s="74"/>
      <c r="E51" s="74"/>
      <c r="F51" s="74" t="s">
        <v>1893</v>
      </c>
      <c r="G51" s="74"/>
      <c r="H51" s="74"/>
      <c r="I51" s="74"/>
      <c r="J51" s="74">
        <f>+'Working Capital Work Paper'!F316</f>
        <v>-36786388.119999997</v>
      </c>
      <c r="M51" s="74">
        <f>+'Working Capital Work Paper'!G316</f>
        <v>-36797682.920000002</v>
      </c>
      <c r="P51" s="74">
        <f>+'Working Capital Work Paper'!H316</f>
        <v>-36808977.82</v>
      </c>
      <c r="S51" s="74">
        <f>+'Working Capital Work Paper'!I316</f>
        <v>-37065961.369999997</v>
      </c>
      <c r="V51" s="74">
        <f>+'Working Capital Work Paper'!J316</f>
        <v>-37077311.259999998</v>
      </c>
      <c r="W51" s="74"/>
      <c r="X51" s="74"/>
      <c r="Y51" s="74">
        <f>+'Working Capital Work Paper'!K316</f>
        <v>-37088661.189999998</v>
      </c>
      <c r="Z51" s="74"/>
      <c r="AA51" s="74"/>
      <c r="AB51" s="74">
        <f>+'Working Capital Work Paper'!L316</f>
        <v>-37083468.740000002</v>
      </c>
      <c r="AC51" s="74"/>
      <c r="AD51" s="74"/>
      <c r="AE51" s="74">
        <f>+'Working Capital Work Paper'!M316</f>
        <v>-37092066.420000002</v>
      </c>
      <c r="AF51" s="74"/>
      <c r="AG51" s="74"/>
      <c r="AH51" s="74">
        <f>+'Working Capital Work Paper'!N316</f>
        <v>-37100664.079999998</v>
      </c>
      <c r="AI51" s="74"/>
      <c r="AJ51" s="74"/>
      <c r="AK51" s="74">
        <f>+'Working Capital Work Paper'!O316</f>
        <v>-36995176.82</v>
      </c>
      <c r="AL51" s="74"/>
      <c r="AM51" s="74"/>
      <c r="AN51" s="74">
        <f>+'Working Capital Work Paper'!P316</f>
        <v>-36991101.07</v>
      </c>
      <c r="AO51" s="74"/>
      <c r="AP51" s="74"/>
      <c r="AQ51" s="74">
        <f>+'Working Capital Work Paper'!Q316</f>
        <v>-36987025.399999999</v>
      </c>
      <c r="AR51" s="74"/>
      <c r="AS51" s="74"/>
      <c r="AT51" s="74">
        <f>+'Working Capital Work Paper'!R316</f>
        <v>-36157095.619999997</v>
      </c>
      <c r="AV51" s="74"/>
      <c r="AW51" s="74">
        <f>+'Working Capital Work Paper'!S316</f>
        <v>-36963319.913333334</v>
      </c>
      <c r="AX51" s="74"/>
      <c r="AY51" s="74"/>
    </row>
    <row r="52" spans="1:51">
      <c r="A52" s="286">
        <v>44</v>
      </c>
      <c r="B52" s="74"/>
      <c r="C52" s="74"/>
      <c r="D52" s="74"/>
      <c r="E52" s="74"/>
      <c r="F52" s="74" t="s">
        <v>1894</v>
      </c>
      <c r="G52" s="74"/>
      <c r="H52" s="74"/>
      <c r="I52" s="74"/>
      <c r="J52" s="74">
        <f>+J47-J50</f>
        <v>0</v>
      </c>
      <c r="K52" s="74"/>
      <c r="L52" s="74"/>
      <c r="M52" s="74">
        <f>+M47-M50</f>
        <v>0</v>
      </c>
      <c r="N52" s="74"/>
      <c r="O52" s="74"/>
      <c r="P52" s="74">
        <f>+P47-P50</f>
        <v>0</v>
      </c>
      <c r="Q52" s="74"/>
      <c r="R52" s="74"/>
      <c r="S52" s="74">
        <f>+S47-S50</f>
        <v>0</v>
      </c>
      <c r="T52" s="74"/>
      <c r="U52" s="74"/>
      <c r="V52" s="74">
        <f>+V47-V50</f>
        <v>0</v>
      </c>
      <c r="W52" s="74"/>
      <c r="X52" s="74"/>
      <c r="Y52" s="74">
        <f>+Y47-Y50</f>
        <v>0</v>
      </c>
      <c r="Z52" s="74"/>
      <c r="AA52" s="74"/>
      <c r="AB52" s="74">
        <f>+AB47-AB50</f>
        <v>0</v>
      </c>
      <c r="AC52" s="74"/>
      <c r="AD52" s="74"/>
      <c r="AE52" s="74">
        <f>+AE47-AE50</f>
        <v>0</v>
      </c>
      <c r="AF52" s="74"/>
      <c r="AG52" s="74"/>
      <c r="AH52" s="74">
        <f>+AH47-AH50</f>
        <v>0</v>
      </c>
      <c r="AI52" s="74"/>
      <c r="AJ52" s="74"/>
      <c r="AK52" s="74">
        <f>+AK47-AK50</f>
        <v>0</v>
      </c>
      <c r="AL52" s="74"/>
      <c r="AM52" s="74"/>
      <c r="AN52" s="74">
        <f>+AN47-AN50</f>
        <v>0</v>
      </c>
      <c r="AO52" s="74"/>
      <c r="AP52" s="74"/>
      <c r="AQ52" s="74">
        <f>+AQ47-AQ50</f>
        <v>0</v>
      </c>
      <c r="AR52" s="74"/>
      <c r="AS52" s="74"/>
      <c r="AT52" s="74">
        <f>+AT47-AT50</f>
        <v>0</v>
      </c>
      <c r="AU52" s="74"/>
      <c r="AV52" s="74"/>
      <c r="AW52" s="74">
        <f>+AW47-AW50</f>
        <v>0</v>
      </c>
      <c r="AX52" s="74"/>
      <c r="AY52" s="74"/>
    </row>
    <row r="53" spans="1:51">
      <c r="A53" s="286">
        <v>45</v>
      </c>
      <c r="B53" s="74"/>
      <c r="C53" s="74"/>
      <c r="D53" s="74"/>
      <c r="E53" s="74"/>
      <c r="F53" s="74" t="s">
        <v>1894</v>
      </c>
      <c r="G53" s="74"/>
      <c r="H53" s="74"/>
      <c r="I53" s="74"/>
      <c r="J53" s="74">
        <f>+J48-J51</f>
        <v>0</v>
      </c>
      <c r="K53" s="74"/>
      <c r="L53" s="74"/>
      <c r="M53" s="74">
        <f>+M48-M51</f>
        <v>0</v>
      </c>
      <c r="N53" s="74"/>
      <c r="O53" s="74"/>
      <c r="P53" s="74">
        <f>+P48-P51</f>
        <v>0</v>
      </c>
      <c r="Q53" s="74"/>
      <c r="R53" s="74"/>
      <c r="S53" s="74">
        <f>+S48-S51</f>
        <v>0</v>
      </c>
      <c r="T53" s="74"/>
      <c r="U53" s="74"/>
      <c r="V53" s="74">
        <f>+V48-V51</f>
        <v>0</v>
      </c>
      <c r="W53" s="74"/>
      <c r="X53" s="74"/>
      <c r="Y53" s="74">
        <f>+Y48-Y51</f>
        <v>0</v>
      </c>
      <c r="Z53" s="74"/>
      <c r="AA53" s="74"/>
      <c r="AB53" s="74">
        <f>+AB48-AB51</f>
        <v>0</v>
      </c>
      <c r="AC53" s="74"/>
      <c r="AD53" s="74"/>
      <c r="AE53" s="74">
        <f>+AE48-AE51</f>
        <v>0</v>
      </c>
      <c r="AF53" s="74"/>
      <c r="AG53" s="74"/>
      <c r="AH53" s="74">
        <f>+AH48-AH51</f>
        <v>0</v>
      </c>
      <c r="AI53" s="74"/>
      <c r="AJ53" s="74"/>
      <c r="AK53" s="74">
        <f>+AK48-AK51</f>
        <v>0</v>
      </c>
      <c r="AL53" s="74"/>
      <c r="AM53" s="74"/>
      <c r="AN53" s="74">
        <f>+AN48-AN51</f>
        <v>0</v>
      </c>
      <c r="AO53" s="74"/>
      <c r="AP53" s="74"/>
      <c r="AQ53" s="74">
        <f>+AQ48-AQ51</f>
        <v>0</v>
      </c>
      <c r="AR53" s="74"/>
      <c r="AS53" s="74"/>
      <c r="AT53" s="74">
        <f>+AT48-AT51</f>
        <v>0</v>
      </c>
      <c r="AU53" s="74"/>
      <c r="AV53" s="74"/>
      <c r="AW53" s="74">
        <f>+AW48-AW51</f>
        <v>0</v>
      </c>
      <c r="AX53" s="74"/>
      <c r="AY53" s="74"/>
    </row>
    <row r="54" spans="1:51">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row>
    <row r="55" spans="1:51">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row>
    <row r="56" spans="1:51">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row>
    <row r="57" spans="1:51">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row>
    <row r="58" spans="1:51">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row>
    <row r="59" spans="1:51">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row>
    <row r="60" spans="1:51">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row>
    <row r="61" spans="1:51">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row>
  </sheetData>
  <mergeCells count="35">
    <mergeCell ref="AX24:BD25"/>
    <mergeCell ref="R1:U1"/>
    <mergeCell ref="R2:U2"/>
    <mergeCell ref="R3:U3"/>
    <mergeCell ref="R4:U4"/>
    <mergeCell ref="R5:U5"/>
    <mergeCell ref="AB1:AE1"/>
    <mergeCell ref="AB2:AE2"/>
    <mergeCell ref="AB3:AE3"/>
    <mergeCell ref="AB4:AE4"/>
    <mergeCell ref="AB5:AE5"/>
    <mergeCell ref="AK1:AO1"/>
    <mergeCell ref="AK2:AO2"/>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F13:I13"/>
    <mergeCell ref="E1:K1"/>
    <mergeCell ref="F2:J2"/>
    <mergeCell ref="AK3:AO3"/>
    <mergeCell ref="AK4:AO4"/>
    <mergeCell ref="AK5:AO5"/>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0" workbookViewId="0">
      <selection activeCell="G35" sqref="G35"/>
    </sheetView>
  </sheetViews>
  <sheetFormatPr defaultColWidth="9.140625" defaultRowHeight="15.75"/>
  <cols>
    <col min="1" max="1" width="1.42578125" style="5" bestFit="1" customWidth="1"/>
    <col min="2" max="2" width="4.85546875" style="5" bestFit="1" customWidth="1"/>
    <col min="3" max="3" width="9.140625" style="5"/>
    <col min="4" max="4" width="54.140625" style="5" bestFit="1" customWidth="1"/>
    <col min="5" max="5" width="16.85546875" style="5" bestFit="1" customWidth="1"/>
    <col min="6" max="16384" width="9.140625" style="5"/>
  </cols>
  <sheetData>
    <row r="1" spans="2:8">
      <c r="D1" s="4"/>
      <c r="E1" s="4"/>
      <c r="F1" s="4"/>
      <c r="G1" s="4"/>
      <c r="H1" s="4"/>
    </row>
    <row r="2" spans="2:8">
      <c r="C2" s="1287" t="s">
        <v>56</v>
      </c>
      <c r="D2" s="1287"/>
      <c r="E2" s="1287"/>
      <c r="F2" s="4"/>
      <c r="G2" s="4"/>
      <c r="H2" s="4"/>
    </row>
    <row r="3" spans="2:8">
      <c r="C3" s="1287" t="s">
        <v>1609</v>
      </c>
      <c r="D3" s="1287"/>
      <c r="E3" s="1287"/>
      <c r="F3" s="4"/>
      <c r="G3" s="4"/>
      <c r="H3" s="4"/>
    </row>
    <row r="4" spans="2:8">
      <c r="C4" s="1287"/>
      <c r="D4" s="1287"/>
      <c r="E4" s="1287"/>
      <c r="F4" s="4"/>
      <c r="G4" s="4"/>
      <c r="H4" s="4"/>
    </row>
    <row r="5" spans="2:8">
      <c r="C5" s="1287" t="s">
        <v>1602</v>
      </c>
      <c r="D5" s="1287"/>
      <c r="E5" s="1287"/>
      <c r="F5" s="4"/>
      <c r="G5" s="4"/>
      <c r="H5" s="4"/>
    </row>
    <row r="6" spans="2:8">
      <c r="C6" s="1287" t="s">
        <v>980</v>
      </c>
      <c r="D6" s="1287"/>
      <c r="E6" s="1287"/>
      <c r="F6" s="4"/>
      <c r="G6" s="4"/>
      <c r="H6" s="4"/>
    </row>
    <row r="9" spans="2:8">
      <c r="B9" s="456"/>
      <c r="C9" s="457"/>
      <c r="D9" s="458" t="s">
        <v>56</v>
      </c>
      <c r="E9" s="459"/>
    </row>
    <row r="10" spans="2:8">
      <c r="B10" s="460"/>
      <c r="C10" s="13"/>
      <c r="D10" s="461" t="s">
        <v>1602</v>
      </c>
      <c r="E10" s="462"/>
    </row>
    <row r="11" spans="2:8">
      <c r="B11" s="463"/>
      <c r="C11" s="464"/>
      <c r="D11" s="465" t="s">
        <v>374</v>
      </c>
      <c r="E11" s="466"/>
    </row>
    <row r="12" spans="2:8">
      <c r="B12" s="467"/>
      <c r="C12" s="13"/>
      <c r="D12" s="13"/>
      <c r="E12" s="467"/>
    </row>
    <row r="13" spans="2:8">
      <c r="B13" s="468" t="s">
        <v>375</v>
      </c>
      <c r="C13" s="12"/>
      <c r="D13" s="12"/>
      <c r="E13" s="468" t="s">
        <v>54</v>
      </c>
    </row>
    <row r="14" spans="2:8">
      <c r="B14" s="469" t="s">
        <v>376</v>
      </c>
      <c r="C14" s="465"/>
      <c r="D14" s="465" t="s">
        <v>377</v>
      </c>
      <c r="E14" s="469" t="s">
        <v>374</v>
      </c>
    </row>
    <row r="15" spans="2:8">
      <c r="B15" s="470"/>
      <c r="C15" s="471"/>
      <c r="D15" s="471" t="s">
        <v>111</v>
      </c>
      <c r="E15" s="470" t="s">
        <v>112</v>
      </c>
    </row>
    <row r="16" spans="2:8">
      <c r="B16" s="472"/>
      <c r="C16" s="13"/>
      <c r="D16" s="13"/>
      <c r="E16" s="472"/>
    </row>
    <row r="17" spans="1:7">
      <c r="B17" s="468">
        <v>1</v>
      </c>
      <c r="C17" s="13"/>
      <c r="D17" s="13" t="s">
        <v>378</v>
      </c>
      <c r="E17" s="473">
        <f>-'Working Capital Work Paper'!U342</f>
        <v>401629941.89166671</v>
      </c>
      <c r="G17" s="13"/>
    </row>
    <row r="18" spans="1:7">
      <c r="B18" s="468"/>
      <c r="C18" s="13"/>
      <c r="D18" s="13"/>
      <c r="E18" s="474"/>
    </row>
    <row r="19" spans="1:7">
      <c r="B19" s="468">
        <v>2</v>
      </c>
      <c r="C19" s="13"/>
      <c r="D19" s="13" t="s">
        <v>379</v>
      </c>
      <c r="E19" s="475">
        <f>+'Working Capital Work Paper'!V342</f>
        <v>333641208.78666663</v>
      </c>
    </row>
    <row r="20" spans="1:7">
      <c r="B20" s="468">
        <v>3</v>
      </c>
      <c r="C20" s="13"/>
      <c r="D20" s="13" t="s">
        <v>380</v>
      </c>
      <c r="E20" s="475">
        <f>+'Working Capital Work Paper'!W342</f>
        <v>31260829.359166674</v>
      </c>
    </row>
    <row r="21" spans="1:7">
      <c r="B21" s="468">
        <v>4</v>
      </c>
      <c r="C21" s="13"/>
      <c r="D21" s="13" t="s">
        <v>381</v>
      </c>
      <c r="E21" s="476">
        <f>+E19+E20</f>
        <v>364902038.14583331</v>
      </c>
    </row>
    <row r="22" spans="1:7">
      <c r="B22" s="468"/>
      <c r="C22" s="13"/>
      <c r="D22" s="13"/>
      <c r="E22" s="474"/>
    </row>
    <row r="23" spans="1:7" ht="16.5" thickBot="1">
      <c r="B23" s="468">
        <v>5</v>
      </c>
      <c r="C23" s="13"/>
      <c r="D23" s="13" t="s">
        <v>382</v>
      </c>
      <c r="E23" s="477">
        <f>+E17-E21</f>
        <v>36727903.745833397</v>
      </c>
    </row>
    <row r="24" spans="1:7" ht="16.5" thickTop="1">
      <c r="B24" s="468"/>
      <c r="C24" s="13"/>
      <c r="D24" s="13"/>
      <c r="E24" s="472"/>
    </row>
    <row r="25" spans="1:7" ht="16.5" thickBot="1">
      <c r="B25" s="468">
        <v>6</v>
      </c>
      <c r="C25" s="13"/>
      <c r="D25" s="13" t="s">
        <v>383</v>
      </c>
      <c r="E25" s="478">
        <f>+E23/E21</f>
        <v>0.1006514075187354</v>
      </c>
    </row>
    <row r="26" spans="1:7" ht="16.5" thickTop="1">
      <c r="B26" s="469"/>
      <c r="C26" s="464"/>
      <c r="D26" s="464"/>
      <c r="E26" s="479"/>
    </row>
    <row r="27" spans="1:7">
      <c r="B27" s="480"/>
      <c r="C27" s="13"/>
      <c r="D27" s="12" t="s">
        <v>56</v>
      </c>
      <c r="E27" s="462"/>
    </row>
    <row r="28" spans="1:7">
      <c r="B28" s="480"/>
      <c r="C28" s="13"/>
      <c r="D28" s="461" t="s">
        <v>1602</v>
      </c>
      <c r="E28" s="462"/>
    </row>
    <row r="29" spans="1:7">
      <c r="B29" s="481"/>
      <c r="C29" s="464"/>
      <c r="D29" s="465" t="s">
        <v>384</v>
      </c>
      <c r="E29" s="466"/>
    </row>
    <row r="30" spans="1:7">
      <c r="A30" s="5" t="s">
        <v>52</v>
      </c>
      <c r="B30" s="482"/>
      <c r="C30" s="13"/>
      <c r="D30" s="13"/>
      <c r="E30" s="467"/>
    </row>
    <row r="31" spans="1:7">
      <c r="B31" s="468" t="s">
        <v>375</v>
      </c>
      <c r="C31" s="12"/>
      <c r="D31" s="12"/>
      <c r="E31" s="468"/>
    </row>
    <row r="32" spans="1:7">
      <c r="B32" s="469" t="s">
        <v>376</v>
      </c>
      <c r="C32" s="465"/>
      <c r="D32" s="465" t="s">
        <v>377</v>
      </c>
      <c r="E32" s="469" t="s">
        <v>385</v>
      </c>
    </row>
    <row r="33" spans="2:5">
      <c r="B33" s="470"/>
      <c r="C33" s="471"/>
      <c r="D33" s="471" t="s">
        <v>111</v>
      </c>
      <c r="E33" s="470" t="s">
        <v>112</v>
      </c>
    </row>
    <row r="34" spans="2:5">
      <c r="B34" s="468"/>
      <c r="C34" s="13"/>
      <c r="D34" s="13"/>
      <c r="E34" s="472"/>
    </row>
    <row r="35" spans="2:5">
      <c r="B35" s="468">
        <v>7</v>
      </c>
      <c r="C35" s="13"/>
      <c r="D35" s="13" t="s">
        <v>386</v>
      </c>
      <c r="E35" s="474">
        <f>+'Rate Base'!D13</f>
        <v>677314165.18981874</v>
      </c>
    </row>
    <row r="36" spans="2:5">
      <c r="B36" s="468">
        <v>8</v>
      </c>
      <c r="C36" s="13"/>
      <c r="D36" s="15" t="s">
        <v>387</v>
      </c>
      <c r="E36" s="474">
        <f>+'Rate Base'!D14</f>
        <v>-345424354.83661753</v>
      </c>
    </row>
    <row r="37" spans="2:5">
      <c r="B37" s="468">
        <v>9</v>
      </c>
      <c r="C37" s="13"/>
      <c r="D37" s="15" t="s">
        <v>370</v>
      </c>
      <c r="E37" s="474">
        <f>+'Rate Base'!D16</f>
        <v>-3771590.387083333</v>
      </c>
    </row>
    <row r="38" spans="2:5">
      <c r="B38" s="468">
        <v>10</v>
      </c>
      <c r="C38" s="13"/>
      <c r="D38" s="15" t="s">
        <v>388</v>
      </c>
      <c r="E38" s="483">
        <f>+'Rate Base'!D17</f>
        <v>-73667038.139583334</v>
      </c>
    </row>
    <row r="39" spans="2:5">
      <c r="B39" s="468"/>
      <c r="C39" s="13"/>
      <c r="D39" s="15"/>
      <c r="E39" s="474"/>
    </row>
    <row r="40" spans="2:5">
      <c r="B40" s="468">
        <v>11</v>
      </c>
      <c r="C40" s="13"/>
      <c r="D40" s="15" t="s">
        <v>389</v>
      </c>
      <c r="E40" s="474">
        <f>SUM(E35:E38)</f>
        <v>254451181.82653451</v>
      </c>
    </row>
    <row r="41" spans="2:5">
      <c r="B41" s="468"/>
      <c r="C41" s="13"/>
      <c r="D41" s="15"/>
      <c r="E41" s="474"/>
    </row>
    <row r="42" spans="2:5">
      <c r="B42" s="468">
        <v>12</v>
      </c>
      <c r="C42" s="13"/>
      <c r="D42" s="15" t="s">
        <v>1873</v>
      </c>
      <c r="E42" s="484">
        <f>+E25</f>
        <v>0.1006514075187354</v>
      </c>
    </row>
    <row r="43" spans="2:5">
      <c r="B43" s="468"/>
      <c r="C43" s="13"/>
      <c r="D43" s="15"/>
      <c r="E43" s="474"/>
    </row>
    <row r="44" spans="2:5" ht="16.5" thickBot="1">
      <c r="B44" s="468">
        <v>13</v>
      </c>
      <c r="C44" s="13"/>
      <c r="D44" s="15" t="s">
        <v>1874</v>
      </c>
      <c r="E44" s="485">
        <f>+E40*E42</f>
        <v>25610869.595646363</v>
      </c>
    </row>
    <row r="45" spans="2:5" ht="16.5" thickTop="1">
      <c r="B45" s="469"/>
      <c r="C45" s="464"/>
      <c r="D45" s="486"/>
      <c r="E45" s="483"/>
    </row>
    <row r="46" spans="2:5">
      <c r="B46" s="7"/>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view="pageBreakPreview" zoomScaleNormal="75" zoomScaleSheetLayoutView="100" workbookViewId="0">
      <selection activeCell="H3" sqref="H3:P3"/>
    </sheetView>
  </sheetViews>
  <sheetFormatPr defaultColWidth="17.85546875" defaultRowHeight="12.75"/>
  <cols>
    <col min="1" max="1" width="7.85546875" style="956" bestFit="1" customWidth="1"/>
    <col min="2" max="2" width="17.7109375" style="855" customWidth="1"/>
    <col min="3" max="3" width="11.28515625" style="855" bestFit="1" customWidth="1"/>
    <col min="4" max="4" width="8.7109375" style="855" customWidth="1"/>
    <col min="5" max="5" width="10.42578125" style="855" customWidth="1"/>
    <col min="6" max="6" width="22.42578125" style="855" customWidth="1"/>
    <col min="7" max="7" width="15.140625" style="855" customWidth="1"/>
    <col min="8" max="9" width="15.42578125" style="855" bestFit="1" customWidth="1"/>
    <col min="10" max="10" width="8.28515625" style="855" bestFit="1" customWidth="1"/>
    <col min="11" max="11" width="15.5703125" style="855" bestFit="1" customWidth="1"/>
    <col min="12" max="13" width="11.7109375" style="855" bestFit="1" customWidth="1"/>
    <col min="14" max="14" width="12.28515625" style="855" bestFit="1" customWidth="1"/>
    <col min="15" max="15" width="10.85546875" style="855" bestFit="1" customWidth="1"/>
    <col min="16" max="16" width="12" style="855" bestFit="1" customWidth="1"/>
    <col min="17" max="17" width="10.42578125" style="855" bestFit="1" customWidth="1"/>
    <col min="18" max="18" width="13.42578125" style="855" customWidth="1"/>
    <col min="19" max="19" width="15.140625" style="855" customWidth="1"/>
    <col min="20" max="20" width="26.5703125" style="855" customWidth="1"/>
    <col min="21" max="16384" width="17.85546875" style="855"/>
  </cols>
  <sheetData>
    <row r="1" spans="1:20" ht="15.75">
      <c r="H1" s="1287" t="s">
        <v>56</v>
      </c>
      <c r="I1" s="1287"/>
      <c r="J1" s="1287"/>
      <c r="K1" s="1287"/>
      <c r="L1" s="1287"/>
      <c r="M1" s="1287"/>
      <c r="N1" s="1287"/>
      <c r="O1" s="1287"/>
      <c r="P1" s="1287"/>
    </row>
    <row r="2" spans="1:20" ht="15.75">
      <c r="H2" s="1287" t="s">
        <v>1609</v>
      </c>
      <c r="I2" s="1287"/>
      <c r="J2" s="1287"/>
      <c r="K2" s="1287"/>
      <c r="L2" s="1287"/>
      <c r="M2" s="1287"/>
      <c r="N2" s="1287"/>
      <c r="O2" s="1287"/>
      <c r="P2" s="1287"/>
    </row>
    <row r="3" spans="1:20" ht="15.75">
      <c r="B3" s="934"/>
      <c r="H3" s="1287"/>
      <c r="I3" s="1287"/>
      <c r="J3" s="1287"/>
      <c r="K3" s="1287"/>
      <c r="L3" s="1287"/>
      <c r="M3" s="1287"/>
      <c r="N3" s="1287"/>
      <c r="O3" s="1287"/>
      <c r="P3" s="1287"/>
    </row>
    <row r="4" spans="1:20" ht="15.75">
      <c r="H4" s="1287" t="s">
        <v>2043</v>
      </c>
      <c r="I4" s="1287"/>
      <c r="J4" s="1287"/>
      <c r="K4" s="1287"/>
      <c r="L4" s="1287"/>
      <c r="M4" s="1287"/>
      <c r="N4" s="1287"/>
      <c r="O4" s="1287"/>
      <c r="P4" s="1287"/>
    </row>
    <row r="5" spans="1:20" ht="15.75">
      <c r="B5" s="933"/>
      <c r="H5" s="1287" t="s">
        <v>980</v>
      </c>
      <c r="I5" s="1287"/>
      <c r="J5" s="1287"/>
      <c r="K5" s="1287"/>
      <c r="L5" s="1287"/>
      <c r="M5" s="1287"/>
      <c r="N5" s="1287"/>
      <c r="O5" s="1287"/>
      <c r="P5" s="1287"/>
    </row>
    <row r="6" spans="1:20" s="956" customFormat="1" ht="15.75">
      <c r="B6" s="957" t="s">
        <v>1623</v>
      </c>
      <c r="C6" s="956" t="s">
        <v>1621</v>
      </c>
      <c r="D6" s="956" t="s">
        <v>1622</v>
      </c>
      <c r="E6" s="956" t="s">
        <v>1625</v>
      </c>
      <c r="F6" s="956" t="s">
        <v>1626</v>
      </c>
      <c r="G6" s="956" t="s">
        <v>1635</v>
      </c>
      <c r="H6" s="958" t="s">
        <v>1636</v>
      </c>
      <c r="I6" s="958" t="s">
        <v>1637</v>
      </c>
      <c r="J6" s="958" t="s">
        <v>1638</v>
      </c>
      <c r="K6" s="958" t="s">
        <v>1639</v>
      </c>
      <c r="L6" s="958" t="s">
        <v>1640</v>
      </c>
      <c r="M6" s="958" t="s">
        <v>1641</v>
      </c>
      <c r="N6" s="958" t="s">
        <v>1642</v>
      </c>
      <c r="O6" s="958" t="s">
        <v>1643</v>
      </c>
      <c r="P6" s="958" t="s">
        <v>1644</v>
      </c>
      <c r="Q6" s="956" t="s">
        <v>1918</v>
      </c>
      <c r="R6" s="956" t="s">
        <v>1919</v>
      </c>
      <c r="S6" s="956" t="s">
        <v>1920</v>
      </c>
      <c r="T6" s="956" t="s">
        <v>1921</v>
      </c>
    </row>
    <row r="7" spans="1:20" ht="15.75" thickBot="1">
      <c r="B7" s="933" t="s">
        <v>2008</v>
      </c>
    </row>
    <row r="8" spans="1:20">
      <c r="A8" s="956" t="s">
        <v>886</v>
      </c>
      <c r="B8" s="932"/>
      <c r="C8" s="931"/>
      <c r="D8" s="931"/>
      <c r="E8" s="930"/>
      <c r="F8" s="926"/>
      <c r="G8" s="926"/>
      <c r="H8" s="929"/>
      <c r="I8" s="929"/>
      <c r="J8" s="928"/>
      <c r="K8" s="927"/>
      <c r="L8" s="926"/>
      <c r="M8" s="926"/>
      <c r="N8" s="925"/>
      <c r="O8" s="927"/>
      <c r="P8" s="926"/>
      <c r="Q8" s="925"/>
      <c r="R8" s="927"/>
      <c r="S8" s="926"/>
      <c r="T8" s="925"/>
    </row>
    <row r="9" spans="1:20">
      <c r="A9" s="956">
        <v>1</v>
      </c>
      <c r="B9" s="924" t="s">
        <v>56</v>
      </c>
      <c r="C9" s="920"/>
      <c r="D9" s="920"/>
      <c r="E9" s="919"/>
      <c r="F9" s="923" t="s">
        <v>56</v>
      </c>
      <c r="G9" s="914"/>
      <c r="H9" s="917"/>
      <c r="I9" s="917"/>
      <c r="J9" s="916"/>
      <c r="K9" s="922" t="s">
        <v>56</v>
      </c>
      <c r="L9" s="914"/>
      <c r="M9" s="914"/>
      <c r="N9" s="913"/>
      <c r="O9" s="922" t="s">
        <v>56</v>
      </c>
      <c r="P9" s="914"/>
      <c r="Q9" s="913"/>
      <c r="R9" s="922" t="s">
        <v>56</v>
      </c>
      <c r="S9" s="914"/>
      <c r="T9" s="913"/>
    </row>
    <row r="10" spans="1:20" ht="14.25">
      <c r="A10" s="956">
        <v>2</v>
      </c>
      <c r="B10" s="924" t="s">
        <v>2007</v>
      </c>
      <c r="C10" s="920"/>
      <c r="D10" s="920"/>
      <c r="E10" s="919"/>
      <c r="F10" s="923" t="s">
        <v>2006</v>
      </c>
      <c r="G10" s="914"/>
      <c r="H10" s="917"/>
      <c r="I10" s="917"/>
      <c r="J10" s="916"/>
      <c r="K10" s="922" t="s">
        <v>2005</v>
      </c>
      <c r="L10" s="914"/>
      <c r="M10" s="914"/>
      <c r="N10" s="913"/>
      <c r="O10" s="922" t="s">
        <v>2004</v>
      </c>
      <c r="P10" s="914"/>
      <c r="Q10" s="913"/>
      <c r="R10" s="922" t="s">
        <v>118</v>
      </c>
      <c r="S10" s="914"/>
      <c r="T10" s="913"/>
    </row>
    <row r="11" spans="1:20">
      <c r="A11" s="956">
        <v>3</v>
      </c>
      <c r="B11" s="921">
        <v>2015</v>
      </c>
      <c r="C11" s="920"/>
      <c r="D11" s="920"/>
      <c r="E11" s="919"/>
      <c r="F11" s="918">
        <f>+B11</f>
        <v>2015</v>
      </c>
      <c r="G11" s="914"/>
      <c r="H11" s="917"/>
      <c r="I11" s="917"/>
      <c r="J11" s="916"/>
      <c r="K11" s="915">
        <f>+B11</f>
        <v>2015</v>
      </c>
      <c r="L11" s="914"/>
      <c r="M11" s="914"/>
      <c r="N11" s="913"/>
      <c r="O11" s="915">
        <f>B11</f>
        <v>2015</v>
      </c>
      <c r="P11" s="914"/>
      <c r="Q11" s="913"/>
      <c r="R11" s="915">
        <f>B11</f>
        <v>2015</v>
      </c>
      <c r="S11" s="914"/>
      <c r="T11" s="913"/>
    </row>
    <row r="12" spans="1:20">
      <c r="B12" s="874"/>
      <c r="C12" s="873"/>
      <c r="D12" s="873"/>
      <c r="E12" s="872"/>
      <c r="F12" s="869"/>
      <c r="G12" s="869"/>
      <c r="H12" s="884"/>
      <c r="I12" s="884"/>
      <c r="J12" s="883"/>
      <c r="K12" s="870"/>
      <c r="L12" s="869"/>
      <c r="M12" s="869"/>
      <c r="N12" s="868"/>
      <c r="O12" s="870"/>
      <c r="P12" s="869"/>
      <c r="Q12" s="868"/>
      <c r="R12" s="870"/>
      <c r="S12" s="869"/>
      <c r="T12" s="868"/>
    </row>
    <row r="13" spans="1:20">
      <c r="A13" s="956">
        <v>4</v>
      </c>
      <c r="B13" s="874"/>
      <c r="C13" s="873"/>
      <c r="D13" s="873"/>
      <c r="E13" s="872"/>
      <c r="F13" s="871" t="s">
        <v>2003</v>
      </c>
      <c r="G13" s="869"/>
      <c r="H13" s="909" t="s">
        <v>385</v>
      </c>
      <c r="I13" s="909" t="s">
        <v>1013</v>
      </c>
      <c r="J13" s="883"/>
      <c r="K13" s="870"/>
      <c r="L13" s="869"/>
      <c r="M13" s="869"/>
      <c r="N13" s="868"/>
      <c r="O13" s="870"/>
      <c r="P13" s="869"/>
      <c r="Q13" s="868"/>
      <c r="R13" s="870"/>
      <c r="S13" s="869"/>
      <c r="T13" s="868"/>
    </row>
    <row r="14" spans="1:20">
      <c r="A14" s="956">
        <v>5</v>
      </c>
      <c r="B14" s="874"/>
      <c r="C14" s="912" t="s">
        <v>385</v>
      </c>
      <c r="D14" s="912" t="s">
        <v>1013</v>
      </c>
      <c r="E14" s="911" t="s">
        <v>54</v>
      </c>
      <c r="F14" s="869"/>
      <c r="G14" s="910"/>
      <c r="H14" s="909" t="s">
        <v>1184</v>
      </c>
      <c r="I14" s="909" t="s">
        <v>1184</v>
      </c>
      <c r="J14" s="883"/>
      <c r="K14" s="870"/>
      <c r="L14" s="869"/>
      <c r="M14" s="869"/>
      <c r="N14" s="868"/>
      <c r="O14" s="870"/>
      <c r="P14" s="904" t="s">
        <v>2002</v>
      </c>
      <c r="Q14" s="906"/>
      <c r="R14" s="891" t="s">
        <v>2001</v>
      </c>
      <c r="S14" s="869"/>
      <c r="T14" s="868"/>
    </row>
    <row r="15" spans="1:20">
      <c r="A15" s="956">
        <v>6</v>
      </c>
      <c r="B15" s="874"/>
      <c r="C15" s="882"/>
      <c r="D15" s="882"/>
      <c r="E15" s="881"/>
      <c r="F15" s="869"/>
      <c r="G15" s="902" t="s">
        <v>2000</v>
      </c>
      <c r="H15" s="908" t="s">
        <v>1999</v>
      </c>
      <c r="I15" s="908" t="s">
        <v>1999</v>
      </c>
      <c r="J15" s="883"/>
      <c r="K15" s="870"/>
      <c r="L15" s="904" t="s">
        <v>385</v>
      </c>
      <c r="M15" s="904" t="s">
        <v>1013</v>
      </c>
      <c r="N15" s="906"/>
      <c r="O15" s="870"/>
      <c r="P15" s="902" t="s">
        <v>1998</v>
      </c>
      <c r="Q15" s="901" t="s">
        <v>1991</v>
      </c>
      <c r="R15" s="870"/>
      <c r="S15" s="869"/>
      <c r="T15" s="868"/>
    </row>
    <row r="16" spans="1:20">
      <c r="A16" s="956">
        <v>7</v>
      </c>
      <c r="B16" s="888" t="s">
        <v>1997</v>
      </c>
      <c r="C16" s="886">
        <f>Q17</f>
        <v>0.74880000000000002</v>
      </c>
      <c r="D16" s="886">
        <f>E16-C16</f>
        <v>0.25119999999999998</v>
      </c>
      <c r="E16" s="885">
        <v>1</v>
      </c>
      <c r="F16" s="869"/>
      <c r="G16" s="876"/>
      <c r="H16" s="890"/>
      <c r="I16" s="890"/>
      <c r="J16" s="883"/>
      <c r="K16" s="870"/>
      <c r="L16" s="902" t="s">
        <v>1996</v>
      </c>
      <c r="M16" s="902" t="s">
        <v>1996</v>
      </c>
      <c r="N16" s="901" t="s">
        <v>54</v>
      </c>
      <c r="O16" s="870"/>
      <c r="P16" s="876"/>
      <c r="Q16" s="875"/>
      <c r="R16" s="870"/>
      <c r="S16" s="869"/>
      <c r="T16" s="868"/>
    </row>
    <row r="17" spans="1:21">
      <c r="A17" s="956">
        <v>8</v>
      </c>
      <c r="B17" s="888" t="s">
        <v>1995</v>
      </c>
      <c r="C17" s="886">
        <f>H39</f>
        <v>0.73719999999999997</v>
      </c>
      <c r="D17" s="886">
        <f>E17-C17</f>
        <v>0.26280000000000003</v>
      </c>
      <c r="E17" s="885">
        <v>1</v>
      </c>
      <c r="F17" s="869"/>
      <c r="G17" s="893">
        <v>42004</v>
      </c>
      <c r="H17" s="897">
        <v>169</v>
      </c>
      <c r="I17" s="897">
        <v>55</v>
      </c>
      <c r="J17" s="883"/>
      <c r="K17" s="870"/>
      <c r="L17" s="876"/>
      <c r="M17" s="876"/>
      <c r="N17" s="875"/>
      <c r="O17" s="891" t="s">
        <v>385</v>
      </c>
      <c r="P17" s="897">
        <f>+P62</f>
        <v>204867.66666666666</v>
      </c>
      <c r="Q17" s="899">
        <f>ROUND(P17/P21,4)</f>
        <v>0.74880000000000002</v>
      </c>
      <c r="R17" s="870"/>
      <c r="S17" s="907">
        <f>R11</f>
        <v>2015</v>
      </c>
      <c r="T17" s="906"/>
    </row>
    <row r="18" spans="1:21">
      <c r="A18" s="956">
        <v>9</v>
      </c>
      <c r="B18" s="888" t="s">
        <v>1994</v>
      </c>
      <c r="C18" s="895">
        <f>L25</f>
        <v>0.77239999999999998</v>
      </c>
      <c r="D18" s="895">
        <f>E18-C18</f>
        <v>0.22760000000000002</v>
      </c>
      <c r="E18" s="894">
        <v>1</v>
      </c>
      <c r="F18" s="869"/>
      <c r="G18" s="893">
        <f>G17+30</f>
        <v>42034</v>
      </c>
      <c r="H18" s="897">
        <v>169</v>
      </c>
      <c r="I18" s="897">
        <v>60</v>
      </c>
      <c r="J18" s="883"/>
      <c r="K18" s="891" t="s">
        <v>1993</v>
      </c>
      <c r="L18" s="856">
        <v>632616854</v>
      </c>
      <c r="M18" s="856">
        <v>186360173</v>
      </c>
      <c r="N18" s="905">
        <f>SUM(L18:M18)</f>
        <v>818977027</v>
      </c>
      <c r="O18" s="891" t="s">
        <v>1013</v>
      </c>
      <c r="P18" s="892">
        <f>+Q62</f>
        <v>68732.416666666672</v>
      </c>
      <c r="Q18" s="877">
        <f>Q21-Q17</f>
        <v>0.25119999999999998</v>
      </c>
      <c r="R18" s="870"/>
      <c r="S18" s="904" t="s">
        <v>1970</v>
      </c>
      <c r="T18" s="903" t="s">
        <v>969</v>
      </c>
    </row>
    <row r="19" spans="1:21">
      <c r="A19" s="956">
        <v>10</v>
      </c>
      <c r="B19" s="874"/>
      <c r="C19" s="882"/>
      <c r="D19" s="882"/>
      <c r="E19" s="881"/>
      <c r="F19" s="869"/>
      <c r="G19" s="893">
        <f>G18+28</f>
        <v>42062</v>
      </c>
      <c r="H19" s="897">
        <v>168</v>
      </c>
      <c r="I19" s="897">
        <v>60</v>
      </c>
      <c r="J19" s="883"/>
      <c r="K19" s="870"/>
      <c r="L19" s="884"/>
      <c r="M19" s="884"/>
      <c r="N19" s="883"/>
      <c r="O19" s="870"/>
      <c r="P19" s="890"/>
      <c r="Q19" s="875"/>
      <c r="R19" s="870"/>
      <c r="S19" s="902" t="s">
        <v>37</v>
      </c>
      <c r="T19" s="901" t="s">
        <v>1992</v>
      </c>
    </row>
    <row r="20" spans="1:21">
      <c r="A20" s="956">
        <v>11</v>
      </c>
      <c r="B20" s="874"/>
      <c r="C20" s="873"/>
      <c r="D20" s="873"/>
      <c r="E20" s="872"/>
      <c r="F20" s="869"/>
      <c r="G20" s="893">
        <f t="shared" ref="G20:G29" si="0">G19+30</f>
        <v>42092</v>
      </c>
      <c r="H20" s="897">
        <v>170</v>
      </c>
      <c r="I20" s="897">
        <v>57</v>
      </c>
      <c r="J20" s="883"/>
      <c r="K20" s="870"/>
      <c r="L20" s="890"/>
      <c r="M20" s="890"/>
      <c r="N20" s="900"/>
      <c r="O20" s="870"/>
      <c r="P20" s="884"/>
      <c r="Q20" s="868"/>
      <c r="R20" s="870"/>
      <c r="S20" s="890"/>
      <c r="T20" s="903"/>
    </row>
    <row r="21" spans="1:21">
      <c r="A21" s="956">
        <v>12</v>
      </c>
      <c r="B21" s="937" t="s">
        <v>116</v>
      </c>
      <c r="C21" s="938">
        <f>AVERAGE(C16:C18)</f>
        <v>0.75280000000000002</v>
      </c>
      <c r="D21" s="938">
        <f>AVERAGE(D16:D18)</f>
        <v>0.2472</v>
      </c>
      <c r="E21" s="939">
        <f>AVERAGE(E16:E18)</f>
        <v>1</v>
      </c>
      <c r="F21" s="869"/>
      <c r="G21" s="893">
        <f t="shared" si="0"/>
        <v>42122</v>
      </c>
      <c r="H21" s="897">
        <v>173</v>
      </c>
      <c r="I21" s="897">
        <v>61</v>
      </c>
      <c r="J21" s="883"/>
      <c r="K21" s="870"/>
      <c r="L21" s="884"/>
      <c r="M21" s="884"/>
      <c r="N21" s="883"/>
      <c r="O21" s="891" t="s">
        <v>54</v>
      </c>
      <c r="P21" s="880">
        <f>SUM(P16:P19)</f>
        <v>273600.08333333331</v>
      </c>
      <c r="Q21" s="877">
        <v>1</v>
      </c>
      <c r="R21" s="891" t="s">
        <v>385</v>
      </c>
      <c r="S21" s="897">
        <v>239600696</v>
      </c>
      <c r="T21" s="903">
        <f>ROUND(S21/S25,4)</f>
        <v>0.76549999999999996</v>
      </c>
      <c r="U21" s="898"/>
    </row>
    <row r="22" spans="1:21">
      <c r="A22" s="956">
        <v>13</v>
      </c>
      <c r="B22" s="874"/>
      <c r="C22" s="882"/>
      <c r="D22" s="882"/>
      <c r="E22" s="881"/>
      <c r="F22" s="869"/>
      <c r="G22" s="893">
        <f t="shared" si="0"/>
        <v>42152</v>
      </c>
      <c r="H22" s="897">
        <v>168</v>
      </c>
      <c r="I22" s="897">
        <v>61</v>
      </c>
      <c r="J22" s="883"/>
      <c r="K22" s="870"/>
      <c r="L22" s="876"/>
      <c r="M22" s="876"/>
      <c r="N22" s="875"/>
      <c r="O22" s="870"/>
      <c r="P22" s="890"/>
      <c r="Q22" s="875"/>
      <c r="R22" s="891" t="s">
        <v>1013</v>
      </c>
      <c r="S22" s="897">
        <v>73387620</v>
      </c>
      <c r="T22" s="901">
        <f>T25-T21</f>
        <v>0.23450000000000004</v>
      </c>
      <c r="U22" s="898"/>
    </row>
    <row r="23" spans="1:21">
      <c r="A23" s="956">
        <v>14</v>
      </c>
      <c r="B23" s="874"/>
      <c r="C23" s="941"/>
      <c r="D23" s="873"/>
      <c r="E23" s="872"/>
      <c r="F23" s="869"/>
      <c r="G23" s="893">
        <f t="shared" si="0"/>
        <v>42182</v>
      </c>
      <c r="H23" s="897">
        <v>168</v>
      </c>
      <c r="I23" s="897">
        <v>61</v>
      </c>
      <c r="J23" s="883"/>
      <c r="K23" s="870"/>
      <c r="L23" s="869"/>
      <c r="M23" s="869"/>
      <c r="N23" s="868"/>
      <c r="O23" s="870"/>
      <c r="P23" s="869"/>
      <c r="Q23" s="868"/>
      <c r="R23" s="870"/>
      <c r="S23" s="890"/>
      <c r="T23" s="903"/>
    </row>
    <row r="24" spans="1:21">
      <c r="A24" s="956">
        <v>15</v>
      </c>
      <c r="B24" s="874"/>
      <c r="C24" s="873"/>
      <c r="D24" s="873"/>
      <c r="E24" s="872"/>
      <c r="F24" s="869"/>
      <c r="G24" s="893">
        <f t="shared" si="0"/>
        <v>42212</v>
      </c>
      <c r="H24" s="897">
        <v>181</v>
      </c>
      <c r="I24" s="897">
        <v>64</v>
      </c>
      <c r="J24" s="883"/>
      <c r="K24" s="870"/>
      <c r="L24" s="869"/>
      <c r="M24" s="869"/>
      <c r="N24" s="868"/>
      <c r="O24" s="870"/>
      <c r="P24" s="869"/>
      <c r="Q24" s="868"/>
      <c r="R24" s="870"/>
      <c r="S24" s="884"/>
      <c r="T24" s="906"/>
    </row>
    <row r="25" spans="1:21">
      <c r="A25" s="956">
        <v>16</v>
      </c>
      <c r="B25" s="874"/>
      <c r="C25" s="873"/>
      <c r="D25" s="873"/>
      <c r="E25" s="872"/>
      <c r="F25" s="869"/>
      <c r="G25" s="893">
        <f t="shared" si="0"/>
        <v>42242</v>
      </c>
      <c r="H25" s="897">
        <v>181</v>
      </c>
      <c r="I25" s="897">
        <v>65</v>
      </c>
      <c r="J25" s="883"/>
      <c r="K25" s="891" t="s">
        <v>1991</v>
      </c>
      <c r="L25" s="878">
        <f>ROUND(L18/N18,4)</f>
        <v>0.77239999999999998</v>
      </c>
      <c r="M25" s="878">
        <f>N25-L25</f>
        <v>0.22760000000000002</v>
      </c>
      <c r="N25" s="877">
        <v>1</v>
      </c>
      <c r="O25" s="870"/>
      <c r="P25" s="869"/>
      <c r="Q25" s="868"/>
      <c r="R25" s="870"/>
      <c r="S25" s="880">
        <f>SUM(S20:S23)</f>
        <v>312988316</v>
      </c>
      <c r="T25" s="901">
        <v>1</v>
      </c>
    </row>
    <row r="26" spans="1:21">
      <c r="A26" s="956">
        <v>17</v>
      </c>
      <c r="B26" s="874"/>
      <c r="C26" s="873"/>
      <c r="D26" s="873"/>
      <c r="E26" s="872"/>
      <c r="F26" s="869"/>
      <c r="G26" s="893">
        <f t="shared" si="0"/>
        <v>42272</v>
      </c>
      <c r="H26" s="897">
        <v>181</v>
      </c>
      <c r="I26" s="897">
        <v>65</v>
      </c>
      <c r="J26" s="883"/>
      <c r="K26" s="870"/>
      <c r="L26" s="876"/>
      <c r="M26" s="876"/>
      <c r="N26" s="875"/>
      <c r="O26" s="870"/>
      <c r="P26" s="869"/>
      <c r="Q26" s="868"/>
      <c r="R26" s="870"/>
      <c r="S26" s="890"/>
      <c r="T26" s="875"/>
    </row>
    <row r="27" spans="1:21">
      <c r="A27" s="956">
        <v>18</v>
      </c>
      <c r="B27" s="874"/>
      <c r="C27" s="873"/>
      <c r="D27" s="873"/>
      <c r="E27" s="872"/>
      <c r="F27" s="869"/>
      <c r="G27" s="893">
        <f t="shared" si="0"/>
        <v>42302</v>
      </c>
      <c r="H27" s="897">
        <v>178</v>
      </c>
      <c r="I27" s="897">
        <v>67</v>
      </c>
      <c r="J27" s="883"/>
      <c r="K27" s="870"/>
      <c r="L27" s="869"/>
      <c r="M27" s="869"/>
      <c r="N27" s="868"/>
      <c r="O27" s="870"/>
      <c r="P27" s="869"/>
      <c r="Q27" s="868"/>
      <c r="R27" s="870"/>
      <c r="S27" s="884"/>
      <c r="T27" s="868"/>
    </row>
    <row r="28" spans="1:21">
      <c r="A28" s="956">
        <v>19</v>
      </c>
      <c r="B28" s="874"/>
      <c r="C28" s="873"/>
      <c r="D28" s="873"/>
      <c r="E28" s="872"/>
      <c r="F28" s="869"/>
      <c r="G28" s="893">
        <f t="shared" si="0"/>
        <v>42332</v>
      </c>
      <c r="H28" s="897">
        <v>176</v>
      </c>
      <c r="I28" s="897">
        <v>63</v>
      </c>
      <c r="J28" s="883"/>
      <c r="K28" s="870"/>
      <c r="L28" s="896"/>
      <c r="M28" s="896"/>
      <c r="N28" s="868"/>
      <c r="O28" s="870"/>
      <c r="P28" s="869"/>
      <c r="Q28" s="868"/>
      <c r="R28" s="870"/>
      <c r="S28" s="869"/>
      <c r="T28" s="868"/>
    </row>
    <row r="29" spans="1:21">
      <c r="A29" s="956">
        <v>20</v>
      </c>
      <c r="B29" s="888" t="s">
        <v>118</v>
      </c>
      <c r="C29" s="895">
        <f>T21</f>
        <v>0.76549999999999996</v>
      </c>
      <c r="D29" s="895">
        <f>E29-C29</f>
        <v>0.23450000000000004</v>
      </c>
      <c r="E29" s="894">
        <v>1</v>
      </c>
      <c r="F29" s="869"/>
      <c r="G29" s="893">
        <f t="shared" si="0"/>
        <v>42362</v>
      </c>
      <c r="H29" s="892">
        <v>171</v>
      </c>
      <c r="I29" s="892">
        <v>62</v>
      </c>
      <c r="J29" s="883"/>
      <c r="K29" s="891"/>
      <c r="L29" s="869"/>
      <c r="M29" s="869"/>
      <c r="N29" s="868"/>
      <c r="O29" s="870"/>
      <c r="P29" s="869"/>
      <c r="Q29" s="868"/>
      <c r="R29" s="870"/>
      <c r="S29" s="869"/>
      <c r="T29" s="868"/>
    </row>
    <row r="30" spans="1:21">
      <c r="A30" s="956">
        <v>21</v>
      </c>
      <c r="B30" s="874"/>
      <c r="C30" s="882"/>
      <c r="D30" s="882"/>
      <c r="E30" s="881"/>
      <c r="F30" s="869"/>
      <c r="G30" s="869"/>
      <c r="H30" s="890"/>
      <c r="I30" s="890" t="s">
        <v>52</v>
      </c>
      <c r="J30" s="883"/>
      <c r="K30" s="870"/>
      <c r="L30" s="869"/>
      <c r="M30" s="869"/>
      <c r="N30" s="868"/>
      <c r="O30" s="870"/>
      <c r="P30" s="869"/>
      <c r="Q30" s="868"/>
      <c r="R30" s="870"/>
      <c r="S30" s="869"/>
      <c r="T30" s="868"/>
    </row>
    <row r="31" spans="1:21">
      <c r="A31" s="956">
        <v>22</v>
      </c>
      <c r="B31" s="874"/>
      <c r="C31" s="873"/>
      <c r="D31" s="873"/>
      <c r="E31" s="872"/>
      <c r="F31" s="869"/>
      <c r="G31" s="869"/>
      <c r="H31" s="884"/>
      <c r="I31" s="884"/>
      <c r="J31" s="883"/>
      <c r="K31" s="870"/>
      <c r="L31" s="869"/>
      <c r="M31" s="869"/>
      <c r="N31" s="868"/>
      <c r="O31" s="870"/>
      <c r="P31" s="869"/>
      <c r="Q31" s="868"/>
      <c r="R31" s="870"/>
      <c r="S31" s="869"/>
      <c r="T31" s="868"/>
    </row>
    <row r="32" spans="1:21">
      <c r="A32" s="956">
        <v>23</v>
      </c>
      <c r="B32" s="874"/>
      <c r="C32" s="873"/>
      <c r="D32" s="873"/>
      <c r="E32" s="872"/>
      <c r="F32" s="869"/>
      <c r="G32" s="869"/>
      <c r="H32" s="889">
        <f>SUM(H16:H30)</f>
        <v>2253</v>
      </c>
      <c r="I32" s="889">
        <f>SUM(I16:I30)</f>
        <v>801</v>
      </c>
      <c r="J32" s="883"/>
      <c r="K32" s="870"/>
      <c r="L32" s="869"/>
      <c r="M32" s="869"/>
      <c r="N32" s="868"/>
      <c r="O32" s="870"/>
      <c r="P32" s="869"/>
      <c r="Q32" s="868"/>
      <c r="R32" s="870"/>
      <c r="S32" s="869"/>
      <c r="T32" s="868"/>
    </row>
    <row r="33" spans="1:20">
      <c r="A33" s="956">
        <v>24</v>
      </c>
      <c r="B33" s="874"/>
      <c r="C33" s="873"/>
      <c r="D33" s="873"/>
      <c r="E33" s="872"/>
      <c r="F33" s="869"/>
      <c r="G33" s="869"/>
      <c r="H33" s="884" t="s">
        <v>52</v>
      </c>
      <c r="I33" s="884" t="s">
        <v>52</v>
      </c>
      <c r="J33" s="883"/>
      <c r="K33" s="870"/>
      <c r="L33" s="869"/>
      <c r="M33" s="869"/>
      <c r="N33" s="868"/>
      <c r="O33" s="870"/>
      <c r="P33" s="869"/>
      <c r="Q33" s="868"/>
      <c r="R33" s="870"/>
      <c r="S33" s="869"/>
      <c r="T33" s="868"/>
    </row>
    <row r="34" spans="1:20">
      <c r="A34" s="956">
        <v>25</v>
      </c>
      <c r="B34" s="888"/>
      <c r="C34" s="887"/>
      <c r="D34" s="886"/>
      <c r="E34" s="885"/>
      <c r="F34" s="869"/>
      <c r="G34" s="869"/>
      <c r="H34" s="884"/>
      <c r="I34" s="884" t="s">
        <v>52</v>
      </c>
      <c r="J34" s="883"/>
      <c r="K34" s="870"/>
      <c r="L34" s="856"/>
      <c r="M34" s="869"/>
      <c r="N34" s="868"/>
      <c r="O34" s="870"/>
      <c r="P34" s="869"/>
      <c r="Q34" s="868"/>
      <c r="R34" s="870"/>
      <c r="S34" s="869"/>
      <c r="T34" s="868"/>
    </row>
    <row r="35" spans="1:20">
      <c r="A35" s="956">
        <v>26</v>
      </c>
      <c r="B35" s="874"/>
      <c r="C35" s="882"/>
      <c r="D35" s="882"/>
      <c r="E35" s="881"/>
      <c r="F35" s="871" t="s">
        <v>1990</v>
      </c>
      <c r="G35" s="869"/>
      <c r="H35" s="880">
        <f>ROUND((SUM(H18:H28)*2+H17+H29)/24,2)</f>
        <v>173.58</v>
      </c>
      <c r="I35" s="880">
        <f>ROUND((SUM(I18:I28)*2+I17+I29)/24,2)</f>
        <v>61.88</v>
      </c>
      <c r="J35" s="879">
        <f>H35+I35</f>
        <v>235.46</v>
      </c>
      <c r="K35" s="870"/>
      <c r="L35" s="869"/>
      <c r="M35" s="869"/>
      <c r="N35" s="868"/>
      <c r="O35" s="870"/>
      <c r="P35" s="869"/>
      <c r="Q35" s="868"/>
      <c r="R35" s="870"/>
      <c r="S35" s="869"/>
      <c r="T35" s="868"/>
    </row>
    <row r="36" spans="1:20">
      <c r="A36" s="956">
        <v>27</v>
      </c>
      <c r="B36" s="874"/>
      <c r="C36" s="873"/>
      <c r="D36" s="873"/>
      <c r="E36" s="872"/>
      <c r="F36" s="869"/>
      <c r="G36" s="869"/>
      <c r="H36" s="876"/>
      <c r="I36" s="876" t="s">
        <v>52</v>
      </c>
      <c r="J36" s="875"/>
      <c r="K36" s="870"/>
      <c r="L36" s="869"/>
      <c r="M36" s="869"/>
      <c r="N36" s="868"/>
      <c r="O36" s="870"/>
      <c r="P36" s="869"/>
      <c r="Q36" s="868"/>
      <c r="R36" s="870"/>
      <c r="S36" s="869"/>
      <c r="T36" s="868"/>
    </row>
    <row r="37" spans="1:20">
      <c r="A37" s="956">
        <v>28</v>
      </c>
      <c r="B37" s="874"/>
      <c r="C37" s="873"/>
      <c r="D37" s="873"/>
      <c r="E37" s="872"/>
      <c r="F37" s="869"/>
      <c r="G37" s="869"/>
      <c r="H37" s="869"/>
      <c r="I37" s="869"/>
      <c r="J37" s="868"/>
      <c r="K37" s="870"/>
      <c r="L37" s="869"/>
      <c r="M37" s="869"/>
      <c r="N37" s="868"/>
      <c r="O37" s="870"/>
      <c r="P37" s="869"/>
      <c r="Q37" s="868"/>
      <c r="R37" s="870"/>
      <c r="S37" s="869"/>
      <c r="T37" s="868"/>
    </row>
    <row r="38" spans="1:20">
      <c r="A38" s="956">
        <v>29</v>
      </c>
      <c r="B38" s="874"/>
      <c r="C38" s="873"/>
      <c r="D38" s="873"/>
      <c r="E38" s="872"/>
      <c r="F38" s="869"/>
      <c r="G38" s="869"/>
      <c r="H38" s="869"/>
      <c r="I38" s="869"/>
      <c r="J38" s="868"/>
      <c r="K38" s="870"/>
      <c r="L38" s="869"/>
      <c r="M38" s="869"/>
      <c r="N38" s="868"/>
      <c r="O38" s="870"/>
      <c r="P38" s="869"/>
      <c r="Q38" s="868"/>
      <c r="R38" s="870"/>
      <c r="S38" s="869"/>
      <c r="T38" s="868"/>
    </row>
    <row r="39" spans="1:20">
      <c r="A39" s="956">
        <v>30</v>
      </c>
      <c r="B39" s="874"/>
      <c r="C39" s="873"/>
      <c r="D39" s="873"/>
      <c r="E39" s="872"/>
      <c r="F39" s="869"/>
      <c r="G39" s="871" t="s">
        <v>1989</v>
      </c>
      <c r="H39" s="878">
        <f>ROUND(H35/J35,4)</f>
        <v>0.73719999999999997</v>
      </c>
      <c r="I39" s="878">
        <f>J39-H39</f>
        <v>0.26280000000000003</v>
      </c>
      <c r="J39" s="877">
        <v>1</v>
      </c>
      <c r="K39" s="870"/>
      <c r="L39" s="869"/>
      <c r="M39" s="869"/>
      <c r="N39" s="868"/>
      <c r="O39" s="870"/>
      <c r="P39" s="869"/>
      <c r="Q39" s="868"/>
      <c r="R39" s="870"/>
      <c r="S39" s="869"/>
      <c r="T39" s="868"/>
    </row>
    <row r="40" spans="1:20">
      <c r="A40" s="956">
        <v>31</v>
      </c>
      <c r="B40" s="874"/>
      <c r="C40" s="873"/>
      <c r="D40" s="873"/>
      <c r="E40" s="872"/>
      <c r="F40" s="869"/>
      <c r="G40" s="869"/>
      <c r="H40" s="876"/>
      <c r="I40" s="876"/>
      <c r="J40" s="875"/>
      <c r="K40" s="870"/>
      <c r="L40" s="869"/>
      <c r="M40" s="869"/>
      <c r="N40" s="868"/>
      <c r="O40" s="870"/>
      <c r="P40" s="869"/>
      <c r="Q40" s="868"/>
      <c r="R40" s="870"/>
      <c r="S40" s="869"/>
      <c r="T40" s="868"/>
    </row>
    <row r="41" spans="1:20">
      <c r="A41" s="956">
        <v>32</v>
      </c>
      <c r="B41" s="874"/>
      <c r="C41" s="873"/>
      <c r="D41" s="873"/>
      <c r="E41" s="872"/>
      <c r="F41" s="869"/>
      <c r="G41" s="869"/>
      <c r="H41" s="869"/>
      <c r="I41" s="869"/>
      <c r="J41" s="868"/>
      <c r="K41" s="870"/>
      <c r="L41" s="869"/>
      <c r="M41" s="869"/>
      <c r="N41" s="868"/>
      <c r="O41" s="870"/>
      <c r="P41" s="869"/>
      <c r="Q41" s="868"/>
      <c r="R41" s="870"/>
      <c r="S41" s="869"/>
      <c r="T41" s="868"/>
    </row>
    <row r="42" spans="1:20">
      <c r="A42" s="956">
        <v>33</v>
      </c>
      <c r="B42" s="874"/>
      <c r="C42" s="873"/>
      <c r="D42" s="873"/>
      <c r="E42" s="872"/>
      <c r="F42" s="869"/>
      <c r="G42" s="869"/>
      <c r="H42" s="869"/>
      <c r="I42" s="869"/>
      <c r="J42" s="868"/>
      <c r="K42" s="870"/>
      <c r="L42" s="869"/>
      <c r="M42" s="869"/>
      <c r="N42" s="868"/>
      <c r="O42" s="870"/>
      <c r="P42" s="869"/>
      <c r="Q42" s="868"/>
      <c r="R42" s="870"/>
      <c r="S42" s="869"/>
      <c r="T42" s="868"/>
    </row>
    <row r="43" spans="1:20">
      <c r="A43" s="956">
        <v>34</v>
      </c>
      <c r="B43" s="874"/>
      <c r="C43" s="873"/>
      <c r="D43" s="873"/>
      <c r="E43" s="872"/>
      <c r="F43" s="871" t="s">
        <v>1988</v>
      </c>
      <c r="G43" s="869"/>
      <c r="H43" s="869"/>
      <c r="I43" s="869"/>
      <c r="J43" s="868"/>
      <c r="K43" s="870"/>
      <c r="L43" s="869"/>
      <c r="M43" s="869"/>
      <c r="N43" s="868"/>
      <c r="O43" s="870"/>
      <c r="P43" s="869"/>
      <c r="Q43" s="868"/>
      <c r="R43" s="870"/>
      <c r="S43" s="869"/>
      <c r="T43" s="868"/>
    </row>
    <row r="44" spans="1:20">
      <c r="A44" s="956">
        <v>35</v>
      </c>
      <c r="B44" s="874"/>
      <c r="C44" s="873"/>
      <c r="D44" s="873"/>
      <c r="E44" s="872"/>
      <c r="F44" s="871"/>
      <c r="G44" s="869"/>
      <c r="H44" s="869"/>
      <c r="I44" s="869"/>
      <c r="J44" s="868"/>
      <c r="K44" s="870"/>
      <c r="L44" s="869"/>
      <c r="M44" s="869"/>
      <c r="N44" s="868"/>
      <c r="O44" s="870"/>
      <c r="P44" s="869"/>
      <c r="Q44" s="868"/>
      <c r="R44" s="870"/>
      <c r="S44" s="869"/>
      <c r="T44" s="868"/>
    </row>
    <row r="45" spans="1:20" ht="13.5" thickBot="1">
      <c r="A45" s="956">
        <v>36</v>
      </c>
      <c r="B45" s="867"/>
      <c r="C45" s="866"/>
      <c r="D45" s="866"/>
      <c r="E45" s="865"/>
      <c r="F45" s="864"/>
      <c r="G45" s="862"/>
      <c r="H45" s="862"/>
      <c r="I45" s="862"/>
      <c r="J45" s="861"/>
      <c r="K45" s="863"/>
      <c r="L45" s="862"/>
      <c r="M45" s="862"/>
      <c r="N45" s="861"/>
      <c r="O45" s="863"/>
      <c r="P45" s="862"/>
      <c r="Q45" s="861"/>
      <c r="R45" s="863"/>
      <c r="S45" s="862"/>
      <c r="T45" s="861"/>
    </row>
    <row r="46" spans="1:20">
      <c r="A46" s="956">
        <v>37</v>
      </c>
      <c r="F46" s="856"/>
      <c r="G46" s="856"/>
      <c r="H46" s="856"/>
      <c r="I46" s="856"/>
      <c r="J46" s="856"/>
      <c r="K46" s="856"/>
      <c r="L46" s="856"/>
      <c r="M46" s="856"/>
      <c r="N46" s="856"/>
      <c r="O46" s="856"/>
      <c r="P46" s="856"/>
      <c r="Q46" s="856"/>
      <c r="R46" s="856"/>
      <c r="S46" s="856"/>
      <c r="T46" s="856"/>
    </row>
    <row r="47" spans="1:20">
      <c r="A47" s="956">
        <v>38</v>
      </c>
      <c r="F47" s="856"/>
      <c r="G47" s="856"/>
      <c r="H47" s="856"/>
      <c r="I47" s="856"/>
      <c r="J47" s="856"/>
      <c r="K47" s="856"/>
      <c r="L47" s="856"/>
      <c r="M47" s="856"/>
      <c r="N47" s="856"/>
      <c r="O47" s="856"/>
      <c r="P47" s="856"/>
      <c r="Q47" s="856"/>
      <c r="R47" s="856"/>
      <c r="S47" s="856"/>
      <c r="T47" s="856"/>
    </row>
    <row r="48" spans="1:20" ht="14.25">
      <c r="A48" s="956">
        <v>39</v>
      </c>
      <c r="B48" s="855" t="s">
        <v>1987</v>
      </c>
      <c r="F48" s="856"/>
      <c r="G48" s="856"/>
      <c r="H48" s="856"/>
      <c r="I48" s="856"/>
      <c r="J48" s="856"/>
      <c r="K48" s="856"/>
      <c r="L48" s="856"/>
      <c r="M48" s="856"/>
      <c r="N48" s="856"/>
      <c r="O48" s="856"/>
      <c r="P48" s="856"/>
      <c r="Q48" s="856"/>
      <c r="R48" s="856"/>
      <c r="S48" s="856"/>
      <c r="T48" s="856"/>
    </row>
    <row r="49" spans="1:20" ht="14.25">
      <c r="A49" s="956">
        <v>40</v>
      </c>
      <c r="B49" s="855" t="s">
        <v>1986</v>
      </c>
      <c r="F49" s="856"/>
      <c r="G49" s="856"/>
      <c r="H49" s="856"/>
      <c r="I49" s="856"/>
      <c r="J49" s="856"/>
      <c r="K49" s="856"/>
      <c r="L49" s="856"/>
      <c r="M49" s="856"/>
      <c r="N49" s="856"/>
      <c r="O49" s="860">
        <v>2015</v>
      </c>
      <c r="P49" s="858" t="s">
        <v>1985</v>
      </c>
      <c r="Q49" s="858" t="s">
        <v>1984</v>
      </c>
      <c r="R49" s="858" t="s">
        <v>54</v>
      </c>
      <c r="S49" s="856"/>
      <c r="T49" s="856"/>
    </row>
    <row r="50" spans="1:20" ht="14.25">
      <c r="A50" s="956">
        <v>41</v>
      </c>
      <c r="B50" s="855" t="s">
        <v>1983</v>
      </c>
      <c r="F50" s="856"/>
      <c r="G50" s="856"/>
      <c r="H50" s="856"/>
      <c r="I50" s="856"/>
      <c r="J50" s="856"/>
      <c r="K50" s="856"/>
      <c r="L50" s="856"/>
      <c r="M50" s="859"/>
      <c r="N50" s="859"/>
      <c r="O50" s="856" t="s">
        <v>1982</v>
      </c>
      <c r="P50" s="856">
        <v>204762</v>
      </c>
      <c r="Q50" s="856">
        <v>68437</v>
      </c>
      <c r="R50" s="856">
        <f t="shared" ref="R50:R61" si="1">SUM(P50:Q50)</f>
        <v>273199</v>
      </c>
      <c r="S50" s="856" t="s">
        <v>52</v>
      </c>
      <c r="T50" s="856"/>
    </row>
    <row r="51" spans="1:20">
      <c r="F51" s="856"/>
      <c r="G51" s="856"/>
      <c r="H51" s="856"/>
      <c r="I51" s="856"/>
      <c r="J51" s="856"/>
      <c r="K51" s="856"/>
      <c r="L51" s="856"/>
      <c r="M51" s="859"/>
      <c r="N51" s="859"/>
      <c r="O51" s="856" t="s">
        <v>1981</v>
      </c>
      <c r="P51" s="856">
        <v>204932</v>
      </c>
      <c r="Q51" s="856">
        <v>68540</v>
      </c>
      <c r="R51" s="856">
        <f t="shared" si="1"/>
        <v>273472</v>
      </c>
      <c r="S51" s="856"/>
      <c r="T51" s="856"/>
    </row>
    <row r="52" spans="1:20">
      <c r="F52" s="856"/>
      <c r="G52" s="856"/>
      <c r="H52" s="856"/>
      <c r="I52" s="856"/>
      <c r="J52" s="856"/>
      <c r="K52" s="856"/>
      <c r="L52" s="856"/>
      <c r="M52" s="859"/>
      <c r="N52" s="859"/>
      <c r="O52" s="856" t="s">
        <v>1980</v>
      </c>
      <c r="P52" s="856">
        <v>204772</v>
      </c>
      <c r="Q52" s="856">
        <v>68528</v>
      </c>
      <c r="R52" s="856">
        <f t="shared" si="1"/>
        <v>273300</v>
      </c>
      <c r="S52" s="856"/>
      <c r="T52" s="856"/>
    </row>
    <row r="53" spans="1:20">
      <c r="F53" s="856"/>
      <c r="G53" s="856"/>
      <c r="H53" s="856"/>
      <c r="I53" s="856"/>
      <c r="J53" s="856"/>
      <c r="K53" s="856"/>
      <c r="L53" s="856"/>
      <c r="M53" s="859"/>
      <c r="N53" s="859"/>
      <c r="O53" s="856" t="s">
        <v>1979</v>
      </c>
      <c r="P53" s="856">
        <v>204497</v>
      </c>
      <c r="Q53" s="856">
        <v>68558</v>
      </c>
      <c r="R53" s="856">
        <f t="shared" si="1"/>
        <v>273055</v>
      </c>
      <c r="S53" s="856"/>
      <c r="T53" s="856"/>
    </row>
    <row r="54" spans="1:20">
      <c r="F54" s="856"/>
      <c r="G54" s="856"/>
      <c r="H54" s="856"/>
      <c r="I54" s="856"/>
      <c r="J54" s="856"/>
      <c r="K54" s="856"/>
      <c r="L54" s="856"/>
      <c r="M54" s="859"/>
      <c r="N54" s="859"/>
      <c r="O54" s="856" t="s">
        <v>1978</v>
      </c>
      <c r="P54" s="856">
        <v>204302</v>
      </c>
      <c r="Q54" s="856">
        <v>68522</v>
      </c>
      <c r="R54" s="856">
        <f t="shared" si="1"/>
        <v>272824</v>
      </c>
      <c r="S54" s="856"/>
      <c r="T54" s="856"/>
    </row>
    <row r="55" spans="1:20">
      <c r="F55" s="856"/>
      <c r="G55" s="856"/>
      <c r="H55" s="856"/>
      <c r="I55" s="856"/>
      <c r="J55" s="856"/>
      <c r="K55" s="856"/>
      <c r="L55" s="856"/>
      <c r="M55" s="859"/>
      <c r="N55" s="859"/>
      <c r="O55" s="856" t="s">
        <v>1977</v>
      </c>
      <c r="P55" s="856">
        <v>203865</v>
      </c>
      <c r="Q55" s="856">
        <v>68384</v>
      </c>
      <c r="R55" s="856">
        <f t="shared" si="1"/>
        <v>272249</v>
      </c>
      <c r="S55" s="856"/>
      <c r="T55" s="856"/>
    </row>
    <row r="56" spans="1:20">
      <c r="F56" s="856"/>
      <c r="G56" s="856"/>
      <c r="H56" s="856"/>
      <c r="I56" s="856"/>
      <c r="J56" s="856"/>
      <c r="K56" s="856"/>
      <c r="L56" s="856"/>
      <c r="M56" s="859"/>
      <c r="N56" s="859"/>
      <c r="O56" s="856" t="s">
        <v>1976</v>
      </c>
      <c r="P56" s="856">
        <v>203684</v>
      </c>
      <c r="Q56" s="856">
        <v>68317</v>
      </c>
      <c r="R56" s="856">
        <f t="shared" si="1"/>
        <v>272001</v>
      </c>
      <c r="S56" s="856"/>
      <c r="T56" s="856"/>
    </row>
    <row r="57" spans="1:20">
      <c r="F57" s="856"/>
      <c r="G57" s="856"/>
      <c r="H57" s="856"/>
      <c r="I57" s="856"/>
      <c r="J57" s="856"/>
      <c r="K57" s="856"/>
      <c r="L57" s="856"/>
      <c r="M57" s="859"/>
      <c r="N57" s="859"/>
      <c r="O57" s="856" t="s">
        <v>1975</v>
      </c>
      <c r="P57" s="856">
        <v>203821</v>
      </c>
      <c r="Q57" s="856">
        <v>68375</v>
      </c>
      <c r="R57" s="856">
        <f t="shared" si="1"/>
        <v>272196</v>
      </c>
      <c r="S57" s="856"/>
      <c r="T57" s="856"/>
    </row>
    <row r="58" spans="1:20">
      <c r="F58" s="856"/>
      <c r="G58" s="856"/>
      <c r="H58" s="856"/>
      <c r="I58" s="856"/>
      <c r="J58" s="856"/>
      <c r="K58" s="856"/>
      <c r="L58" s="856"/>
      <c r="M58" s="859"/>
      <c r="N58" s="859"/>
      <c r="O58" s="856" t="s">
        <v>1974</v>
      </c>
      <c r="P58" s="856">
        <v>204398</v>
      </c>
      <c r="Q58" s="856">
        <v>68614</v>
      </c>
      <c r="R58" s="856">
        <f t="shared" si="1"/>
        <v>273012</v>
      </c>
      <c r="S58" s="856"/>
      <c r="T58" s="856"/>
    </row>
    <row r="59" spans="1:20">
      <c r="F59" s="856"/>
      <c r="G59" s="856"/>
      <c r="H59" s="856"/>
      <c r="I59" s="856"/>
      <c r="J59" s="856"/>
      <c r="K59" s="856"/>
      <c r="L59" s="856"/>
      <c r="M59" s="859"/>
      <c r="N59" s="859"/>
      <c r="O59" s="856" t="s">
        <v>1973</v>
      </c>
      <c r="P59" s="856">
        <v>205350</v>
      </c>
      <c r="Q59" s="856">
        <v>69045</v>
      </c>
      <c r="R59" s="856">
        <f t="shared" si="1"/>
        <v>274395</v>
      </c>
      <c r="S59" s="856"/>
      <c r="T59" s="856"/>
    </row>
    <row r="60" spans="1:20">
      <c r="F60" s="856"/>
      <c r="G60" s="856"/>
      <c r="H60" s="856"/>
      <c r="I60" s="856"/>
      <c r="J60" s="856"/>
      <c r="K60" s="856"/>
      <c r="L60" s="856"/>
      <c r="M60" s="859"/>
      <c r="N60" s="859"/>
      <c r="O60" s="856" t="s">
        <v>1972</v>
      </c>
      <c r="P60" s="856">
        <v>206666</v>
      </c>
      <c r="Q60" s="856">
        <v>69601</v>
      </c>
      <c r="R60" s="856">
        <f t="shared" si="1"/>
        <v>276267</v>
      </c>
      <c r="S60" s="856"/>
      <c r="T60" s="856"/>
    </row>
    <row r="61" spans="1:20">
      <c r="F61" s="856"/>
      <c r="G61" s="856"/>
      <c r="H61" s="856"/>
      <c r="I61" s="856"/>
      <c r="J61" s="856"/>
      <c r="K61" s="856"/>
      <c r="L61" s="856"/>
      <c r="M61" s="859"/>
      <c r="N61" s="859"/>
      <c r="O61" s="856" t="s">
        <v>1971</v>
      </c>
      <c r="P61" s="858">
        <v>207363</v>
      </c>
      <c r="Q61" s="858">
        <v>69868</v>
      </c>
      <c r="R61" s="856">
        <f t="shared" si="1"/>
        <v>277231</v>
      </c>
      <c r="S61" s="856"/>
      <c r="T61" s="856"/>
    </row>
    <row r="62" spans="1:20">
      <c r="F62" s="856"/>
      <c r="G62" s="856"/>
      <c r="H62" s="856"/>
      <c r="I62" s="856"/>
      <c r="J62" s="856"/>
      <c r="K62" s="856"/>
      <c r="L62" s="856"/>
      <c r="M62" s="856"/>
      <c r="N62" s="856"/>
      <c r="O62" s="856" t="s">
        <v>1970</v>
      </c>
      <c r="P62" s="856">
        <f>AVERAGE(P50:P61)</f>
        <v>204867.66666666666</v>
      </c>
      <c r="Q62" s="856">
        <f>AVERAGE(Q50:Q61)</f>
        <v>68732.416666666672</v>
      </c>
      <c r="R62" s="856"/>
      <c r="S62" s="856"/>
      <c r="T62" s="856"/>
    </row>
    <row r="63" spans="1:20">
      <c r="F63" s="856"/>
      <c r="G63" s="856"/>
      <c r="H63" s="856"/>
      <c r="I63" s="856"/>
      <c r="J63" s="856"/>
      <c r="K63" s="856"/>
      <c r="L63" s="856"/>
      <c r="M63" s="856"/>
      <c r="N63" s="856"/>
      <c r="O63" s="856"/>
      <c r="P63" s="857"/>
      <c r="Q63" s="857"/>
      <c r="R63" s="856"/>
      <c r="S63" s="856"/>
      <c r="T63" s="856"/>
    </row>
    <row r="64" spans="1:20">
      <c r="F64" s="856"/>
      <c r="G64" s="856"/>
      <c r="H64" s="856"/>
      <c r="I64" s="856"/>
      <c r="J64" s="856"/>
      <c r="K64" s="856"/>
      <c r="L64" s="856"/>
      <c r="M64" s="856"/>
      <c r="N64" s="856"/>
      <c r="O64" s="856"/>
      <c r="P64" s="856"/>
      <c r="Q64" s="856"/>
      <c r="R64" s="856"/>
      <c r="S64" s="856"/>
      <c r="T64" s="856"/>
    </row>
    <row r="65" spans="6:20">
      <c r="F65" s="856"/>
      <c r="G65" s="856"/>
      <c r="H65" s="856"/>
      <c r="I65" s="856"/>
      <c r="J65" s="856"/>
      <c r="K65" s="856"/>
      <c r="L65" s="856"/>
      <c r="M65" s="856"/>
      <c r="N65" s="856"/>
      <c r="O65" s="856"/>
      <c r="P65" s="856"/>
      <c r="Q65" s="856"/>
      <c r="R65" s="856"/>
      <c r="S65" s="856"/>
      <c r="T65" s="856"/>
    </row>
    <row r="66" spans="6:20">
      <c r="F66" s="856"/>
      <c r="G66" s="856"/>
      <c r="H66" s="856"/>
      <c r="I66" s="856"/>
      <c r="J66" s="856"/>
      <c r="K66" s="856"/>
      <c r="L66" s="856"/>
      <c r="M66" s="856"/>
      <c r="N66" s="856"/>
      <c r="O66" s="856"/>
      <c r="P66" s="856"/>
      <c r="Q66" s="856"/>
      <c r="R66" s="856"/>
      <c r="S66" s="856"/>
      <c r="T66" s="856"/>
    </row>
    <row r="67" spans="6:20">
      <c r="F67" s="856"/>
      <c r="G67" s="856"/>
      <c r="H67" s="856"/>
      <c r="I67" s="856"/>
      <c r="J67" s="856"/>
      <c r="K67" s="856"/>
      <c r="L67" s="856"/>
      <c r="M67" s="856"/>
      <c r="N67" s="856"/>
      <c r="O67" s="856"/>
      <c r="P67" s="856"/>
      <c r="Q67" s="856"/>
      <c r="R67" s="856"/>
      <c r="S67" s="856"/>
      <c r="T67" s="856"/>
    </row>
    <row r="68" spans="6:20">
      <c r="F68" s="856"/>
      <c r="G68" s="856"/>
      <c r="H68" s="856"/>
      <c r="I68" s="856"/>
      <c r="J68" s="856"/>
      <c r="K68" s="856"/>
      <c r="L68" s="856"/>
      <c r="M68" s="856"/>
      <c r="N68" s="856"/>
      <c r="O68" s="856"/>
      <c r="P68" s="856"/>
      <c r="Q68" s="856"/>
      <c r="R68" s="856"/>
      <c r="S68" s="856"/>
      <c r="T68" s="856"/>
    </row>
    <row r="69" spans="6:20">
      <c r="F69" s="856"/>
      <c r="G69" s="856"/>
      <c r="H69" s="856"/>
      <c r="I69" s="856"/>
      <c r="J69" s="856"/>
      <c r="K69" s="856"/>
      <c r="L69" s="856"/>
      <c r="M69" s="856"/>
      <c r="N69" s="856"/>
      <c r="O69" s="856"/>
      <c r="P69" s="856"/>
      <c r="Q69" s="856"/>
      <c r="R69" s="856"/>
      <c r="S69" s="856"/>
      <c r="T69" s="856"/>
    </row>
    <row r="70" spans="6:20">
      <c r="F70" s="856"/>
      <c r="G70" s="856"/>
      <c r="H70" s="856"/>
      <c r="I70" s="856"/>
      <c r="J70" s="856"/>
      <c r="K70" s="856"/>
      <c r="L70" s="856"/>
      <c r="M70" s="856"/>
      <c r="N70" s="856"/>
      <c r="O70" s="856"/>
      <c r="P70" s="856"/>
      <c r="Q70" s="856"/>
      <c r="R70" s="856"/>
      <c r="S70" s="856"/>
      <c r="T70" s="856"/>
    </row>
    <row r="71" spans="6:20">
      <c r="F71" s="856"/>
      <c r="G71" s="856"/>
      <c r="H71" s="856"/>
      <c r="I71" s="856"/>
      <c r="J71" s="856"/>
      <c r="K71" s="856"/>
      <c r="L71" s="856"/>
      <c r="M71" s="856"/>
      <c r="N71" s="856"/>
      <c r="O71" s="856"/>
      <c r="P71" s="856"/>
      <c r="Q71" s="856"/>
      <c r="R71" s="856"/>
      <c r="S71" s="856"/>
      <c r="T71" s="856"/>
    </row>
  </sheetData>
  <mergeCells count="5">
    <mergeCell ref="H1:P1"/>
    <mergeCell ref="H2:P2"/>
    <mergeCell ref="H3:P3"/>
    <mergeCell ref="H4:P4"/>
    <mergeCell ref="H5:P5"/>
  </mergeCells>
  <printOptions horizontalCentered="1"/>
  <pageMargins left="0.06" right="0.05" top="1" bottom="1" header="0.5" footer="0.5"/>
  <pageSetup paperSize="5"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view="pageBreakPreview" zoomScale="60" zoomScaleNormal="100" workbookViewId="0">
      <selection activeCell="A3" sqref="A3:H3"/>
    </sheetView>
  </sheetViews>
  <sheetFormatPr defaultColWidth="9.140625" defaultRowHeight="15.75"/>
  <cols>
    <col min="1" max="1" width="9.28515625" style="7" bestFit="1" customWidth="1"/>
    <col min="2" max="2" width="35.42578125" style="5" bestFit="1" customWidth="1"/>
    <col min="3" max="3" width="32.5703125" style="5" bestFit="1" customWidth="1"/>
    <col min="4" max="5" width="14" style="5" bestFit="1" customWidth="1"/>
    <col min="6" max="6" width="14.42578125" style="5" bestFit="1" customWidth="1"/>
    <col min="7" max="7" width="5.85546875" style="5" bestFit="1" customWidth="1"/>
    <col min="8" max="16384" width="9.140625" style="5"/>
  </cols>
  <sheetData>
    <row r="1" spans="1:7">
      <c r="B1" s="1347" t="s">
        <v>56</v>
      </c>
      <c r="C1" s="1347"/>
      <c r="D1" s="1347"/>
      <c r="E1" s="1347"/>
      <c r="F1" s="1347"/>
      <c r="G1" s="1347"/>
    </row>
    <row r="2" spans="1:7">
      <c r="B2" s="21"/>
      <c r="C2" s="21" t="s">
        <v>986</v>
      </c>
      <c r="D2" s="21"/>
      <c r="E2" s="21"/>
      <c r="F2" s="21"/>
      <c r="G2" s="21"/>
    </row>
    <row r="3" spans="1:7">
      <c r="B3" s="21"/>
      <c r="C3" s="21"/>
      <c r="D3" s="21"/>
      <c r="E3" s="21"/>
      <c r="F3" s="21"/>
      <c r="G3" s="21"/>
    </row>
    <row r="4" spans="1:7">
      <c r="B4" s="1347" t="s">
        <v>79</v>
      </c>
      <c r="C4" s="1347"/>
      <c r="D4" s="1347"/>
      <c r="E4" s="1347"/>
      <c r="F4" s="1347"/>
      <c r="G4" s="1347"/>
    </row>
    <row r="5" spans="1:7">
      <c r="B5" s="1347" t="s">
        <v>980</v>
      </c>
      <c r="C5" s="1347"/>
      <c r="D5" s="1347"/>
      <c r="E5" s="1347"/>
      <c r="F5" s="1347"/>
      <c r="G5" s="1347"/>
    </row>
    <row r="6" spans="1:7">
      <c r="B6" s="24"/>
      <c r="C6" s="24"/>
      <c r="D6" s="24"/>
      <c r="E6" s="24"/>
      <c r="F6" s="24"/>
      <c r="G6" s="24"/>
    </row>
    <row r="7" spans="1:7">
      <c r="B7" s="18" t="s">
        <v>1623</v>
      </c>
      <c r="C7" s="18" t="s">
        <v>1621</v>
      </c>
      <c r="D7" s="18" t="s">
        <v>1622</v>
      </c>
      <c r="E7" s="18" t="s">
        <v>1625</v>
      </c>
      <c r="F7" s="18" t="s">
        <v>1626</v>
      </c>
      <c r="G7" s="2" t="s">
        <v>1635</v>
      </c>
    </row>
    <row r="8" spans="1:7">
      <c r="B8" s="526"/>
      <c r="C8" s="526"/>
      <c r="D8" s="526"/>
      <c r="E8" s="1348" t="s">
        <v>1061</v>
      </c>
      <c r="F8" s="526"/>
      <c r="G8" s="526"/>
    </row>
    <row r="9" spans="1:7">
      <c r="A9" s="10" t="s">
        <v>886</v>
      </c>
      <c r="B9" s="526"/>
      <c r="C9" s="526"/>
      <c r="D9" s="18" t="s">
        <v>1060</v>
      </c>
      <c r="E9" s="1349"/>
      <c r="F9" s="18" t="s">
        <v>1062</v>
      </c>
      <c r="G9" s="526"/>
    </row>
    <row r="10" spans="1:7">
      <c r="A10" s="7">
        <v>1</v>
      </c>
      <c r="B10" s="548" t="s">
        <v>1034</v>
      </c>
      <c r="C10" s="549" t="s">
        <v>1044</v>
      </c>
      <c r="D10" s="550">
        <v>0.25</v>
      </c>
      <c r="E10" s="550"/>
      <c r="F10" s="550">
        <v>0.25</v>
      </c>
      <c r="G10" s="548">
        <v>913</v>
      </c>
    </row>
    <row r="11" spans="1:7">
      <c r="A11" s="7">
        <v>2</v>
      </c>
      <c r="B11" s="548" t="s">
        <v>1035</v>
      </c>
      <c r="C11" s="549" t="s">
        <v>1045</v>
      </c>
      <c r="D11" s="550">
        <v>20</v>
      </c>
      <c r="E11" s="550"/>
      <c r="F11" s="550">
        <v>20</v>
      </c>
      <c r="G11" s="548">
        <v>913</v>
      </c>
    </row>
    <row r="12" spans="1:7">
      <c r="A12" s="7">
        <v>3</v>
      </c>
      <c r="B12" s="548" t="s">
        <v>1036</v>
      </c>
      <c r="C12" s="549" t="s">
        <v>1046</v>
      </c>
      <c r="D12" s="550">
        <v>250</v>
      </c>
      <c r="E12" s="550"/>
      <c r="F12" s="550"/>
      <c r="G12" s="548">
        <v>913</v>
      </c>
    </row>
    <row r="13" spans="1:7">
      <c r="A13" s="7">
        <v>4</v>
      </c>
      <c r="B13" s="548" t="s">
        <v>1037</v>
      </c>
      <c r="C13" s="549" t="s">
        <v>1047</v>
      </c>
      <c r="D13" s="550">
        <v>200</v>
      </c>
      <c r="E13" s="550"/>
      <c r="F13" s="550"/>
      <c r="G13" s="548">
        <v>913</v>
      </c>
    </row>
    <row r="14" spans="1:7">
      <c r="A14" s="7">
        <v>5</v>
      </c>
      <c r="B14" s="548" t="s">
        <v>1038</v>
      </c>
      <c r="C14" s="549" t="s">
        <v>1048</v>
      </c>
      <c r="D14" s="550">
        <v>1300</v>
      </c>
      <c r="E14" s="550">
        <v>978.51</v>
      </c>
      <c r="F14" s="550"/>
      <c r="G14" s="548">
        <v>913</v>
      </c>
    </row>
    <row r="15" spans="1:7">
      <c r="A15" s="7">
        <v>6</v>
      </c>
      <c r="B15" s="548" t="s">
        <v>1039</v>
      </c>
      <c r="C15" s="549" t="s">
        <v>1049</v>
      </c>
      <c r="D15" s="550">
        <v>9.3699999999999992</v>
      </c>
      <c r="E15" s="550">
        <v>7.05</v>
      </c>
      <c r="F15" s="550"/>
      <c r="G15" s="548">
        <v>913</v>
      </c>
    </row>
    <row r="16" spans="1:7">
      <c r="A16" s="7">
        <v>7</v>
      </c>
      <c r="B16" s="548" t="s">
        <v>1040</v>
      </c>
      <c r="C16" s="549" t="s">
        <v>1050</v>
      </c>
      <c r="D16" s="550">
        <v>1.1299999999999999</v>
      </c>
      <c r="E16" s="550">
        <v>0.85</v>
      </c>
      <c r="F16" s="550"/>
      <c r="G16" s="548">
        <v>913</v>
      </c>
    </row>
    <row r="17" spans="1:7">
      <c r="A17" s="7">
        <v>8</v>
      </c>
      <c r="B17" s="548" t="s">
        <v>1041</v>
      </c>
      <c r="C17" s="549" t="s">
        <v>1051</v>
      </c>
      <c r="D17" s="550">
        <v>30.6</v>
      </c>
      <c r="E17" s="550">
        <v>23.03</v>
      </c>
      <c r="F17" s="550"/>
      <c r="G17" s="548">
        <v>913</v>
      </c>
    </row>
    <row r="18" spans="1:7">
      <c r="A18" s="7">
        <v>9</v>
      </c>
      <c r="B18" s="548" t="s">
        <v>913</v>
      </c>
      <c r="C18" s="549" t="s">
        <v>1052</v>
      </c>
      <c r="D18" s="550">
        <v>875</v>
      </c>
      <c r="E18" s="550">
        <v>658.61</v>
      </c>
      <c r="F18" s="550"/>
      <c r="G18" s="548">
        <v>913</v>
      </c>
    </row>
    <row r="19" spans="1:7">
      <c r="A19" s="7">
        <v>10</v>
      </c>
      <c r="B19" s="548" t="s">
        <v>913</v>
      </c>
      <c r="C19" s="549" t="s">
        <v>1053</v>
      </c>
      <c r="D19" s="550">
        <v>537.5</v>
      </c>
      <c r="E19" s="550">
        <v>404.58</v>
      </c>
      <c r="F19" s="550"/>
      <c r="G19" s="548">
        <v>913</v>
      </c>
    </row>
    <row r="20" spans="1:7">
      <c r="A20" s="7">
        <v>11</v>
      </c>
      <c r="B20" s="548" t="s">
        <v>908</v>
      </c>
      <c r="C20" s="549" t="s">
        <v>1054</v>
      </c>
      <c r="D20" s="550">
        <v>800</v>
      </c>
      <c r="E20" s="550">
        <v>602.16</v>
      </c>
      <c r="F20" s="550"/>
      <c r="G20" s="548">
        <v>913</v>
      </c>
    </row>
    <row r="21" spans="1:7">
      <c r="A21" s="7">
        <v>12</v>
      </c>
      <c r="B21" s="548" t="s">
        <v>1042</v>
      </c>
      <c r="C21" s="549" t="s">
        <v>1055</v>
      </c>
      <c r="D21" s="550">
        <v>537.5</v>
      </c>
      <c r="E21" s="550">
        <v>404.58</v>
      </c>
      <c r="F21" s="550"/>
      <c r="G21" s="548">
        <v>913</v>
      </c>
    </row>
    <row r="22" spans="1:7">
      <c r="A22" s="7">
        <v>13</v>
      </c>
      <c r="B22" s="548" t="s">
        <v>1043</v>
      </c>
      <c r="C22" s="549" t="s">
        <v>1056</v>
      </c>
      <c r="D22" s="550">
        <v>13.93</v>
      </c>
      <c r="E22" s="550">
        <v>10.49</v>
      </c>
      <c r="F22" s="550"/>
      <c r="G22" s="548">
        <v>913</v>
      </c>
    </row>
    <row r="23" spans="1:7">
      <c r="A23" s="7">
        <v>14</v>
      </c>
      <c r="B23" s="548" t="s">
        <v>908</v>
      </c>
      <c r="C23" s="549" t="s">
        <v>1057</v>
      </c>
      <c r="D23" s="550">
        <v>800</v>
      </c>
      <c r="E23" s="550">
        <v>602.16</v>
      </c>
      <c r="F23" s="550"/>
      <c r="G23" s="548">
        <v>913</v>
      </c>
    </row>
    <row r="24" spans="1:7">
      <c r="A24" s="7">
        <v>15</v>
      </c>
      <c r="B24" s="548" t="s">
        <v>908</v>
      </c>
      <c r="C24" s="549" t="s">
        <v>1058</v>
      </c>
      <c r="D24" s="550">
        <v>800</v>
      </c>
      <c r="E24" s="550">
        <v>602.16</v>
      </c>
      <c r="F24" s="550"/>
      <c r="G24" s="548">
        <v>913</v>
      </c>
    </row>
    <row r="25" spans="1:7">
      <c r="A25" s="7">
        <v>16</v>
      </c>
      <c r="B25" s="548" t="s">
        <v>908</v>
      </c>
      <c r="C25" s="549" t="s">
        <v>1059</v>
      </c>
      <c r="D25" s="550">
        <v>800</v>
      </c>
      <c r="E25" s="550">
        <v>602.16</v>
      </c>
      <c r="F25" s="550"/>
      <c r="G25" s="548">
        <v>913</v>
      </c>
    </row>
    <row r="26" spans="1:7">
      <c r="A26" s="7">
        <v>17</v>
      </c>
      <c r="B26" s="548"/>
      <c r="C26" s="549"/>
      <c r="D26" s="550"/>
      <c r="E26" s="550"/>
      <c r="F26" s="550"/>
      <c r="G26" s="548"/>
    </row>
    <row r="27" spans="1:7">
      <c r="B27" s="526"/>
      <c r="C27" s="526"/>
      <c r="D27" s="526"/>
      <c r="E27" s="526"/>
      <c r="F27" s="526"/>
      <c r="G27" s="526"/>
    </row>
    <row r="28" spans="1:7">
      <c r="A28" s="551">
        <v>18</v>
      </c>
      <c r="B28" s="526"/>
      <c r="C28" s="526"/>
      <c r="D28" s="526"/>
      <c r="E28" s="552">
        <f>SUM(E10:E26)</f>
        <v>4896.3399999999992</v>
      </c>
      <c r="F28" s="552">
        <f>SUM(F10:F26)</f>
        <v>20.25</v>
      </c>
      <c r="G28" s="526"/>
    </row>
    <row r="29" spans="1:7">
      <c r="A29" s="551">
        <v>19</v>
      </c>
      <c r="B29" s="526" t="s">
        <v>914</v>
      </c>
      <c r="C29" s="526"/>
      <c r="D29" s="526"/>
      <c r="E29" s="526"/>
      <c r="F29" s="552">
        <f>+F28+E28</f>
        <v>4916.5899999999992</v>
      </c>
      <c r="G29" s="526"/>
    </row>
    <row r="30" spans="1:7">
      <c r="B30" s="526"/>
      <c r="C30" s="526"/>
      <c r="D30" s="526"/>
      <c r="E30" s="526"/>
      <c r="F30" s="526"/>
      <c r="G30" s="526"/>
    </row>
    <row r="32" spans="1:7">
      <c r="B32" s="18" t="s">
        <v>1623</v>
      </c>
      <c r="C32" s="18" t="s">
        <v>1621</v>
      </c>
      <c r="D32" s="18" t="s">
        <v>1622</v>
      </c>
      <c r="E32" s="18" t="s">
        <v>1625</v>
      </c>
      <c r="F32" s="18" t="s">
        <v>1626</v>
      </c>
      <c r="G32" s="2" t="s">
        <v>1635</v>
      </c>
    </row>
    <row r="33" spans="1:7">
      <c r="A33" s="10" t="s">
        <v>886</v>
      </c>
      <c r="D33" s="18" t="s">
        <v>1060</v>
      </c>
      <c r="E33" s="18" t="s">
        <v>1061</v>
      </c>
      <c r="F33" s="18" t="s">
        <v>1062</v>
      </c>
    </row>
    <row r="34" spans="1:7">
      <c r="A34" s="7">
        <v>20</v>
      </c>
      <c r="B34" s="548" t="s">
        <v>1063</v>
      </c>
      <c r="C34" s="548" t="s">
        <v>1090</v>
      </c>
      <c r="D34" s="550">
        <v>250</v>
      </c>
      <c r="E34" s="550"/>
      <c r="F34" s="550">
        <v>250</v>
      </c>
      <c r="G34" s="548">
        <v>930.1</v>
      </c>
    </row>
    <row r="35" spans="1:7">
      <c r="A35" s="7">
        <v>21</v>
      </c>
      <c r="B35" s="548" t="s">
        <v>1064</v>
      </c>
      <c r="C35" s="548" t="s">
        <v>1091</v>
      </c>
      <c r="D35" s="550">
        <v>5000</v>
      </c>
      <c r="E35" s="550"/>
      <c r="F35" s="550">
        <v>5000</v>
      </c>
      <c r="G35" s="548">
        <v>930.1</v>
      </c>
    </row>
    <row r="36" spans="1:7">
      <c r="A36" s="7">
        <v>22</v>
      </c>
      <c r="B36" s="548" t="s">
        <v>1065</v>
      </c>
      <c r="C36" s="548" t="s">
        <v>1092</v>
      </c>
      <c r="D36" s="550">
        <v>500</v>
      </c>
      <c r="E36" s="550"/>
      <c r="F36" s="550">
        <v>500</v>
      </c>
      <c r="G36" s="548">
        <v>930.1</v>
      </c>
    </row>
    <row r="37" spans="1:7">
      <c r="A37" s="7">
        <v>23</v>
      </c>
      <c r="B37" s="548" t="s">
        <v>909</v>
      </c>
      <c r="C37" s="548" t="s">
        <v>1093</v>
      </c>
      <c r="D37" s="550">
        <v>250</v>
      </c>
      <c r="E37" s="550"/>
      <c r="F37" s="550">
        <v>250</v>
      </c>
      <c r="G37" s="548">
        <v>930.1</v>
      </c>
    </row>
    <row r="38" spans="1:7">
      <c r="A38" s="7">
        <v>24</v>
      </c>
      <c r="B38" s="548" t="s">
        <v>903</v>
      </c>
      <c r="C38" s="548" t="s">
        <v>1094</v>
      </c>
      <c r="D38" s="550">
        <v>367</v>
      </c>
      <c r="E38" s="550"/>
      <c r="F38" s="550">
        <v>367</v>
      </c>
      <c r="G38" s="548">
        <v>930.1</v>
      </c>
    </row>
    <row r="39" spans="1:7">
      <c r="A39" s="7">
        <v>25</v>
      </c>
      <c r="B39" s="548" t="s">
        <v>910</v>
      </c>
      <c r="C39" s="548" t="s">
        <v>1095</v>
      </c>
      <c r="D39" s="550">
        <v>125</v>
      </c>
      <c r="E39" s="550"/>
      <c r="F39" s="550">
        <v>125</v>
      </c>
      <c r="G39" s="548">
        <v>930.1</v>
      </c>
    </row>
    <row r="40" spans="1:7">
      <c r="A40" s="7">
        <v>26</v>
      </c>
      <c r="B40" s="548" t="s">
        <v>1066</v>
      </c>
      <c r="C40" s="548" t="s">
        <v>1096</v>
      </c>
      <c r="D40" s="550">
        <v>250</v>
      </c>
      <c r="E40" s="550"/>
      <c r="F40" s="550">
        <v>250</v>
      </c>
      <c r="G40" s="548">
        <v>930.1</v>
      </c>
    </row>
    <row r="41" spans="1:7">
      <c r="A41" s="7">
        <v>27</v>
      </c>
      <c r="B41" s="548" t="s">
        <v>905</v>
      </c>
      <c r="C41" s="548" t="s">
        <v>1097</v>
      </c>
      <c r="D41" s="550">
        <v>135</v>
      </c>
      <c r="E41" s="550"/>
      <c r="F41" s="550">
        <v>135</v>
      </c>
      <c r="G41" s="548">
        <v>930.1</v>
      </c>
    </row>
    <row r="42" spans="1:7">
      <c r="A42" s="7">
        <v>28</v>
      </c>
      <c r="B42" s="548" t="s">
        <v>1067</v>
      </c>
      <c r="C42" s="548" t="s">
        <v>1098</v>
      </c>
      <c r="D42" s="550">
        <v>1518</v>
      </c>
      <c r="E42" s="550"/>
      <c r="F42" s="550">
        <v>1518</v>
      </c>
      <c r="G42" s="548">
        <v>930.1</v>
      </c>
    </row>
    <row r="43" spans="1:7">
      <c r="A43" s="7">
        <v>29</v>
      </c>
      <c r="B43" s="548" t="s">
        <v>1068</v>
      </c>
      <c r="C43" s="548" t="s">
        <v>1099</v>
      </c>
      <c r="D43" s="550">
        <v>71</v>
      </c>
      <c r="E43" s="550"/>
      <c r="F43" s="550"/>
      <c r="G43" s="548">
        <v>930.1</v>
      </c>
    </row>
    <row r="44" spans="1:7">
      <c r="A44" s="7">
        <v>30</v>
      </c>
      <c r="B44" s="548" t="s">
        <v>1068</v>
      </c>
      <c r="C44" s="548" t="s">
        <v>1100</v>
      </c>
      <c r="D44" s="550">
        <v>71</v>
      </c>
      <c r="E44" s="550"/>
      <c r="F44" s="550"/>
      <c r="G44" s="548">
        <v>930.1</v>
      </c>
    </row>
    <row r="45" spans="1:7">
      <c r="A45" s="7">
        <v>31</v>
      </c>
      <c r="B45" s="548" t="s">
        <v>1068</v>
      </c>
      <c r="C45" s="548" t="s">
        <v>1101</v>
      </c>
      <c r="D45" s="550">
        <v>71</v>
      </c>
      <c r="E45" s="550"/>
      <c r="F45" s="550"/>
      <c r="G45" s="548">
        <v>930.1</v>
      </c>
    </row>
    <row r="46" spans="1:7">
      <c r="A46" s="7">
        <v>32</v>
      </c>
      <c r="B46" s="548" t="s">
        <v>1034</v>
      </c>
      <c r="C46" s="548" t="s">
        <v>1102</v>
      </c>
      <c r="D46" s="550">
        <v>13.9</v>
      </c>
      <c r="E46" s="550"/>
      <c r="F46" s="550"/>
      <c r="G46" s="548">
        <v>930.1</v>
      </c>
    </row>
    <row r="47" spans="1:7">
      <c r="A47" s="7">
        <v>33</v>
      </c>
      <c r="B47" s="548" t="s">
        <v>1069</v>
      </c>
      <c r="C47" s="548" t="s">
        <v>1103</v>
      </c>
      <c r="D47" s="550">
        <v>135</v>
      </c>
      <c r="E47" s="550"/>
      <c r="F47" s="550"/>
      <c r="G47" s="548">
        <v>930.1</v>
      </c>
    </row>
    <row r="48" spans="1:7">
      <c r="A48" s="7">
        <v>34</v>
      </c>
      <c r="B48" s="548" t="s">
        <v>1070</v>
      </c>
      <c r="C48" s="548" t="s">
        <v>1104</v>
      </c>
      <c r="D48" s="550">
        <v>17142.41</v>
      </c>
      <c r="E48" s="550">
        <v>12903.09</v>
      </c>
      <c r="F48" s="550"/>
      <c r="G48" s="548">
        <v>930.1</v>
      </c>
    </row>
    <row r="49" spans="1:7">
      <c r="A49" s="7">
        <v>35</v>
      </c>
      <c r="B49" s="548" t="s">
        <v>1071</v>
      </c>
      <c r="C49" s="548" t="s">
        <v>911</v>
      </c>
      <c r="D49" s="550">
        <v>883.44</v>
      </c>
      <c r="E49" s="550">
        <v>664.97</v>
      </c>
      <c r="F49" s="550"/>
      <c r="G49" s="548">
        <v>930.1</v>
      </c>
    </row>
    <row r="50" spans="1:7">
      <c r="A50" s="7">
        <v>36</v>
      </c>
      <c r="B50" s="548" t="s">
        <v>1072</v>
      </c>
      <c r="C50" s="548" t="s">
        <v>911</v>
      </c>
      <c r="D50" s="550">
        <v>263.25</v>
      </c>
      <c r="E50" s="550">
        <v>198.15</v>
      </c>
      <c r="F50" s="550"/>
      <c r="G50" s="548">
        <v>930.1</v>
      </c>
    </row>
    <row r="51" spans="1:7">
      <c r="A51" s="7">
        <v>37</v>
      </c>
      <c r="B51" s="548" t="s">
        <v>1073</v>
      </c>
      <c r="C51" s="548" t="s">
        <v>911</v>
      </c>
      <c r="D51" s="550">
        <v>1761.06</v>
      </c>
      <c r="E51" s="550">
        <v>1325.55</v>
      </c>
      <c r="F51" s="550"/>
      <c r="G51" s="548">
        <v>930.1</v>
      </c>
    </row>
    <row r="52" spans="1:7">
      <c r="A52" s="7">
        <v>38</v>
      </c>
      <c r="B52" s="548" t="s">
        <v>1074</v>
      </c>
      <c r="C52" s="548" t="s">
        <v>911</v>
      </c>
      <c r="D52" s="550">
        <v>1159.3900000000001</v>
      </c>
      <c r="E52" s="550">
        <v>872.67</v>
      </c>
      <c r="F52" s="550"/>
      <c r="G52" s="548">
        <v>930.1</v>
      </c>
    </row>
    <row r="53" spans="1:7">
      <c r="A53" s="7">
        <v>39</v>
      </c>
      <c r="B53" s="548" t="s">
        <v>1075</v>
      </c>
      <c r="C53" s="548" t="s">
        <v>1105</v>
      </c>
      <c r="D53" s="550">
        <v>136.9</v>
      </c>
      <c r="E53" s="550">
        <v>103.04</v>
      </c>
      <c r="F53" s="550"/>
      <c r="G53" s="548">
        <v>930.1</v>
      </c>
    </row>
    <row r="54" spans="1:7">
      <c r="A54" s="7">
        <v>40</v>
      </c>
      <c r="B54" s="548" t="s">
        <v>1076</v>
      </c>
      <c r="C54" s="548" t="s">
        <v>1105</v>
      </c>
      <c r="D54" s="550">
        <v>61.15</v>
      </c>
      <c r="E54" s="550">
        <v>46.03</v>
      </c>
      <c r="F54" s="550"/>
      <c r="G54" s="548">
        <v>930.1</v>
      </c>
    </row>
    <row r="55" spans="1:7">
      <c r="A55" s="7">
        <v>41</v>
      </c>
      <c r="B55" s="548" t="s">
        <v>1077</v>
      </c>
      <c r="C55" s="548" t="s">
        <v>911</v>
      </c>
      <c r="D55" s="550">
        <v>980.15</v>
      </c>
      <c r="E55" s="550">
        <v>737.76</v>
      </c>
      <c r="F55" s="550"/>
      <c r="G55" s="548">
        <v>930.1</v>
      </c>
    </row>
    <row r="56" spans="1:7">
      <c r="A56" s="7">
        <v>42</v>
      </c>
      <c r="B56" s="548" t="s">
        <v>1078</v>
      </c>
      <c r="C56" s="548" t="s">
        <v>911</v>
      </c>
      <c r="D56" s="550">
        <v>471.98</v>
      </c>
      <c r="E56" s="550">
        <v>355.26</v>
      </c>
      <c r="F56" s="550"/>
      <c r="G56" s="548">
        <v>930.1</v>
      </c>
    </row>
    <row r="57" spans="1:7">
      <c r="A57" s="7">
        <v>43</v>
      </c>
      <c r="B57" s="548" t="s">
        <v>1079</v>
      </c>
      <c r="C57" s="548" t="s">
        <v>911</v>
      </c>
      <c r="D57" s="550">
        <v>227.74</v>
      </c>
      <c r="E57" s="550">
        <v>171.42</v>
      </c>
      <c r="F57" s="550"/>
      <c r="G57" s="548">
        <v>930.1</v>
      </c>
    </row>
    <row r="58" spans="1:7">
      <c r="A58" s="7">
        <v>44</v>
      </c>
      <c r="B58" s="548" t="s">
        <v>1080</v>
      </c>
      <c r="C58" s="548" t="s">
        <v>911</v>
      </c>
      <c r="D58" s="550">
        <v>423</v>
      </c>
      <c r="E58" s="550">
        <v>318.39</v>
      </c>
      <c r="F58" s="550"/>
      <c r="G58" s="548">
        <v>930.1</v>
      </c>
    </row>
    <row r="59" spans="1:7">
      <c r="A59" s="7">
        <v>45</v>
      </c>
      <c r="B59" s="548" t="s">
        <v>1081</v>
      </c>
      <c r="C59" s="548" t="s">
        <v>911</v>
      </c>
      <c r="D59" s="550">
        <v>1327.52</v>
      </c>
      <c r="E59" s="550">
        <v>999.22</v>
      </c>
      <c r="F59" s="550"/>
      <c r="G59" s="548">
        <v>930.1</v>
      </c>
    </row>
    <row r="60" spans="1:7">
      <c r="A60" s="7">
        <v>46</v>
      </c>
      <c r="B60" s="548" t="s">
        <v>1082</v>
      </c>
      <c r="C60" s="548" t="s">
        <v>911</v>
      </c>
      <c r="D60" s="550">
        <v>1192.3699999999999</v>
      </c>
      <c r="E60" s="550">
        <v>897.5</v>
      </c>
      <c r="F60" s="550"/>
      <c r="G60" s="548">
        <v>930.1</v>
      </c>
    </row>
    <row r="61" spans="1:7">
      <c r="A61" s="7">
        <v>47</v>
      </c>
      <c r="B61" s="548" t="s">
        <v>1083</v>
      </c>
      <c r="C61" s="548" t="s">
        <v>911</v>
      </c>
      <c r="D61" s="550">
        <v>4898.2</v>
      </c>
      <c r="E61" s="550">
        <v>3686.88</v>
      </c>
      <c r="F61" s="550"/>
      <c r="G61" s="548">
        <v>930.1</v>
      </c>
    </row>
    <row r="62" spans="1:7">
      <c r="A62" s="7">
        <v>48</v>
      </c>
      <c r="B62" s="548" t="s">
        <v>1084</v>
      </c>
      <c r="C62" s="548" t="s">
        <v>911</v>
      </c>
      <c r="D62" s="550">
        <v>6137.3</v>
      </c>
      <c r="E62" s="550">
        <v>4619.55</v>
      </c>
      <c r="F62" s="550"/>
      <c r="G62" s="548">
        <v>930.1</v>
      </c>
    </row>
    <row r="63" spans="1:7">
      <c r="A63" s="7">
        <v>49</v>
      </c>
      <c r="B63" s="548" t="s">
        <v>912</v>
      </c>
      <c r="C63" s="548">
        <v>6540</v>
      </c>
      <c r="D63" s="550">
        <v>13875</v>
      </c>
      <c r="E63" s="550">
        <v>10443.709999999999</v>
      </c>
      <c r="F63" s="550"/>
      <c r="G63" s="548">
        <v>930.1</v>
      </c>
    </row>
    <row r="64" spans="1:7">
      <c r="A64" s="7">
        <v>50</v>
      </c>
      <c r="B64" s="548" t="s">
        <v>912</v>
      </c>
      <c r="C64" s="548" t="s">
        <v>1106</v>
      </c>
      <c r="D64" s="550">
        <v>500</v>
      </c>
      <c r="E64" s="550">
        <v>376.35</v>
      </c>
      <c r="F64" s="550"/>
      <c r="G64" s="548">
        <v>930.1</v>
      </c>
    </row>
    <row r="65" spans="1:7">
      <c r="A65" s="7">
        <v>51</v>
      </c>
      <c r="B65" s="548" t="s">
        <v>907</v>
      </c>
      <c r="C65" s="548" t="s">
        <v>1107</v>
      </c>
      <c r="D65" s="550">
        <v>1500</v>
      </c>
      <c r="E65" s="550">
        <v>1129.05</v>
      </c>
      <c r="F65" s="550"/>
      <c r="G65" s="548">
        <v>930.1</v>
      </c>
    </row>
    <row r="66" spans="1:7">
      <c r="A66" s="7">
        <v>52</v>
      </c>
      <c r="B66" s="548" t="s">
        <v>1085</v>
      </c>
      <c r="C66" s="548" t="s">
        <v>1108</v>
      </c>
      <c r="D66" s="550">
        <v>109.67</v>
      </c>
      <c r="E66" s="550">
        <v>82.55</v>
      </c>
      <c r="F66" s="550"/>
      <c r="G66" s="548">
        <v>930.1</v>
      </c>
    </row>
    <row r="67" spans="1:7">
      <c r="A67" s="7">
        <v>53</v>
      </c>
      <c r="B67" s="548" t="s">
        <v>1086</v>
      </c>
      <c r="C67" s="548" t="s">
        <v>1109</v>
      </c>
      <c r="D67" s="550">
        <v>120.85</v>
      </c>
      <c r="E67" s="550">
        <v>90.96</v>
      </c>
      <c r="F67" s="550"/>
      <c r="G67" s="548">
        <v>930.1</v>
      </c>
    </row>
    <row r="68" spans="1:7">
      <c r="A68" s="7">
        <v>54</v>
      </c>
      <c r="B68" s="548" t="s">
        <v>1087</v>
      </c>
      <c r="C68" s="548" t="s">
        <v>904</v>
      </c>
      <c r="D68" s="550">
        <v>650</v>
      </c>
      <c r="E68" s="550">
        <v>489.26</v>
      </c>
      <c r="F68" s="550"/>
      <c r="G68" s="548">
        <v>930.1</v>
      </c>
    </row>
    <row r="69" spans="1:7">
      <c r="A69" s="7">
        <v>55</v>
      </c>
      <c r="B69" s="548" t="s">
        <v>1088</v>
      </c>
      <c r="C69" s="548" t="s">
        <v>1110</v>
      </c>
      <c r="D69" s="550">
        <v>42.5</v>
      </c>
      <c r="E69" s="550">
        <v>31.99</v>
      </c>
      <c r="F69" s="550"/>
      <c r="G69" s="548">
        <v>930.1</v>
      </c>
    </row>
    <row r="70" spans="1:7">
      <c r="A70" s="7">
        <v>56</v>
      </c>
      <c r="B70" s="548" t="s">
        <v>1089</v>
      </c>
      <c r="C70" s="548" t="s">
        <v>906</v>
      </c>
      <c r="D70" s="550">
        <v>1133.3399999999999</v>
      </c>
      <c r="E70" s="550">
        <v>853.07</v>
      </c>
      <c r="F70" s="550"/>
      <c r="G70" s="548">
        <v>930.1</v>
      </c>
    </row>
    <row r="71" spans="1:7">
      <c r="A71" s="7">
        <v>57</v>
      </c>
      <c r="B71" s="548" t="s">
        <v>1089</v>
      </c>
      <c r="C71" s="548" t="s">
        <v>1111</v>
      </c>
      <c r="D71" s="550">
        <v>12</v>
      </c>
      <c r="E71" s="550">
        <v>9.0299999999999994</v>
      </c>
      <c r="F71" s="550"/>
      <c r="G71" s="548">
        <v>930.1</v>
      </c>
    </row>
    <row r="72" spans="1:7">
      <c r="A72" s="7">
        <v>58</v>
      </c>
      <c r="B72" s="548"/>
      <c r="C72" s="548"/>
      <c r="D72" s="550"/>
      <c r="E72" s="550"/>
      <c r="F72" s="550"/>
      <c r="G72" s="548"/>
    </row>
    <row r="74" spans="1:7">
      <c r="A74" s="551">
        <v>59</v>
      </c>
      <c r="E74" s="75">
        <f>SUM(E34:E72)</f>
        <v>41405.449999999997</v>
      </c>
      <c r="F74" s="75">
        <f>SUM(F34:F72)</f>
        <v>8395</v>
      </c>
    </row>
    <row r="75" spans="1:7">
      <c r="A75" s="551">
        <v>60</v>
      </c>
      <c r="B75" s="5" t="s">
        <v>915</v>
      </c>
      <c r="F75" s="75">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oddFooter>
  </headerFooter>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60" zoomScaleNormal="85" workbookViewId="0">
      <selection activeCell="B4" sqref="B4:M4"/>
    </sheetView>
  </sheetViews>
  <sheetFormatPr defaultColWidth="9.140625" defaultRowHeight="15.75"/>
  <cols>
    <col min="1" max="1" width="9.28515625" style="5" bestFit="1" customWidth="1"/>
    <col min="2" max="2" width="9.42578125" style="5" customWidth="1"/>
    <col min="3" max="3" width="27.28515625" style="5" customWidth="1"/>
    <col min="4" max="4" width="16.5703125" style="5" bestFit="1" customWidth="1"/>
    <col min="5" max="5" width="3" style="5" customWidth="1"/>
    <col min="6" max="6" width="16.7109375" style="5" bestFit="1" customWidth="1"/>
    <col min="7" max="7" width="3.140625" style="5" customWidth="1"/>
    <col min="8" max="8" width="23.5703125" style="5" customWidth="1"/>
    <col min="9" max="9" width="17.7109375" style="5" customWidth="1"/>
    <col min="10" max="10" width="19" style="5" bestFit="1" customWidth="1"/>
    <col min="11" max="11" width="3" style="5" customWidth="1"/>
    <col min="12" max="12" width="17.28515625" style="5" bestFit="1" customWidth="1"/>
    <col min="13" max="13" width="19.42578125" style="5" bestFit="1" customWidth="1"/>
    <col min="14" max="14" width="9.140625" style="5"/>
    <col min="15" max="15" width="11.28515625" style="5" bestFit="1" customWidth="1"/>
    <col min="16" max="16" width="3.85546875" style="5" customWidth="1"/>
    <col min="17" max="17" width="9.140625" style="5"/>
    <col min="18" max="18" width="4.5703125" style="5" customWidth="1"/>
    <col min="19" max="19" width="10" style="5" bestFit="1" customWidth="1"/>
    <col min="20" max="20" width="9.140625" style="5"/>
    <col min="21" max="21" width="16.28515625" style="5" bestFit="1" customWidth="1"/>
    <col min="22" max="22" width="9.140625" style="5"/>
    <col min="23" max="23" width="19.42578125" style="5" bestFit="1" customWidth="1"/>
    <col min="24" max="16384" width="9.140625" style="5"/>
  </cols>
  <sheetData>
    <row r="1" spans="1:13">
      <c r="B1" s="1298"/>
      <c r="C1" s="1298"/>
      <c r="D1" s="1298"/>
      <c r="E1" s="1298"/>
      <c r="F1" s="1298"/>
      <c r="G1" s="1298"/>
      <c r="H1" s="1298"/>
    </row>
    <row r="2" spans="1:13">
      <c r="B2" s="1287" t="s">
        <v>56</v>
      </c>
      <c r="C2" s="1287"/>
      <c r="D2" s="1287"/>
      <c r="E2" s="1287"/>
      <c r="F2" s="1287"/>
      <c r="G2" s="1287"/>
      <c r="H2" s="1287"/>
      <c r="I2" s="1287"/>
      <c r="J2" s="1287"/>
      <c r="K2" s="1287"/>
      <c r="L2" s="1287"/>
      <c r="M2" s="1287"/>
    </row>
    <row r="3" spans="1:13">
      <c r="B3" s="1287" t="s">
        <v>1609</v>
      </c>
      <c r="C3" s="1287"/>
      <c r="D3" s="1287"/>
      <c r="E3" s="1287"/>
      <c r="F3" s="1287"/>
      <c r="G3" s="1287"/>
      <c r="H3" s="1287"/>
      <c r="I3" s="1287"/>
      <c r="J3" s="1287"/>
      <c r="K3" s="1287"/>
      <c r="L3" s="1287"/>
      <c r="M3" s="1287"/>
    </row>
    <row r="4" spans="1:13">
      <c r="B4" s="1287"/>
      <c r="C4" s="1287"/>
      <c r="D4" s="1287"/>
      <c r="E4" s="1287"/>
      <c r="F4" s="1287"/>
      <c r="G4" s="1287"/>
      <c r="H4" s="1287"/>
      <c r="I4" s="1287"/>
      <c r="J4" s="1287"/>
      <c r="K4" s="1287"/>
      <c r="L4" s="1287"/>
      <c r="M4" s="1287"/>
    </row>
    <row r="5" spans="1:13">
      <c r="B5" s="1287" t="s">
        <v>1614</v>
      </c>
      <c r="C5" s="1287"/>
      <c r="D5" s="1287"/>
      <c r="E5" s="1287"/>
      <c r="F5" s="1287"/>
      <c r="G5" s="1287"/>
      <c r="H5" s="1287"/>
      <c r="I5" s="1287"/>
      <c r="J5" s="1287"/>
      <c r="K5" s="1287"/>
      <c r="L5" s="1287"/>
      <c r="M5" s="1287"/>
    </row>
    <row r="6" spans="1:13">
      <c r="B6" s="1287" t="s">
        <v>980</v>
      </c>
      <c r="C6" s="1287"/>
      <c r="D6" s="1287"/>
      <c r="E6" s="1287"/>
      <c r="F6" s="1287"/>
      <c r="G6" s="1287"/>
      <c r="H6" s="1287"/>
      <c r="I6" s="1287"/>
      <c r="J6" s="1287"/>
      <c r="K6" s="1287"/>
      <c r="L6" s="1287"/>
      <c r="M6" s="1287"/>
    </row>
    <row r="7" spans="1:13">
      <c r="D7" s="22"/>
    </row>
    <row r="8" spans="1:13" s="7" customFormat="1">
      <c r="B8" s="7" t="s">
        <v>1623</v>
      </c>
      <c r="C8" s="7" t="s">
        <v>1621</v>
      </c>
      <c r="D8" s="7" t="s">
        <v>1622</v>
      </c>
      <c r="F8" s="7" t="s">
        <v>1625</v>
      </c>
      <c r="H8" s="7" t="s">
        <v>1626</v>
      </c>
      <c r="I8" s="7" t="s">
        <v>1635</v>
      </c>
      <c r="J8" s="553" t="s">
        <v>1636</v>
      </c>
      <c r="L8" s="7" t="s">
        <v>1637</v>
      </c>
      <c r="M8" s="7" t="s">
        <v>1638</v>
      </c>
    </row>
    <row r="9" spans="1:13">
      <c r="A9" s="554" t="s">
        <v>1175</v>
      </c>
      <c r="D9" s="22"/>
    </row>
    <row r="10" spans="1:13">
      <c r="A10" s="554"/>
      <c r="D10" s="7" t="s">
        <v>1134</v>
      </c>
    </row>
    <row r="11" spans="1:13">
      <c r="A11" s="554"/>
      <c r="D11" s="7" t="s">
        <v>1135</v>
      </c>
      <c r="F11" s="7" t="s">
        <v>892</v>
      </c>
      <c r="H11" s="555" t="s">
        <v>892</v>
      </c>
    </row>
    <row r="12" spans="1:13">
      <c r="A12" s="10" t="s">
        <v>886</v>
      </c>
      <c r="D12" s="17" t="s">
        <v>887</v>
      </c>
      <c r="F12" s="7" t="s">
        <v>1361</v>
      </c>
      <c r="H12" s="555" t="s">
        <v>964</v>
      </c>
    </row>
    <row r="13" spans="1:13">
      <c r="A13" s="7">
        <v>1</v>
      </c>
      <c r="B13" s="7">
        <v>503</v>
      </c>
      <c r="C13" s="5" t="s">
        <v>1959</v>
      </c>
      <c r="D13" s="556">
        <v>120189407</v>
      </c>
      <c r="F13" s="116">
        <v>0.49569000000000002</v>
      </c>
      <c r="H13" s="557">
        <f>+D13*F13</f>
        <v>59576687.155830003</v>
      </c>
    </row>
    <row r="14" spans="1:13">
      <c r="A14" s="7"/>
      <c r="B14" s="7"/>
      <c r="D14" s="556"/>
      <c r="F14" s="116"/>
      <c r="H14" s="557"/>
    </row>
    <row r="15" spans="1:13">
      <c r="A15" s="7">
        <v>2</v>
      </c>
      <c r="B15" s="7">
        <v>504</v>
      </c>
      <c r="C15" s="5" t="s">
        <v>1960</v>
      </c>
      <c r="D15" s="556">
        <v>81344242</v>
      </c>
      <c r="F15" s="116">
        <v>0.49303999999999998</v>
      </c>
      <c r="H15" s="557">
        <f>+D15*F15</f>
        <v>40105965.075679995</v>
      </c>
    </row>
    <row r="16" spans="1:13">
      <c r="A16" s="7"/>
      <c r="B16" s="7"/>
      <c r="D16" s="556"/>
      <c r="F16" s="116"/>
      <c r="H16" s="557"/>
    </row>
    <row r="17" spans="1:13">
      <c r="A17" s="7">
        <v>3</v>
      </c>
      <c r="B17" s="7">
        <v>505</v>
      </c>
      <c r="C17" s="5" t="s">
        <v>1961</v>
      </c>
      <c r="D17" s="556">
        <v>11417671</v>
      </c>
      <c r="F17" s="116">
        <v>0.47993000000000002</v>
      </c>
      <c r="H17" s="557">
        <f>+D17*F17</f>
        <v>5479682.8430300001</v>
      </c>
    </row>
    <row r="18" spans="1:13">
      <c r="A18" s="7"/>
      <c r="B18" s="7"/>
      <c r="D18" s="556"/>
      <c r="F18" s="116"/>
      <c r="H18" s="557"/>
    </row>
    <row r="19" spans="1:13">
      <c r="A19" s="7">
        <v>4</v>
      </c>
      <c r="B19" s="7">
        <v>511</v>
      </c>
      <c r="C19" s="5" t="s">
        <v>1962</v>
      </c>
      <c r="D19" s="556">
        <v>11107096</v>
      </c>
      <c r="F19" s="116">
        <v>0.47993000000000002</v>
      </c>
      <c r="H19" s="557">
        <f>+D19*F19</f>
        <v>5330628.5832799999</v>
      </c>
    </row>
    <row r="20" spans="1:13">
      <c r="A20" s="7"/>
      <c r="B20" s="7"/>
      <c r="D20" s="556"/>
      <c r="F20" s="116"/>
      <c r="H20" s="557"/>
    </row>
    <row r="21" spans="1:13">
      <c r="A21" s="7">
        <v>5</v>
      </c>
      <c r="B21" s="7">
        <v>570</v>
      </c>
      <c r="C21" s="5" t="s">
        <v>1963</v>
      </c>
      <c r="D21" s="556">
        <v>3848935</v>
      </c>
      <c r="F21" s="116">
        <v>0.46687000000000001</v>
      </c>
      <c r="H21" s="558">
        <f>+D21*F21</f>
        <v>1796952.28345</v>
      </c>
    </row>
    <row r="22" spans="1:13">
      <c r="A22" s="7"/>
      <c r="B22" s="7"/>
      <c r="D22" s="22"/>
      <c r="H22" s="208"/>
    </row>
    <row r="23" spans="1:13">
      <c r="A23" s="7">
        <v>6</v>
      </c>
      <c r="B23" s="5" t="s">
        <v>1898</v>
      </c>
      <c r="D23" s="22"/>
      <c r="H23" s="208">
        <f>SUM(H13:H22)</f>
        <v>112289915.94126999</v>
      </c>
    </row>
    <row r="24" spans="1:13">
      <c r="A24" s="7"/>
      <c r="G24" s="559"/>
      <c r="H24" s="559"/>
      <c r="I24" s="559"/>
    </row>
    <row r="25" spans="1:13">
      <c r="A25" s="7"/>
      <c r="B25" s="5" t="s">
        <v>1137</v>
      </c>
      <c r="G25" s="559"/>
      <c r="H25" s="559"/>
      <c r="I25" s="559"/>
      <c r="M25" s="553" t="s">
        <v>964</v>
      </c>
    </row>
    <row r="26" spans="1:13">
      <c r="A26" s="7">
        <v>7</v>
      </c>
      <c r="C26" s="5" t="s">
        <v>1953</v>
      </c>
      <c r="G26" s="559"/>
      <c r="H26" s="559"/>
      <c r="I26" s="559"/>
      <c r="J26" s="74">
        <v>110133416.64</v>
      </c>
      <c r="M26" s="553" t="s">
        <v>58</v>
      </c>
    </row>
    <row r="27" spans="1:13">
      <c r="A27" s="7">
        <v>8</v>
      </c>
      <c r="C27" s="5" t="s">
        <v>1954</v>
      </c>
      <c r="G27" s="559"/>
      <c r="H27" s="559"/>
      <c r="I27" s="559"/>
      <c r="J27" s="74">
        <f>+'Liu Weather Normalization'!F21-'Liu Weather Normalization'!H21</f>
        <v>8150002.629999999</v>
      </c>
      <c r="M27" s="208"/>
    </row>
    <row r="28" spans="1:13">
      <c r="A28" s="7">
        <v>9</v>
      </c>
      <c r="C28" s="5" t="s">
        <v>1899</v>
      </c>
      <c r="G28" s="559"/>
      <c r="I28" s="560" t="s">
        <v>10</v>
      </c>
      <c r="J28" s="74">
        <v>488031.55000002589</v>
      </c>
      <c r="L28" s="208">
        <f>+J28+J27+J26</f>
        <v>118771450.82000002</v>
      </c>
      <c r="M28" s="561">
        <f>+H23-L28</f>
        <v>-6481534.8787300289</v>
      </c>
    </row>
    <row r="29" spans="1:13">
      <c r="A29" s="7">
        <v>10</v>
      </c>
      <c r="C29" s="5" t="s">
        <v>1964</v>
      </c>
      <c r="G29" s="559"/>
      <c r="I29" s="560" t="s">
        <v>1597</v>
      </c>
      <c r="J29" s="74">
        <v>346008.79999999795</v>
      </c>
      <c r="L29" s="208">
        <f>J29</f>
        <v>346008.79999999795</v>
      </c>
      <c r="M29" s="562">
        <f>-L29</f>
        <v>-346008.79999999795</v>
      </c>
    </row>
    <row r="30" spans="1:13">
      <c r="A30" s="554" t="s">
        <v>1174</v>
      </c>
      <c r="G30" s="559"/>
      <c r="H30" s="559"/>
      <c r="I30" s="559"/>
      <c r="J30" s="74"/>
      <c r="L30" s="208"/>
      <c r="M30" s="208"/>
    </row>
    <row r="32" spans="1:13">
      <c r="B32" s="7" t="s">
        <v>1131</v>
      </c>
      <c r="C32" s="7"/>
      <c r="D32" s="7" t="s">
        <v>1134</v>
      </c>
      <c r="E32" s="7"/>
      <c r="F32" s="7" t="s">
        <v>1132</v>
      </c>
      <c r="G32" s="7"/>
      <c r="H32" s="7" t="s">
        <v>1133</v>
      </c>
      <c r="I32" s="7"/>
      <c r="J32" s="7" t="s">
        <v>54</v>
      </c>
      <c r="K32" s="7"/>
      <c r="L32" s="7" t="s">
        <v>979</v>
      </c>
    </row>
    <row r="33" spans="1:13">
      <c r="B33" s="7"/>
      <c r="D33" s="7" t="s">
        <v>1135</v>
      </c>
      <c r="F33" s="7" t="s">
        <v>1136</v>
      </c>
      <c r="G33" s="7"/>
      <c r="H33" s="7" t="s">
        <v>1136</v>
      </c>
      <c r="J33" s="7" t="s">
        <v>1965</v>
      </c>
    </row>
    <row r="34" spans="1:13">
      <c r="B34" s="7"/>
      <c r="D34" s="7" t="s">
        <v>887</v>
      </c>
      <c r="J34" s="7" t="s">
        <v>1966</v>
      </c>
    </row>
    <row r="35" spans="1:13">
      <c r="A35" s="10" t="s">
        <v>886</v>
      </c>
      <c r="B35" s="7"/>
      <c r="D35" s="22"/>
      <c r="L35" s="208"/>
    </row>
    <row r="36" spans="1:13">
      <c r="A36" s="7">
        <v>11</v>
      </c>
      <c r="B36" s="7">
        <v>503</v>
      </c>
      <c r="D36" s="556">
        <v>120189407</v>
      </c>
      <c r="F36" s="116">
        <v>0.30640000000000001</v>
      </c>
      <c r="H36" s="5">
        <v>0.16864000000000001</v>
      </c>
      <c r="J36" s="116">
        <f>+F36+H36</f>
        <v>0.47504000000000002</v>
      </c>
      <c r="L36" s="557">
        <f>+D36*J36</f>
        <v>57094775.901280001</v>
      </c>
    </row>
    <row r="37" spans="1:13">
      <c r="A37" s="7"/>
      <c r="B37" s="7"/>
      <c r="D37" s="556"/>
      <c r="F37" s="116"/>
      <c r="J37" s="116"/>
      <c r="L37" s="557"/>
    </row>
    <row r="38" spans="1:13">
      <c r="A38" s="7">
        <v>12</v>
      </c>
      <c r="B38" s="7">
        <v>504</v>
      </c>
      <c r="D38" s="556">
        <v>81344242</v>
      </c>
      <c r="F38" s="116">
        <v>0.30640000000000001</v>
      </c>
      <c r="H38" s="116">
        <v>0.1661</v>
      </c>
      <c r="J38" s="116">
        <f t="shared" ref="J38:J44" si="0">+F38+H38</f>
        <v>0.47250000000000003</v>
      </c>
      <c r="L38" s="557">
        <f t="shared" ref="L38:L44" si="1">+D38*J38</f>
        <v>38435154.344999999</v>
      </c>
    </row>
    <row r="39" spans="1:13">
      <c r="A39" s="7"/>
      <c r="B39" s="7"/>
      <c r="D39" s="556"/>
      <c r="F39" s="116"/>
      <c r="J39" s="116"/>
      <c r="L39" s="557"/>
    </row>
    <row r="40" spans="1:13">
      <c r="A40" s="7">
        <v>13</v>
      </c>
      <c r="B40" s="7">
        <v>505</v>
      </c>
      <c r="D40" s="556">
        <v>11417671</v>
      </c>
      <c r="F40" s="116">
        <v>0.30640000000000001</v>
      </c>
      <c r="H40" s="5">
        <v>0.15354999999999999</v>
      </c>
      <c r="J40" s="116">
        <f t="shared" si="0"/>
        <v>0.45994999999999997</v>
      </c>
      <c r="L40" s="557">
        <f t="shared" si="1"/>
        <v>5251557.7764499998</v>
      </c>
    </row>
    <row r="41" spans="1:13">
      <c r="A41" s="7"/>
      <c r="B41" s="7"/>
      <c r="D41" s="556"/>
      <c r="F41" s="116"/>
      <c r="J41" s="116"/>
      <c r="L41" s="557"/>
    </row>
    <row r="42" spans="1:13">
      <c r="A42" s="7">
        <v>14</v>
      </c>
      <c r="B42" s="7">
        <v>511</v>
      </c>
      <c r="D42" s="556">
        <v>11107096</v>
      </c>
      <c r="F42" s="116">
        <v>0.30640000000000001</v>
      </c>
      <c r="H42" s="5">
        <v>0.15354999999999999</v>
      </c>
      <c r="J42" s="116">
        <f t="shared" si="0"/>
        <v>0.45994999999999997</v>
      </c>
      <c r="L42" s="557">
        <f t="shared" si="1"/>
        <v>5108708.8051999994</v>
      </c>
    </row>
    <row r="43" spans="1:13">
      <c r="A43" s="7"/>
      <c r="B43" s="7"/>
      <c r="D43" s="556"/>
      <c r="F43" s="116"/>
      <c r="J43" s="116"/>
      <c r="L43" s="557"/>
    </row>
    <row r="44" spans="1:13">
      <c r="A44" s="7">
        <v>15</v>
      </c>
      <c r="B44" s="7">
        <v>570</v>
      </c>
      <c r="D44" s="556">
        <v>3848935</v>
      </c>
      <c r="F44" s="116">
        <v>0.30640000000000001</v>
      </c>
      <c r="H44" s="5">
        <v>0.14105000000000001</v>
      </c>
      <c r="J44" s="116">
        <f t="shared" si="0"/>
        <v>0.44745000000000001</v>
      </c>
      <c r="L44" s="558">
        <f t="shared" si="1"/>
        <v>1722205.96575</v>
      </c>
    </row>
    <row r="45" spans="1:13">
      <c r="A45" s="7"/>
      <c r="B45" s="7"/>
      <c r="D45" s="22"/>
      <c r="M45" s="7" t="s">
        <v>892</v>
      </c>
    </row>
    <row r="46" spans="1:13">
      <c r="A46" s="7">
        <v>16</v>
      </c>
      <c r="B46" s="5" t="s">
        <v>1897</v>
      </c>
      <c r="L46" s="208">
        <f>SUM(L36:L44)</f>
        <v>107612402.79367998</v>
      </c>
      <c r="M46" s="7" t="s">
        <v>58</v>
      </c>
    </row>
    <row r="47" spans="1:13">
      <c r="A47" s="7"/>
    </row>
    <row r="48" spans="1:13">
      <c r="A48" s="7">
        <v>17</v>
      </c>
      <c r="B48" s="5" t="s">
        <v>1895</v>
      </c>
      <c r="L48" s="208">
        <f>+'ROO Summary Sheet'!D19+'Liu Weather Normalization'!F37</f>
        <v>111743867.15000001</v>
      </c>
      <c r="M48" s="563">
        <f>+L46-L48</f>
        <v>-4131464.3563200235</v>
      </c>
    </row>
    <row r="49" spans="3:13">
      <c r="C49" s="5" t="s">
        <v>1896</v>
      </c>
    </row>
    <row r="50" spans="3:13">
      <c r="L50" s="208"/>
      <c r="M50" s="208"/>
    </row>
    <row r="52" spans="3:13">
      <c r="L52" s="208"/>
      <c r="M52" s="208"/>
    </row>
    <row r="53" spans="3:13">
      <c r="J53" s="74"/>
      <c r="L53" s="208"/>
    </row>
    <row r="54" spans="3:13">
      <c r="L54" s="208"/>
    </row>
    <row r="55" spans="3:13">
      <c r="L55" s="208"/>
    </row>
    <row r="57" spans="3:13">
      <c r="J57" s="74"/>
      <c r="L57" s="208"/>
      <c r="M57" s="208"/>
    </row>
    <row r="58" spans="3:13">
      <c r="J58" s="74"/>
      <c r="L58" s="208"/>
      <c r="M58" s="396"/>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Z47"/>
  <sheetViews>
    <sheetView zoomScale="90" zoomScaleNormal="90" workbookViewId="0">
      <selection activeCell="B33" sqref="B33"/>
    </sheetView>
  </sheetViews>
  <sheetFormatPr defaultColWidth="9.140625" defaultRowHeight="15.75"/>
  <cols>
    <col min="1" max="1" width="3.5703125" style="5" bestFit="1" customWidth="1"/>
    <col min="2" max="2" width="35.140625" style="5" bestFit="1" customWidth="1"/>
    <col min="3" max="3" width="1" style="5" customWidth="1"/>
    <col min="4" max="4" width="14.5703125" style="5" bestFit="1" customWidth="1"/>
    <col min="5" max="5" width="1" style="5" customWidth="1"/>
    <col min="6" max="6" width="0.85546875" style="5" customWidth="1"/>
    <col min="7" max="7" width="12.85546875" style="5" bestFit="1" customWidth="1"/>
    <col min="8" max="8" width="1.28515625" style="5" customWidth="1"/>
    <col min="9" max="9" width="16.7109375" style="5" customWidth="1"/>
    <col min="10" max="10" width="1.28515625" style="5" customWidth="1"/>
    <col min="11" max="11" width="14" style="5" bestFit="1" customWidth="1"/>
    <col min="12" max="12" width="0.85546875" style="5" customWidth="1"/>
    <col min="13" max="13" width="1.42578125" style="5" customWidth="1"/>
    <col min="14" max="14" width="12.85546875" style="5" bestFit="1" customWidth="1"/>
    <col min="15" max="15" width="1" style="5" customWidth="1"/>
    <col min="16" max="16" width="0.85546875" style="5" customWidth="1"/>
    <col min="17" max="17" width="16" style="5" bestFit="1" customWidth="1"/>
    <col min="18" max="19" width="20.28515625" style="5" customWidth="1"/>
    <col min="20" max="20" width="0.5703125" style="5" customWidth="1"/>
    <col min="21" max="21" width="18.28515625" style="83" customWidth="1"/>
    <col min="22" max="22" width="1.140625" style="5" customWidth="1"/>
    <col min="23" max="23" width="18.28515625" style="612" customWidth="1"/>
    <col min="24" max="24" width="11.85546875" style="5" customWidth="1"/>
    <col min="25" max="25" width="12.28515625" style="5" bestFit="1" customWidth="1"/>
    <col min="26" max="26" width="10.5703125" style="5" bestFit="1" customWidth="1"/>
    <col min="27" max="16384" width="9.140625" style="5"/>
  </cols>
  <sheetData>
    <row r="1" spans="1:25">
      <c r="A1" s="1283" t="s">
        <v>114</v>
      </c>
      <c r="B1" s="1283"/>
      <c r="C1" s="1283"/>
      <c r="D1" s="1283"/>
      <c r="E1" s="1283"/>
      <c r="F1" s="1283"/>
      <c r="G1" s="1283"/>
      <c r="H1" s="1283"/>
      <c r="I1" s="1283"/>
      <c r="J1" s="1283"/>
      <c r="K1" s="1283"/>
      <c r="L1" s="1283"/>
      <c r="M1" s="1283"/>
      <c r="N1" s="1283"/>
      <c r="O1" s="1283"/>
      <c r="P1" s="1283"/>
      <c r="Q1" s="1283"/>
      <c r="R1" s="1283"/>
      <c r="S1" s="1283"/>
      <c r="T1" s="1283"/>
      <c r="U1" s="1283"/>
      <c r="V1" s="13"/>
    </row>
    <row r="2" spans="1:25">
      <c r="A2" s="1283" t="s">
        <v>1607</v>
      </c>
      <c r="B2" s="1283"/>
      <c r="C2" s="1283"/>
      <c r="D2" s="1283"/>
      <c r="E2" s="1283"/>
      <c r="F2" s="1283"/>
      <c r="G2" s="1283"/>
      <c r="H2" s="1283"/>
      <c r="I2" s="1283"/>
      <c r="J2" s="1283"/>
      <c r="K2" s="1283"/>
      <c r="L2" s="1283"/>
      <c r="M2" s="1283"/>
      <c r="N2" s="1283"/>
      <c r="O2" s="1283"/>
      <c r="P2" s="1283"/>
      <c r="Q2" s="1283"/>
      <c r="R2" s="1283"/>
      <c r="S2" s="1283"/>
      <c r="T2" s="1283"/>
      <c r="U2" s="1283"/>
      <c r="V2" s="26"/>
    </row>
    <row r="3" spans="1:25">
      <c r="A3" s="1284" t="s">
        <v>980</v>
      </c>
      <c r="B3" s="1284"/>
      <c r="C3" s="1284"/>
      <c r="D3" s="1284"/>
      <c r="E3" s="1284"/>
      <c r="F3" s="1284"/>
      <c r="G3" s="1284"/>
      <c r="H3" s="1284"/>
      <c r="I3" s="1284"/>
      <c r="J3" s="1284"/>
      <c r="K3" s="1284"/>
      <c r="L3" s="1284"/>
      <c r="M3" s="1284"/>
      <c r="N3" s="1284"/>
      <c r="O3" s="1284"/>
      <c r="P3" s="1284"/>
      <c r="Q3" s="1284"/>
      <c r="R3" s="1284"/>
      <c r="S3" s="1284"/>
      <c r="T3" s="1284"/>
      <c r="U3" s="1284"/>
      <c r="V3" s="26"/>
    </row>
    <row r="4" spans="1:25">
      <c r="A4" s="27"/>
      <c r="B4" s="27"/>
      <c r="C4" s="27"/>
      <c r="D4" s="27"/>
      <c r="E4" s="27"/>
      <c r="F4" s="27"/>
      <c r="G4" s="27"/>
      <c r="H4" s="27"/>
      <c r="I4" s="27"/>
      <c r="J4" s="27"/>
      <c r="K4" s="27"/>
      <c r="L4" s="27"/>
      <c r="M4" s="27"/>
      <c r="N4" s="27"/>
      <c r="O4" s="27"/>
      <c r="P4" s="27"/>
      <c r="Q4" s="27"/>
      <c r="R4" s="27"/>
      <c r="S4" s="27"/>
      <c r="T4" s="27"/>
      <c r="U4" s="64"/>
      <c r="V4" s="26"/>
    </row>
    <row r="5" spans="1:25">
      <c r="A5" s="28"/>
      <c r="B5" s="28"/>
      <c r="C5" s="29"/>
      <c r="D5" s="30">
        <v>42735</v>
      </c>
      <c r="E5" s="31"/>
      <c r="F5" s="32"/>
      <c r="G5" s="33" t="s">
        <v>75</v>
      </c>
      <c r="H5" s="31"/>
      <c r="I5" s="33" t="s">
        <v>75</v>
      </c>
      <c r="J5" s="31"/>
      <c r="K5" s="33" t="s">
        <v>65</v>
      </c>
      <c r="L5" s="31"/>
      <c r="M5" s="32"/>
      <c r="N5" s="33" t="s">
        <v>2098</v>
      </c>
      <c r="O5" s="33"/>
      <c r="P5" s="31"/>
      <c r="Q5" s="34" t="s">
        <v>2</v>
      </c>
      <c r="R5" s="34" t="s">
        <v>2098</v>
      </c>
      <c r="S5" s="34" t="s">
        <v>2</v>
      </c>
      <c r="T5" s="38"/>
      <c r="U5" s="1206"/>
      <c r="V5" s="26"/>
    </row>
    <row r="6" spans="1:25">
      <c r="A6" s="26"/>
      <c r="B6" s="26"/>
      <c r="C6" s="36"/>
      <c r="D6" s="37" t="s">
        <v>0</v>
      </c>
      <c r="E6" s="36"/>
      <c r="F6" s="26"/>
      <c r="G6" s="38" t="s">
        <v>76</v>
      </c>
      <c r="H6" s="39"/>
      <c r="I6" s="38" t="s">
        <v>76</v>
      </c>
      <c r="J6" s="39"/>
      <c r="K6" s="41" t="s">
        <v>66</v>
      </c>
      <c r="L6" s="36"/>
      <c r="M6" s="26"/>
      <c r="N6" s="38" t="s">
        <v>2099</v>
      </c>
      <c r="O6" s="38"/>
      <c r="P6" s="36"/>
      <c r="Q6" s="42" t="s">
        <v>1598</v>
      </c>
      <c r="R6" s="42" t="s">
        <v>2095</v>
      </c>
      <c r="S6" s="42" t="s">
        <v>1598</v>
      </c>
      <c r="T6" s="41"/>
      <c r="U6" s="1207" t="s">
        <v>2100</v>
      </c>
      <c r="V6" s="26"/>
    </row>
    <row r="7" spans="1:25">
      <c r="A7" s="26"/>
      <c r="B7" s="26"/>
      <c r="C7" s="36"/>
      <c r="D7" s="37" t="s">
        <v>3</v>
      </c>
      <c r="E7" s="36"/>
      <c r="F7" s="26"/>
      <c r="G7" s="7" t="s">
        <v>2064</v>
      </c>
      <c r="H7" s="36"/>
      <c r="I7" s="7" t="s">
        <v>925</v>
      </c>
      <c r="J7" s="36"/>
      <c r="K7" s="38" t="s">
        <v>54</v>
      </c>
      <c r="L7" s="36"/>
      <c r="M7" s="26"/>
      <c r="N7" s="38" t="s">
        <v>964</v>
      </c>
      <c r="O7" s="38"/>
      <c r="P7" s="36"/>
      <c r="Q7" s="43" t="s">
        <v>77</v>
      </c>
      <c r="R7" s="43" t="s">
        <v>58</v>
      </c>
      <c r="S7" s="43" t="s">
        <v>77</v>
      </c>
      <c r="T7" s="38"/>
      <c r="U7" s="1207" t="s">
        <v>2101</v>
      </c>
      <c r="V7" s="26"/>
    </row>
    <row r="8" spans="1:25">
      <c r="A8" s="26"/>
      <c r="B8" s="26"/>
      <c r="C8" s="36"/>
      <c r="D8" s="37" t="s">
        <v>4</v>
      </c>
      <c r="E8" s="36"/>
      <c r="F8" s="26"/>
      <c r="G8" s="38" t="s">
        <v>1</v>
      </c>
      <c r="H8" s="36"/>
      <c r="I8" s="38" t="s">
        <v>1</v>
      </c>
      <c r="J8" s="36"/>
      <c r="K8" s="38"/>
      <c r="L8" s="36"/>
      <c r="M8" s="26"/>
      <c r="N8" s="38" t="s">
        <v>2097</v>
      </c>
      <c r="O8" s="38"/>
      <c r="P8" s="36"/>
      <c r="Q8" s="43" t="s">
        <v>78</v>
      </c>
      <c r="R8" s="43"/>
      <c r="S8" s="43" t="s">
        <v>78</v>
      </c>
      <c r="T8" s="38"/>
      <c r="U8" s="1207" t="s">
        <v>2102</v>
      </c>
      <c r="V8" s="26"/>
    </row>
    <row r="9" spans="1:25">
      <c r="A9" s="26"/>
      <c r="B9" s="26"/>
      <c r="C9" s="36"/>
      <c r="D9" s="37"/>
      <c r="E9" s="36"/>
      <c r="F9" s="26"/>
      <c r="G9" s="38"/>
      <c r="H9" s="36"/>
      <c r="I9" s="38"/>
      <c r="J9" s="36"/>
      <c r="K9" s="38"/>
      <c r="L9" s="36"/>
      <c r="M9" s="26"/>
      <c r="N9" s="41"/>
      <c r="O9" s="41"/>
      <c r="P9" s="36"/>
      <c r="Q9" s="43" t="s">
        <v>2094</v>
      </c>
      <c r="R9" s="43"/>
      <c r="S9" s="43" t="s">
        <v>2096</v>
      </c>
      <c r="T9" s="38"/>
      <c r="U9" s="1208"/>
      <c r="V9" s="26"/>
    </row>
    <row r="10" spans="1:25">
      <c r="A10" s="26"/>
      <c r="B10" s="25" t="s">
        <v>5</v>
      </c>
      <c r="C10" s="36"/>
      <c r="D10" s="44"/>
      <c r="E10" s="36"/>
      <c r="F10" s="26"/>
      <c r="G10" s="45"/>
      <c r="H10" s="36"/>
      <c r="I10" s="45"/>
      <c r="J10" s="36"/>
      <c r="K10" s="41"/>
      <c r="L10" s="36"/>
      <c r="M10" s="26"/>
      <c r="N10" s="45"/>
      <c r="O10" s="45"/>
      <c r="P10" s="36"/>
      <c r="Q10" s="46" t="s">
        <v>58</v>
      </c>
      <c r="R10" s="46" t="s">
        <v>2057</v>
      </c>
      <c r="S10" s="46" t="s">
        <v>58</v>
      </c>
      <c r="T10" s="45"/>
      <c r="U10" s="1208"/>
      <c r="V10" s="26"/>
    </row>
    <row r="11" spans="1:25">
      <c r="A11" s="26"/>
      <c r="B11" s="26"/>
      <c r="C11" s="36"/>
      <c r="D11" s="1214" t="s">
        <v>111</v>
      </c>
      <c r="E11" s="1215"/>
      <c r="F11" s="1216"/>
      <c r="G11" s="1216" t="s">
        <v>112</v>
      </c>
      <c r="H11" s="1215"/>
      <c r="I11" s="1216" t="s">
        <v>2103</v>
      </c>
      <c r="J11" s="1215"/>
      <c r="K11" s="1216" t="s">
        <v>2104</v>
      </c>
      <c r="L11" s="1215"/>
      <c r="M11" s="1216"/>
      <c r="N11" s="1216" t="s">
        <v>2105</v>
      </c>
      <c r="O11" s="1216"/>
      <c r="P11" s="1215"/>
      <c r="Q11" s="1215" t="s">
        <v>2106</v>
      </c>
      <c r="R11" s="1217" t="s">
        <v>2107</v>
      </c>
      <c r="S11" s="1215" t="s">
        <v>2108</v>
      </c>
      <c r="T11" s="38"/>
      <c r="U11" s="1218" t="s">
        <v>2109</v>
      </c>
      <c r="V11" s="26"/>
    </row>
    <row r="12" spans="1:25">
      <c r="A12" s="26"/>
      <c r="B12" s="25" t="s">
        <v>6</v>
      </c>
      <c r="C12" s="36"/>
      <c r="D12" s="51"/>
      <c r="E12" s="36"/>
      <c r="F12" s="26"/>
      <c r="G12" s="52"/>
      <c r="H12" s="36"/>
      <c r="I12" s="26"/>
      <c r="J12" s="36"/>
      <c r="K12" s="26"/>
      <c r="L12" s="36"/>
      <c r="M12" s="26"/>
      <c r="N12" s="26"/>
      <c r="O12" s="26"/>
      <c r="P12" s="36"/>
      <c r="Q12" s="36"/>
      <c r="R12" s="36"/>
      <c r="S12" s="36"/>
      <c r="T12" s="26"/>
      <c r="U12" s="1208"/>
      <c r="V12" s="26"/>
    </row>
    <row r="13" spans="1:25">
      <c r="A13" s="26">
        <v>1</v>
      </c>
      <c r="B13" s="53" t="s">
        <v>26</v>
      </c>
      <c r="C13" s="54"/>
      <c r="D13" s="55">
        <f>+'Operating Report'!G17</f>
        <v>182902832.87</v>
      </c>
      <c r="E13" s="56"/>
      <c r="F13" s="57"/>
      <c r="G13" s="57">
        <f>'Exh KMH-2 Adjustments Pg 2'!G16+'Exh KMH-2 Adjustments Pg 2'!H16+'Exh KMH-2 Adjustments Pg 2'!I16+'Exh KMH-2 Adjustments Pg 2'!J16+'Exh KMH-2 Adjustments Pg 2'!K16+'Exh KMH-2 Adjustments Pg 2'!L16+'Exh KMH-2 Adjustments Pg 2'!P16+'Exh KMH-2 Adjustments Pg 2'!M16+'Exh KMH-2 Adjustments Pg 2'!N16+'Exh KMH-2 Adjustments Pg 2'!O16</f>
        <v>6986320.955462968</v>
      </c>
      <c r="H13" s="56"/>
      <c r="I13" s="1064">
        <f>'Exh KMH-2 Adjustments Pg 2'!R16+'Exh KMH-2 Adjustments Pg 2'!S16+'Exh KMH-2 Adjustments Pg 2'!T16+'Exh KMH-2 Adjustments Pg 2'!U16+'Exh KMH-2 Adjustments Pg 2'!V16+'Exh KMH-2 Adjustments Pg 2'!W16+'Exh KMH-2 Adjustments Pg 2'!X16+'Exh KMH-2 Adjustments Pg 2'!Y16+'Exh KMH-2 Adjustments Pg 2'!Z16</f>
        <v>5181807.734831797</v>
      </c>
      <c r="J13" s="87"/>
      <c r="K13" s="58">
        <f>+D13+G13+I13</f>
        <v>195070961.56029478</v>
      </c>
      <c r="L13" s="56"/>
      <c r="M13" s="57"/>
      <c r="N13" s="58">
        <f>+'Rev Req Calc'!D21-N14</f>
        <v>-4524475.9712974951</v>
      </c>
      <c r="O13" s="58"/>
      <c r="P13" s="56"/>
      <c r="Q13" s="59">
        <f>+K13+N13</f>
        <v>190546485.58899727</v>
      </c>
      <c r="R13" s="59">
        <v>-3482648</v>
      </c>
      <c r="S13" s="59">
        <f>Q13+R13</f>
        <v>187063837.58899727</v>
      </c>
      <c r="T13" s="58"/>
      <c r="U13" s="1210">
        <f>R13+N13</f>
        <v>-8007123.9712974951</v>
      </c>
      <c r="V13" s="60"/>
      <c r="X13" s="61"/>
      <c r="Y13" s="61"/>
    </row>
    <row r="14" spans="1:25">
      <c r="A14" s="26">
        <v>2</v>
      </c>
      <c r="B14" s="53" t="s">
        <v>27</v>
      </c>
      <c r="C14" s="54"/>
      <c r="D14" s="62">
        <f>+'Operating Report'!G21</f>
        <v>21216454.399999999</v>
      </c>
      <c r="E14" s="56"/>
      <c r="F14" s="57"/>
      <c r="G14" s="57">
        <f>'Exh KMH-2 Adjustments Pg 2'!G17+'Exh KMH-2 Adjustments Pg 2'!H17+'Exh KMH-2 Adjustments Pg 2'!I17+'Exh KMH-2 Adjustments Pg 2'!J17+'Exh KMH-2 Adjustments Pg 2'!K17+'Exh KMH-2 Adjustments Pg 2'!L17+'Exh KMH-2 Adjustments Pg 2'!P17+'Exh KMH-2 Adjustments Pg 2'!M17+'Exh KMH-2 Adjustments Pg 2'!N17+'Exh KMH-2 Adjustments Pg 2'!O17</f>
        <v>-346008.79999999795</v>
      </c>
      <c r="H14" s="56"/>
      <c r="I14" s="1064">
        <f>'Exh KMH-2 Adjustments Pg 2'!R17+'Exh KMH-2 Adjustments Pg 2'!S17+'Exh KMH-2 Adjustments Pg 2'!T17+'Exh KMH-2 Adjustments Pg 2'!U17+'Exh KMH-2 Adjustments Pg 2'!V17+'Exh KMH-2 Adjustments Pg 2'!W17+'Exh KMH-2 Adjustments Pg 2'!X17+'Exh KMH-2 Adjustments Pg 2'!Y17+'Exh KMH-2 Adjustments Pg 2'!Z17</f>
        <v>2133460.9</v>
      </c>
      <c r="J14" s="87"/>
      <c r="K14" s="58">
        <f>+D14+G14+I14</f>
        <v>23003906.5</v>
      </c>
      <c r="L14" s="56"/>
      <c r="M14" s="57"/>
      <c r="N14" s="57">
        <v>1200000</v>
      </c>
      <c r="O14" s="57"/>
      <c r="P14" s="56"/>
      <c r="Q14" s="59">
        <f>+K14+N14</f>
        <v>24203906.5</v>
      </c>
      <c r="R14" s="59"/>
      <c r="S14" s="59">
        <f>Q14+R14</f>
        <v>24203906.5</v>
      </c>
      <c r="T14" s="1185"/>
      <c r="U14" s="1210">
        <f>R14+N14</f>
        <v>1200000</v>
      </c>
      <c r="V14" s="63"/>
      <c r="X14" s="61"/>
      <c r="Y14" s="61"/>
    </row>
    <row r="15" spans="1:25">
      <c r="A15" s="26">
        <v>3</v>
      </c>
      <c r="B15" s="53" t="s">
        <v>28</v>
      </c>
      <c r="C15" s="64"/>
      <c r="D15" s="65">
        <f>+'Operating Report'!G26-'Operating Report'!G21</f>
        <v>1011374.9600000009</v>
      </c>
      <c r="E15" s="56"/>
      <c r="F15" s="57"/>
      <c r="G15" s="57">
        <f>'Exh KMH-2 Adjustments Pg 2'!G18+'Exh KMH-2 Adjustments Pg 2'!H18+'Exh KMH-2 Adjustments Pg 2'!I18+'Exh KMH-2 Adjustments Pg 2'!J18+'Exh KMH-2 Adjustments Pg 2'!K18+'Exh KMH-2 Adjustments Pg 2'!L18+'Exh KMH-2 Adjustments Pg 2'!P18+'Exh KMH-2 Adjustments Pg 2'!M18+'Exh KMH-2 Adjustments Pg 2'!N18+'Exh KMH-2 Adjustments Pg 2'!O18</f>
        <v>0</v>
      </c>
      <c r="H15" s="56"/>
      <c r="I15" s="1066">
        <f>'Exh KMH-2 Adjustments Pg 2'!R18+'Exh KMH-2 Adjustments Pg 2'!S18+'Exh KMH-2 Adjustments Pg 2'!T18+'Exh KMH-2 Adjustments Pg 2'!U18+'Exh KMH-2 Adjustments Pg 2'!V18+'Exh KMH-2 Adjustments Pg 2'!W18+'Exh KMH-2 Adjustments Pg 2'!X18+'Exh KMH-2 Adjustments Pg 2'!Y18+'Exh KMH-2 Adjustments Pg 2'!Z18</f>
        <v>87366</v>
      </c>
      <c r="J15" s="87"/>
      <c r="K15" s="58">
        <f>+D15+G15+I15</f>
        <v>1098740.9600000009</v>
      </c>
      <c r="L15" s="56"/>
      <c r="M15" s="57"/>
      <c r="N15" s="57"/>
      <c r="O15" s="57"/>
      <c r="P15" s="56"/>
      <c r="Q15" s="59">
        <f>+K15+N15</f>
        <v>1098740.9600000009</v>
      </c>
      <c r="R15" s="1180"/>
      <c r="S15" s="1180">
        <f>Q15+R15</f>
        <v>1098740.9600000009</v>
      </c>
      <c r="T15" s="1185"/>
      <c r="U15" s="1211">
        <f>R15+N15</f>
        <v>0</v>
      </c>
      <c r="V15" s="63"/>
      <c r="X15" s="61"/>
      <c r="Y15" s="61"/>
    </row>
    <row r="16" spans="1:25">
      <c r="A16" s="26">
        <v>4</v>
      </c>
      <c r="B16" s="66" t="s">
        <v>1363</v>
      </c>
      <c r="C16" s="54"/>
      <c r="D16" s="62">
        <f>SUM(D13:D15)</f>
        <v>205130662.23000002</v>
      </c>
      <c r="E16" s="56"/>
      <c r="F16" s="57"/>
      <c r="G16" s="67">
        <f>SUM(G13:G15)</f>
        <v>6640312.15546297</v>
      </c>
      <c r="H16" s="56"/>
      <c r="I16" s="1064">
        <f>SUM(I13:I15)</f>
        <v>7402634.6348317973</v>
      </c>
      <c r="J16" s="87"/>
      <c r="K16" s="67">
        <f>SUM(K13:K15)</f>
        <v>219173609.02029479</v>
      </c>
      <c r="L16" s="56"/>
      <c r="M16" s="57"/>
      <c r="N16" s="67">
        <f>SUM(N13:N15)</f>
        <v>-3324475.9712974951</v>
      </c>
      <c r="O16" s="61"/>
      <c r="P16" s="56"/>
      <c r="Q16" s="68">
        <f>SUM(Q13:Q15)</f>
        <v>215849133.04899728</v>
      </c>
      <c r="R16" s="69">
        <f>SUM(R13:R15)</f>
        <v>-3482648</v>
      </c>
      <c r="S16" s="69">
        <f>SUM(S13:S15)</f>
        <v>212366485.04899728</v>
      </c>
      <c r="T16" s="61"/>
      <c r="U16" s="1210">
        <f>SUM(U13:U15)</f>
        <v>-6807123.9712974951</v>
      </c>
      <c r="V16" s="63"/>
      <c r="X16" s="61"/>
      <c r="Y16" s="61"/>
    </row>
    <row r="17" spans="1:26">
      <c r="A17" s="26"/>
      <c r="B17" s="53"/>
      <c r="C17" s="54"/>
      <c r="D17" s="62"/>
      <c r="E17" s="56"/>
      <c r="F17" s="57"/>
      <c r="G17" s="61"/>
      <c r="H17" s="56"/>
      <c r="I17" s="1064"/>
      <c r="J17" s="87"/>
      <c r="K17" s="61"/>
      <c r="L17" s="56"/>
      <c r="M17" s="57"/>
      <c r="N17" s="61"/>
      <c r="O17" s="61"/>
      <c r="P17" s="56"/>
      <c r="Q17" s="69"/>
      <c r="R17" s="69"/>
      <c r="S17" s="69"/>
      <c r="T17" s="61"/>
      <c r="U17" s="1210"/>
      <c r="V17" s="63"/>
      <c r="X17" s="61"/>
      <c r="Y17" s="61"/>
      <c r="Z17" s="61"/>
    </row>
    <row r="18" spans="1:26">
      <c r="A18" s="26"/>
      <c r="B18" s="66" t="s">
        <v>7</v>
      </c>
      <c r="C18" s="54"/>
      <c r="D18" s="62"/>
      <c r="E18" s="56"/>
      <c r="F18" s="57"/>
      <c r="G18" s="61"/>
      <c r="H18" s="56"/>
      <c r="I18" s="1064"/>
      <c r="J18" s="87"/>
      <c r="K18" s="61"/>
      <c r="L18" s="56"/>
      <c r="M18" s="57"/>
      <c r="N18" s="61"/>
      <c r="O18" s="61"/>
      <c r="P18" s="56"/>
      <c r="Q18" s="69"/>
      <c r="R18" s="69"/>
      <c r="S18" s="69"/>
      <c r="T18" s="61"/>
      <c r="U18" s="1210"/>
      <c r="V18" s="63"/>
      <c r="X18" s="61"/>
      <c r="Y18" s="61"/>
    </row>
    <row r="19" spans="1:26">
      <c r="A19" s="26">
        <v>5</v>
      </c>
      <c r="B19" s="53" t="s">
        <v>1364</v>
      </c>
      <c r="C19" s="54"/>
      <c r="D19" s="62">
        <f>+'Operating Report'!G36</f>
        <v>103593864.52000001</v>
      </c>
      <c r="E19" s="56"/>
      <c r="F19" s="57"/>
      <c r="G19" s="57">
        <f>'Exh KMH-2 Adjustments Pg 2'!G22+'Exh KMH-2 Adjustments Pg 2'!H22+'Exh KMH-2 Adjustments Pg 2'!I22+'Exh KMH-2 Adjustments Pg 2'!J22+'Exh KMH-2 Adjustments Pg 2'!K22+'Exh KMH-2 Adjustments Pg 2'!L22+'Exh KMH-2 Adjustments Pg 2'!P22+'Exh KMH-2 Adjustments Pg 2'!M22+'Exh KMH-2 Adjustments Pg 2'!N22+'Exh KMH-2 Adjustments Pg 2'!O22</f>
        <v>4981076.2482290007</v>
      </c>
      <c r="H19" s="56"/>
      <c r="I19" s="1064">
        <f>'Exh KMH-2 Adjustments Pg 2'!R22+'Exh KMH-2 Adjustments Pg 2'!S22+'Exh KMH-2 Adjustments Pg 2'!T22+'Exh KMH-2 Adjustments Pg 2'!U22+'Exh KMH-2 Adjustments Pg 2'!V22+'Exh KMH-2 Adjustments Pg 2'!W22+'Exh KMH-2 Adjustments Pg 2'!X22+'Exh KMH-2 Adjustments Pg 2'!Y22+'Exh KMH-2 Adjustments Pg 2'!Z22</f>
        <v>0</v>
      </c>
      <c r="J19" s="87"/>
      <c r="K19" s="58">
        <f t="shared" ref="K19:K30" si="0">+D19+G19+I19</f>
        <v>108574940.76822901</v>
      </c>
      <c r="L19" s="56"/>
      <c r="M19" s="57"/>
      <c r="N19" s="57"/>
      <c r="O19" s="57"/>
      <c r="P19" s="56"/>
      <c r="Q19" s="59">
        <f>+K19+N19</f>
        <v>108574940.76822901</v>
      </c>
      <c r="R19" s="59"/>
      <c r="S19" s="59">
        <f t="shared" ref="S19:S30" si="1">Q19+R19</f>
        <v>108574940.76822901</v>
      </c>
      <c r="T19" s="1185"/>
      <c r="U19" s="1210"/>
      <c r="V19" s="63"/>
      <c r="X19" s="61"/>
      <c r="Y19" s="70"/>
      <c r="Z19" s="61"/>
    </row>
    <row r="20" spans="1:26">
      <c r="A20" s="26">
        <v>6</v>
      </c>
      <c r="B20" s="53" t="s">
        <v>1365</v>
      </c>
      <c r="C20" s="54"/>
      <c r="D20" s="62">
        <f>+'Operating Report'!G52</f>
        <v>16946340.530000001</v>
      </c>
      <c r="E20" s="56"/>
      <c r="F20" s="57"/>
      <c r="G20" s="57">
        <f>'Exh KMH-2 Adjustments Pg 2'!G23+'Exh KMH-2 Adjustments Pg 2'!H23+'Exh KMH-2 Adjustments Pg 2'!I23+'Exh KMH-2 Adjustments Pg 2'!J23+'Exh KMH-2 Adjustments Pg 2'!K23+'Exh KMH-2 Adjustments Pg 2'!L23+'Exh KMH-2 Adjustments Pg 2'!P23+'Exh KMH-2 Adjustments Pg 2'!M23+'Exh KMH-2 Adjustments Pg 2'!N23+'Exh KMH-2 Adjustments Pg 2'!O23</f>
        <v>269065.44853935961</v>
      </c>
      <c r="H20" s="56"/>
      <c r="I20" s="1064">
        <f>'Exh KMH-2 Adjustments Pg 2'!R23+'Exh KMH-2 Adjustments Pg 2'!S23+'Exh KMH-2 Adjustments Pg 2'!T23+'Exh KMH-2 Adjustments Pg 2'!U23+'Exh KMH-2 Adjustments Pg 2'!V23+'Exh KMH-2 Adjustments Pg 2'!W23+'Exh KMH-2 Adjustments Pg 2'!X23+'Exh KMH-2 Adjustments Pg 2'!Y23+'Exh KMH-2 Adjustments Pg 2'!Z23</f>
        <v>299954.75540338439</v>
      </c>
      <c r="J20" s="87"/>
      <c r="K20" s="58">
        <f t="shared" si="0"/>
        <v>17515360.733942747</v>
      </c>
      <c r="L20" s="56"/>
      <c r="M20" s="57"/>
      <c r="N20" s="57">
        <f>+N16*('Conversion Factor'!C9+'Conversion Factor'!C10)</f>
        <v>-134707.76635697449</v>
      </c>
      <c r="O20" s="57"/>
      <c r="P20" s="56"/>
      <c r="Q20" s="71">
        <f>+K20+N20</f>
        <v>17380652.967585772</v>
      </c>
      <c r="R20" s="59">
        <v>-141117</v>
      </c>
      <c r="S20" s="59">
        <f t="shared" si="1"/>
        <v>17239535.967585772</v>
      </c>
      <c r="T20" s="1185"/>
      <c r="U20" s="1210">
        <f>R20+N20</f>
        <v>-275824.76635697449</v>
      </c>
      <c r="V20" s="63"/>
      <c r="X20" s="61"/>
    </row>
    <row r="21" spans="1:26">
      <c r="A21" s="26">
        <v>7</v>
      </c>
      <c r="B21" s="72" t="s">
        <v>30</v>
      </c>
      <c r="C21" s="54"/>
      <c r="D21" s="62">
        <f>+'Operating Report'!G56</f>
        <v>518988.74</v>
      </c>
      <c r="E21" s="56"/>
      <c r="F21" s="57"/>
      <c r="G21" s="57">
        <f>'Exh KMH-2 Adjustments Pg 2'!G24+'Exh KMH-2 Adjustments Pg 2'!H24+'Exh KMH-2 Adjustments Pg 2'!I24+'Exh KMH-2 Adjustments Pg 2'!J24+'Exh KMH-2 Adjustments Pg 2'!K24+'Exh KMH-2 Adjustments Pg 2'!L24+'Exh KMH-2 Adjustments Pg 2'!P24+'Exh KMH-2 Adjustments Pg 2'!M24+'Exh KMH-2 Adjustments Pg 2'!N24+'Exh KMH-2 Adjustments Pg 2'!O24</f>
        <v>0</v>
      </c>
      <c r="H21" s="56"/>
      <c r="I21" s="1064">
        <f>'Exh KMH-2 Adjustments Pg 2'!R24+'Exh KMH-2 Adjustments Pg 2'!S24+'Exh KMH-2 Adjustments Pg 2'!T24+'Exh KMH-2 Adjustments Pg 2'!U24+'Exh KMH-2 Adjustments Pg 2'!V24+'Exh KMH-2 Adjustments Pg 2'!W24+'Exh KMH-2 Adjustments Pg 2'!X24+'Exh KMH-2 Adjustments Pg 2'!Y24+'Exh KMH-2 Adjustments Pg 2'!Z24</f>
        <v>7924.4900311199854</v>
      </c>
      <c r="J21" s="87"/>
      <c r="K21" s="58">
        <f t="shared" si="0"/>
        <v>526913.23003112001</v>
      </c>
      <c r="L21" s="56"/>
      <c r="M21" s="57"/>
      <c r="N21" s="57"/>
      <c r="O21" s="57"/>
      <c r="P21" s="56"/>
      <c r="Q21" s="59">
        <f t="shared" ref="Q21:Q30" si="2">+K21+N21</f>
        <v>526913.23003112001</v>
      </c>
      <c r="R21" s="59"/>
      <c r="S21" s="59">
        <f t="shared" si="1"/>
        <v>526913.23003112001</v>
      </c>
      <c r="T21" s="1185"/>
      <c r="U21" s="1210"/>
      <c r="V21" s="73"/>
      <c r="X21" s="74"/>
      <c r="Z21" s="74"/>
    </row>
    <row r="22" spans="1:26">
      <c r="A22" s="26">
        <v>8</v>
      </c>
      <c r="B22" s="72" t="s">
        <v>8</v>
      </c>
      <c r="C22" s="54"/>
      <c r="D22" s="62">
        <f>+'Operating Report'!G84</f>
        <v>16326277.390000001</v>
      </c>
      <c r="E22" s="56"/>
      <c r="F22" s="57"/>
      <c r="G22" s="57">
        <f>'Exh KMH-2 Adjustments Pg 2'!G25+'Exh KMH-2 Adjustments Pg 2'!H25+'Exh KMH-2 Adjustments Pg 2'!I25+'Exh KMH-2 Adjustments Pg 2'!J25+'Exh KMH-2 Adjustments Pg 2'!K25+'Exh KMH-2 Adjustments Pg 2'!L25+'Exh KMH-2 Adjustments Pg 2'!P25+'Exh KMH-2 Adjustments Pg 2'!M25+'Exh KMH-2 Adjustments Pg 2'!N25+'Exh KMH-2 Adjustments Pg 2'!O25</f>
        <v>67686.843944628941</v>
      </c>
      <c r="H22" s="56"/>
      <c r="I22" s="1064">
        <f>'Exh KMH-2 Adjustments Pg 2'!R25+'Exh KMH-2 Adjustments Pg 2'!S25+'Exh KMH-2 Adjustments Pg 2'!T25+'Exh KMH-2 Adjustments Pg 2'!U25+'Exh KMH-2 Adjustments Pg 2'!V25+'Exh KMH-2 Adjustments Pg 2'!W25+'Exh KMH-2 Adjustments Pg 2'!X25+'Exh KMH-2 Adjustments Pg 2'!Y25+'Exh KMH-2 Adjustments Pg 2'!Z25</f>
        <v>914844.87460631854</v>
      </c>
      <c r="J22" s="87"/>
      <c r="K22" s="58">
        <f t="shared" si="0"/>
        <v>17308809.108550947</v>
      </c>
      <c r="L22" s="56"/>
      <c r="M22" s="57"/>
      <c r="N22" s="57"/>
      <c r="O22" s="57"/>
      <c r="P22" s="56"/>
      <c r="Q22" s="59">
        <f t="shared" si="2"/>
        <v>17308809.108550947</v>
      </c>
      <c r="R22" s="59"/>
      <c r="S22" s="59">
        <f t="shared" si="1"/>
        <v>17308809.108550947</v>
      </c>
      <c r="T22" s="1185"/>
      <c r="U22" s="1210"/>
      <c r="V22" s="73"/>
      <c r="X22" s="75"/>
      <c r="Z22" s="74"/>
    </row>
    <row r="23" spans="1:26">
      <c r="A23" s="26">
        <v>9</v>
      </c>
      <c r="B23" s="72" t="s">
        <v>31</v>
      </c>
      <c r="C23" s="54"/>
      <c r="D23" s="62">
        <f>+'Operating Report'!G92</f>
        <v>6383108.290000001</v>
      </c>
      <c r="E23" s="56"/>
      <c r="F23" s="57"/>
      <c r="G23" s="57">
        <f>'Exh KMH-2 Adjustments Pg 2'!G26+'Exh KMH-2 Adjustments Pg 2'!H26+'Exh KMH-2 Adjustments Pg 2'!I26+'Exh KMH-2 Adjustments Pg 2'!J26+'Exh KMH-2 Adjustments Pg 2'!K26+'Exh KMH-2 Adjustments Pg 2'!L26+'Exh KMH-2 Adjustments Pg 2'!P26+'Exh KMH-2 Adjustments Pg 2'!M26+'Exh KMH-2 Adjustments Pg 2'!N26+'Exh KMH-2 Adjustments Pg 2'!O26</f>
        <v>28990.493716057063</v>
      </c>
      <c r="H23" s="56"/>
      <c r="I23" s="1064">
        <f>'Exh KMH-2 Adjustments Pg 2'!R26+'Exh KMH-2 Adjustments Pg 2'!S26+'Exh KMH-2 Adjustments Pg 2'!T26+'Exh KMH-2 Adjustments Pg 2'!U26+'Exh KMH-2 Adjustments Pg 2'!V26+'Exh KMH-2 Adjustments Pg 2'!W26+'Exh KMH-2 Adjustments Pg 2'!X26+'Exh KMH-2 Adjustments Pg 2'!Y26+'Exh KMH-2 Adjustments Pg 2'!Z26</f>
        <v>68968.896126038773</v>
      </c>
      <c r="J23" s="87"/>
      <c r="K23" s="58">
        <f t="shared" si="0"/>
        <v>6481067.6798420968</v>
      </c>
      <c r="L23" s="56"/>
      <c r="M23" s="57"/>
      <c r="N23" s="57">
        <f>+N16*'Conversion Factor'!C8</f>
        <v>-12609.853044648587</v>
      </c>
      <c r="O23" s="57"/>
      <c r="P23" s="56"/>
      <c r="Q23" s="59">
        <f t="shared" si="2"/>
        <v>6468457.8267974481</v>
      </c>
      <c r="R23" s="59">
        <v>-13210</v>
      </c>
      <c r="S23" s="59">
        <f t="shared" si="1"/>
        <v>6455247.8267974481</v>
      </c>
      <c r="T23" s="1185"/>
      <c r="U23" s="1210">
        <f>R23+N23</f>
        <v>-25819.853044648589</v>
      </c>
      <c r="V23" s="73"/>
      <c r="Z23" s="74"/>
    </row>
    <row r="24" spans="1:26">
      <c r="A24" s="26">
        <v>10</v>
      </c>
      <c r="B24" s="72" t="s">
        <v>9</v>
      </c>
      <c r="C24" s="54"/>
      <c r="D24" s="62">
        <f>+'Operating Report'!G99</f>
        <v>824095.64</v>
      </c>
      <c r="E24" s="56"/>
      <c r="F24" s="57"/>
      <c r="G24" s="57">
        <f>'Exh KMH-2 Adjustments Pg 2'!G27+'Exh KMH-2 Adjustments Pg 2'!H27+'Exh KMH-2 Adjustments Pg 2'!I27+'Exh KMH-2 Adjustments Pg 2'!J27+'Exh KMH-2 Adjustments Pg 2'!K27+'Exh KMH-2 Adjustments Pg 2'!L27+'Exh KMH-2 Adjustments Pg 2'!P27+'Exh KMH-2 Adjustments Pg 2'!M27+'Exh KMH-2 Adjustments Pg 2'!N27+'Exh KMH-2 Adjustments Pg 2'!O27</f>
        <v>-533333.36</v>
      </c>
      <c r="H24" s="56"/>
      <c r="I24" s="1064">
        <f>'Exh KMH-2 Adjustments Pg 2'!R27+'Exh KMH-2 Adjustments Pg 2'!S27+'Exh KMH-2 Adjustments Pg 2'!T27+'Exh KMH-2 Adjustments Pg 2'!U27+'Exh KMH-2 Adjustments Pg 2'!V27+'Exh KMH-2 Adjustments Pg 2'!W27+'Exh KMH-2 Adjustments Pg 2'!X27+'Exh KMH-2 Adjustments Pg 2'!Y27+'Exh KMH-2 Adjustments Pg 2'!Z27</f>
        <v>0</v>
      </c>
      <c r="J24" s="87"/>
      <c r="K24" s="58">
        <f t="shared" si="0"/>
        <v>290762.28000000003</v>
      </c>
      <c r="L24" s="56"/>
      <c r="M24" s="57"/>
      <c r="N24" s="57"/>
      <c r="O24" s="57"/>
      <c r="P24" s="56"/>
      <c r="Q24" s="59">
        <f t="shared" si="2"/>
        <v>290762.28000000003</v>
      </c>
      <c r="R24" s="59"/>
      <c r="S24" s="59">
        <f t="shared" si="1"/>
        <v>290762.28000000003</v>
      </c>
      <c r="T24" s="1185"/>
      <c r="U24" s="1210"/>
      <c r="V24" s="73"/>
    </row>
    <row r="25" spans="1:26">
      <c r="A25" s="26">
        <v>11</v>
      </c>
      <c r="B25" s="72" t="s">
        <v>10</v>
      </c>
      <c r="C25" s="54"/>
      <c r="D25" s="62">
        <f>+'Operating Report'!G106</f>
        <v>4916.59</v>
      </c>
      <c r="E25" s="56"/>
      <c r="F25" s="57"/>
      <c r="G25" s="57">
        <f>'Exh KMH-2 Adjustments Pg 2'!G28+'Exh KMH-2 Adjustments Pg 2'!H28+'Exh KMH-2 Adjustments Pg 2'!I28+'Exh KMH-2 Adjustments Pg 2'!J28+'Exh KMH-2 Adjustments Pg 2'!K28+'Exh KMH-2 Adjustments Pg 2'!L28+'Exh KMH-2 Adjustments Pg 2'!P28+'Exh KMH-2 Adjustments Pg 2'!M28+'Exh KMH-2 Adjustments Pg 2'!N28+'Exh KMH-2 Adjustments Pg 2'!O28</f>
        <v>-4916.5899999999992</v>
      </c>
      <c r="H25" s="56"/>
      <c r="I25" s="1064">
        <f>'Exh KMH-2 Adjustments Pg 2'!R28+'Exh KMH-2 Adjustments Pg 2'!S28+'Exh KMH-2 Adjustments Pg 2'!T28+'Exh KMH-2 Adjustments Pg 2'!U28+'Exh KMH-2 Adjustments Pg 2'!V28+'Exh KMH-2 Adjustments Pg 2'!W28+'Exh KMH-2 Adjustments Pg 2'!X28+'Exh KMH-2 Adjustments Pg 2'!Y28+'Exh KMH-2 Adjustments Pg 2'!Z28</f>
        <v>0</v>
      </c>
      <c r="J25" s="87"/>
      <c r="K25" s="58">
        <f t="shared" si="0"/>
        <v>9.0949470177292824E-13</v>
      </c>
      <c r="L25" s="56"/>
      <c r="M25" s="57"/>
      <c r="N25" s="76"/>
      <c r="O25" s="76"/>
      <c r="P25" s="56"/>
      <c r="Q25" s="59">
        <f t="shared" si="2"/>
        <v>9.0949470177292824E-13</v>
      </c>
      <c r="R25" s="59"/>
      <c r="S25" s="59">
        <f t="shared" si="1"/>
        <v>9.0949470177292824E-13</v>
      </c>
      <c r="T25" s="1185"/>
      <c r="U25" s="1210"/>
      <c r="V25" s="73"/>
    </row>
    <row r="26" spans="1:26">
      <c r="A26" s="26">
        <v>12</v>
      </c>
      <c r="B26" s="72" t="s">
        <v>11</v>
      </c>
      <c r="C26" s="64"/>
      <c r="D26" s="62">
        <f>+'Operating Report'!G122</f>
        <v>16459957.959999999</v>
      </c>
      <c r="E26" s="56"/>
      <c r="F26" s="57"/>
      <c r="G26" s="57">
        <f>'Exh KMH-2 Adjustments Pg 2'!G29+'Exh KMH-2 Adjustments Pg 2'!H29+'Exh KMH-2 Adjustments Pg 2'!I29+'Exh KMH-2 Adjustments Pg 2'!J29+'Exh KMH-2 Adjustments Pg 2'!K29+'Exh KMH-2 Adjustments Pg 2'!L29+'Exh KMH-2 Adjustments Pg 2'!P29+'Exh KMH-2 Adjustments Pg 2'!M29+'Exh KMH-2 Adjustments Pg 2'!N29+'Exh KMH-2 Adjustments Pg 2'!O29</f>
        <v>-1805094.2512815839</v>
      </c>
      <c r="H26" s="56"/>
      <c r="I26" s="1064">
        <f>'Exh KMH-2 Adjustments Pg 2'!R29+'Exh KMH-2 Adjustments Pg 2'!S29+'Exh KMH-2 Adjustments Pg 2'!T29+'Exh KMH-2 Adjustments Pg 2'!U29+'Exh KMH-2 Adjustments Pg 2'!V29+'Exh KMH-2 Adjustments Pg 2'!W29+'Exh KMH-2 Adjustments Pg 2'!X29+'Exh KMH-2 Adjustments Pg 2'!Y29+'Exh KMH-2 Adjustments Pg 2'!Z29</f>
        <v>402629.20704709634</v>
      </c>
      <c r="J26" s="87"/>
      <c r="K26" s="58">
        <f t="shared" si="0"/>
        <v>15057492.915765511</v>
      </c>
      <c r="L26" s="56"/>
      <c r="M26" s="57"/>
      <c r="N26" s="76"/>
      <c r="O26" s="76"/>
      <c r="P26" s="56"/>
      <c r="Q26" s="59">
        <f t="shared" si="2"/>
        <v>15057492.915765511</v>
      </c>
      <c r="R26" s="59"/>
      <c r="S26" s="59">
        <f t="shared" si="1"/>
        <v>15057492.915765511</v>
      </c>
      <c r="T26" s="1185"/>
      <c r="U26" s="1210"/>
      <c r="V26" s="60"/>
    </row>
    <row r="27" spans="1:26">
      <c r="A27" s="26">
        <v>13</v>
      </c>
      <c r="B27" s="72" t="s">
        <v>32</v>
      </c>
      <c r="C27" s="54"/>
      <c r="D27" s="55">
        <f>+'Operating Report'!G134</f>
        <v>19218442.350000001</v>
      </c>
      <c r="E27" s="56"/>
      <c r="F27" s="57"/>
      <c r="G27" s="57">
        <f>'Exh KMH-2 Adjustments Pg 2'!G30+'Exh KMH-2 Adjustments Pg 2'!H30+'Exh KMH-2 Adjustments Pg 2'!I30+'Exh KMH-2 Adjustments Pg 2'!J30+'Exh KMH-2 Adjustments Pg 2'!K30+'Exh KMH-2 Adjustments Pg 2'!L30+'Exh KMH-2 Adjustments Pg 2'!P30+'Exh KMH-2 Adjustments Pg 2'!M30+'Exh KMH-2 Adjustments Pg 2'!N30+'Exh KMH-2 Adjustments Pg 2'!O30</f>
        <v>0</v>
      </c>
      <c r="H27" s="56"/>
      <c r="I27" s="1064">
        <f>'Exh KMH-2 Adjustments Pg 2'!R30+'Exh KMH-2 Adjustments Pg 2'!S30+'Exh KMH-2 Adjustments Pg 2'!T30+'Exh KMH-2 Adjustments Pg 2'!U30+'Exh KMH-2 Adjustments Pg 2'!V30+'Exh KMH-2 Adjustments Pg 2'!W30+'Exh KMH-2 Adjustments Pg 2'!X30+'Exh KMH-2 Adjustments Pg 2'!Y30+'Exh KMH-2 Adjustments Pg 2'!Z30</f>
        <v>230313.81640975003</v>
      </c>
      <c r="J27" s="87"/>
      <c r="K27" s="58">
        <f t="shared" si="0"/>
        <v>19448756.166409753</v>
      </c>
      <c r="L27" s="56"/>
      <c r="M27" s="57"/>
      <c r="N27" s="76"/>
      <c r="O27" s="76"/>
      <c r="P27" s="56"/>
      <c r="Q27" s="59">
        <f t="shared" si="2"/>
        <v>19448756.166409753</v>
      </c>
      <c r="R27" s="59"/>
      <c r="S27" s="59">
        <f t="shared" si="1"/>
        <v>19448756.166409753</v>
      </c>
      <c r="T27" s="1185"/>
      <c r="U27" s="1210"/>
      <c r="V27" s="63"/>
    </row>
    <row r="28" spans="1:26">
      <c r="A28" s="26">
        <v>14</v>
      </c>
      <c r="B28" s="72" t="s">
        <v>33</v>
      </c>
      <c r="C28" s="54"/>
      <c r="D28" s="77"/>
      <c r="E28" s="56"/>
      <c r="F28" s="57"/>
      <c r="G28" s="57">
        <f>'Exh KMH-2 Adjustments Pg 2'!G31+'Exh KMH-2 Adjustments Pg 2'!H31+'Exh KMH-2 Adjustments Pg 2'!I31+'Exh KMH-2 Adjustments Pg 2'!J31+'Exh KMH-2 Adjustments Pg 2'!K31+'Exh KMH-2 Adjustments Pg 2'!L31+'Exh KMH-2 Adjustments Pg 2'!P31+'Exh KMH-2 Adjustments Pg 2'!M31+'Exh KMH-2 Adjustments Pg 2'!N31+'Exh KMH-2 Adjustments Pg 2'!O31</f>
        <v>0</v>
      </c>
      <c r="H28" s="56"/>
      <c r="I28" s="1064">
        <f>'Exh KMH-2 Adjustments Pg 2'!R31+'Exh KMH-2 Adjustments Pg 2'!S31+'Exh KMH-2 Adjustments Pg 2'!T31+'Exh KMH-2 Adjustments Pg 2'!U31+'Exh KMH-2 Adjustments Pg 2'!V31+'Exh KMH-2 Adjustments Pg 2'!W31+'Exh KMH-2 Adjustments Pg 2'!X31+'Exh KMH-2 Adjustments Pg 2'!Y31+'Exh KMH-2 Adjustments Pg 2'!Z31</f>
        <v>0</v>
      </c>
      <c r="J28" s="87"/>
      <c r="K28" s="58">
        <f t="shared" si="0"/>
        <v>0</v>
      </c>
      <c r="L28" s="56"/>
      <c r="M28" s="57"/>
      <c r="N28" s="57"/>
      <c r="O28" s="57"/>
      <c r="P28" s="56"/>
      <c r="Q28" s="59">
        <f t="shared" si="2"/>
        <v>0</v>
      </c>
      <c r="R28" s="59"/>
      <c r="S28" s="59">
        <f t="shared" si="1"/>
        <v>0</v>
      </c>
      <c r="T28" s="1185"/>
      <c r="U28" s="1210"/>
      <c r="V28" s="63"/>
    </row>
    <row r="29" spans="1:26">
      <c r="A29" s="26">
        <v>15</v>
      </c>
      <c r="B29" s="72" t="s">
        <v>34</v>
      </c>
      <c r="C29" s="54"/>
      <c r="D29" s="62">
        <f>+'Operating Report'!G139</f>
        <v>4095633.81</v>
      </c>
      <c r="E29" s="56"/>
      <c r="F29" s="57"/>
      <c r="G29" s="57">
        <f>'Exh KMH-2 Adjustments Pg 2'!G32+'Exh KMH-2 Adjustments Pg 2'!H32+'Exh KMH-2 Adjustments Pg 2'!I32+'Exh KMH-2 Adjustments Pg 2'!J32+'Exh KMH-2 Adjustments Pg 2'!K32+'Exh KMH-2 Adjustments Pg 2'!L32+'Exh KMH-2 Adjustments Pg 2'!P32+'Exh KMH-2 Adjustments Pg 2'!M32+'Exh KMH-2 Adjustments Pg 2'!N32+'Exh KMH-2 Adjustments Pg 2'!O32</f>
        <v>5473.850499682937</v>
      </c>
      <c r="H29" s="1064"/>
      <c r="I29" s="1067">
        <f>'Exh KMH-2 Adjustments Pg 2'!R32+'Exh KMH-2 Adjustments Pg 2'!S32+'Exh KMH-2 Adjustments Pg 2'!T32+'Exh KMH-2 Adjustments Pg 2'!U32+'Exh KMH-2 Adjustments Pg 2'!V32+'Exh KMH-2 Adjustments Pg 2'!W32+'Exh KMH-2 Adjustments Pg 2'!X32+'Exh KMH-2 Adjustments Pg 2'!Y32+'Exh KMH-2 Adjustments Pg 2'!Z32</f>
        <v>135947.8755661014</v>
      </c>
      <c r="J29" s="87"/>
      <c r="K29" s="58">
        <f t="shared" si="0"/>
        <v>4237055.5360657843</v>
      </c>
      <c r="L29" s="56"/>
      <c r="M29" s="57"/>
      <c r="N29" s="57"/>
      <c r="O29" s="57"/>
      <c r="P29" s="56"/>
      <c r="Q29" s="59">
        <f t="shared" si="2"/>
        <v>4237055.5360657843</v>
      </c>
      <c r="R29" s="59"/>
      <c r="S29" s="59">
        <f t="shared" si="1"/>
        <v>4237055.5360657843</v>
      </c>
      <c r="T29" s="1185"/>
      <c r="U29" s="1210"/>
      <c r="V29" s="63"/>
    </row>
    <row r="30" spans="1:26">
      <c r="A30" s="26">
        <v>16</v>
      </c>
      <c r="B30" s="72" t="s">
        <v>35</v>
      </c>
      <c r="C30" s="54"/>
      <c r="D30" s="62">
        <f>+'Operating Report'!G148</f>
        <v>4154374.23</v>
      </c>
      <c r="E30" s="56"/>
      <c r="F30" s="57"/>
      <c r="G30" s="57">
        <f>'Exh KMH-2 Adjustments Pg 2'!G33+'Exh KMH-2 Adjustments Pg 2'!H33+'Exh KMH-2 Adjustments Pg 2'!I33+'Exh KMH-2 Adjustments Pg 2'!J33+'Exh KMH-2 Adjustments Pg 2'!K33+'Exh KMH-2 Adjustments Pg 2'!L33+'Exh KMH-2 Adjustments Pg 2'!P33+'Exh KMH-2 Adjustments Pg 2'!M33+'Exh KMH-2 Adjustments Pg 2'!N33+'Exh KMH-2 Adjustments Pg 2'!O33</f>
        <v>1270977.7151355385</v>
      </c>
      <c r="H30" s="1064"/>
      <c r="I30" s="1067">
        <f>'Exh KMH-2 Adjustments Pg 2'!R33+'Exh KMH-2 Adjustments Pg 2'!S33+'Exh KMH-2 Adjustments Pg 2'!T33+'Exh KMH-2 Adjustments Pg 2'!U33+'Exh KMH-2 Adjustments Pg 2'!V33+'Exh KMH-2 Adjustments Pg 2'!W33+'Exh KMH-2 Adjustments Pg 2'!X33+'Exh KMH-2 Adjustments Pg 2'!Y33+'Exh KMH-2 Adjustments Pg 2'!Z33</f>
        <v>2222705.90547544</v>
      </c>
      <c r="J30" s="87"/>
      <c r="K30" s="58">
        <f t="shared" si="0"/>
        <v>7648057.8506109789</v>
      </c>
      <c r="L30" s="56"/>
      <c r="M30" s="57"/>
      <c r="N30" s="57">
        <f>(+N16-N20-N23)*'Conversion Factor'!C31</f>
        <v>-1112005.4231635551</v>
      </c>
      <c r="O30" s="57"/>
      <c r="P30" s="56"/>
      <c r="Q30" s="59">
        <f t="shared" si="2"/>
        <v>6536052.4274474233</v>
      </c>
      <c r="R30" s="59">
        <v>-3328321</v>
      </c>
      <c r="S30" s="59">
        <f t="shared" si="1"/>
        <v>3207731.4274474233</v>
      </c>
      <c r="T30" s="1185"/>
      <c r="U30" s="1210">
        <f>R30+N30</f>
        <v>-4440326.4231635556</v>
      </c>
      <c r="V30" s="63"/>
    </row>
    <row r="31" spans="1:26" ht="16.5" thickBot="1">
      <c r="A31" s="26">
        <v>17</v>
      </c>
      <c r="B31" s="78" t="s">
        <v>36</v>
      </c>
      <c r="C31" s="36"/>
      <c r="D31" s="1181">
        <f>SUM(D19:D30)</f>
        <v>188526000.04999998</v>
      </c>
      <c r="E31" s="1182"/>
      <c r="F31" s="76"/>
      <c r="G31" s="1183">
        <f>SUM(G19:G30)</f>
        <v>4279926.3987826835</v>
      </c>
      <c r="H31" s="1189"/>
      <c r="I31" s="1190">
        <f>SUM(I19:I30)</f>
        <v>4283289.8206652496</v>
      </c>
      <c r="J31" s="1184"/>
      <c r="K31" s="1183">
        <f>SUM(K19:K30)</f>
        <v>197089216.26944795</v>
      </c>
      <c r="L31" s="1182"/>
      <c r="M31" s="76"/>
      <c r="N31" s="1183">
        <f>SUM(N19:N30)</f>
        <v>-1259323.0425651781</v>
      </c>
      <c r="O31" s="1185"/>
      <c r="P31" s="1182"/>
      <c r="Q31" s="1186">
        <f>SUM(Q19:Q30)</f>
        <v>195829893.22688282</v>
      </c>
      <c r="R31" s="1186">
        <f>SUM(R19:R30)</f>
        <v>-3482648</v>
      </c>
      <c r="S31" s="1186">
        <f>SUM(S19:S30)</f>
        <v>192347245.22688282</v>
      </c>
      <c r="T31" s="1185"/>
      <c r="U31" s="1211">
        <f>SUM(U19:U30)</f>
        <v>-4741971.0425651791</v>
      </c>
      <c r="V31" s="60"/>
    </row>
    <row r="32" spans="1:26" ht="17.25" thickTop="1" thickBot="1">
      <c r="A32" s="26">
        <v>18</v>
      </c>
      <c r="B32" s="78" t="s">
        <v>2110</v>
      </c>
      <c r="C32" s="36"/>
      <c r="D32" s="1181">
        <f>+D16-D31</f>
        <v>16604662.180000037</v>
      </c>
      <c r="E32" s="1182"/>
      <c r="F32" s="76"/>
      <c r="G32" s="1183">
        <f>+G16-G31</f>
        <v>2360385.7566802865</v>
      </c>
      <c r="H32" s="1183"/>
      <c r="I32" s="1192">
        <f>I16-I31</f>
        <v>3119344.8141665477</v>
      </c>
      <c r="J32" s="1184"/>
      <c r="K32" s="1183">
        <f>+K16-K31</f>
        <v>22084392.750846833</v>
      </c>
      <c r="L32" s="1182"/>
      <c r="M32" s="76"/>
      <c r="N32" s="1183">
        <f>+N16-N31</f>
        <v>-2065152.9287323169</v>
      </c>
      <c r="O32" s="1185"/>
      <c r="P32" s="1182"/>
      <c r="Q32" s="1186">
        <f>+Q16-Q31</f>
        <v>20019239.822114468</v>
      </c>
      <c r="R32" s="1186">
        <f>+R16-R31</f>
        <v>0</v>
      </c>
      <c r="S32" s="1186">
        <f>S16-S31</f>
        <v>20019239.822114468</v>
      </c>
      <c r="T32" s="1185"/>
      <c r="U32" s="1212">
        <f>U16-U31</f>
        <v>-2065152.928732316</v>
      </c>
      <c r="V32" s="60"/>
      <c r="X32" s="83"/>
    </row>
    <row r="33" spans="1:24" ht="16.5" thickTop="1">
      <c r="A33" s="26"/>
      <c r="B33" s="78"/>
      <c r="C33" s="36"/>
      <c r="D33" s="1187"/>
      <c r="E33" s="1182"/>
      <c r="F33" s="76"/>
      <c r="G33" s="1185"/>
      <c r="H33" s="1185"/>
      <c r="I33" s="1187"/>
      <c r="J33" s="1184"/>
      <c r="K33" s="1185"/>
      <c r="L33" s="1182"/>
      <c r="M33" s="76"/>
      <c r="N33" s="1185"/>
      <c r="O33" s="1185"/>
      <c r="P33" s="1182"/>
      <c r="Q33" s="1188"/>
      <c r="R33" s="1188"/>
      <c r="S33" s="1188"/>
      <c r="T33" s="1185"/>
      <c r="U33" s="1210"/>
      <c r="V33" s="60"/>
      <c r="X33" s="83"/>
    </row>
    <row r="34" spans="1:24">
      <c r="A34" s="26"/>
      <c r="B34" s="78" t="s">
        <v>37</v>
      </c>
      <c r="C34" s="54"/>
      <c r="D34" s="86"/>
      <c r="E34" s="56"/>
      <c r="F34" s="57"/>
      <c r="G34" s="57"/>
      <c r="H34" s="1064"/>
      <c r="I34" s="1067"/>
      <c r="J34" s="87"/>
      <c r="K34" s="57"/>
      <c r="L34" s="56"/>
      <c r="M34" s="57"/>
      <c r="N34" s="57"/>
      <c r="O34" s="57"/>
      <c r="P34" s="56"/>
      <c r="Q34" s="87"/>
      <c r="R34" s="87"/>
      <c r="S34" s="87"/>
      <c r="T34" s="76"/>
      <c r="U34" s="1210"/>
      <c r="V34" s="73"/>
    </row>
    <row r="35" spans="1:24">
      <c r="A35" s="26">
        <v>19</v>
      </c>
      <c r="B35" s="53" t="s">
        <v>39</v>
      </c>
      <c r="C35" s="54"/>
      <c r="D35" s="55">
        <f>+'Rate Base'!D13</f>
        <v>677314165.18981874</v>
      </c>
      <c r="E35" s="56"/>
      <c r="F35" s="57"/>
      <c r="G35" s="57">
        <f>'Exh KMH-2 Adjustments Pg 2'!G38+'Exh KMH-2 Adjustments Pg 2'!H38+'Exh KMH-2 Adjustments Pg 2'!I38+'Exh KMH-2 Adjustments Pg 2'!J38+'Exh KMH-2 Adjustments Pg 2'!K38+'Exh KMH-2 Adjustments Pg 2'!L38+'Exh KMH-2 Adjustments Pg 2'!M38+'Exh KMH-2 Adjustments Pg 2'!N38+'Exh KMH-2 Adjustments Pg 2'!O38</f>
        <v>0</v>
      </c>
      <c r="H35" s="56"/>
      <c r="I35" s="1064">
        <f>'Exh KMH-2 Adjustments Pg 2'!R38+'Exh KMH-2 Adjustments Pg 2'!S38+'Exh KMH-2 Adjustments Pg 2'!T38+'Exh KMH-2 Adjustments Pg 2'!U38+'Exh KMH-2 Adjustments Pg 2'!V38+'Exh KMH-2 Adjustments Pg 2'!W38+'Exh KMH-2 Adjustments Pg 2'!X38+'Exh KMH-2 Adjustments Pg 2'!Y38+'Exh KMH-2 Adjustments Pg 2'!Z38</f>
        <v>10548581.273750002</v>
      </c>
      <c r="J35" s="87"/>
      <c r="K35" s="58">
        <f>+D35+G35+I35</f>
        <v>687862746.46356869</v>
      </c>
      <c r="L35" s="56"/>
      <c r="M35" s="57"/>
      <c r="N35" s="58"/>
      <c r="O35" s="58"/>
      <c r="P35" s="56"/>
      <c r="Q35" s="59">
        <f t="shared" ref="Q35:Q39" si="3">+K35+N35</f>
        <v>687862746.46356869</v>
      </c>
      <c r="R35" s="59"/>
      <c r="S35" s="59">
        <f t="shared" ref="S35:S39" si="4">Q35+R35</f>
        <v>687862746.46356869</v>
      </c>
      <c r="T35" s="1185"/>
      <c r="U35" s="1210"/>
      <c r="V35" s="60"/>
    </row>
    <row r="36" spans="1:24">
      <c r="A36" s="26">
        <v>20</v>
      </c>
      <c r="B36" s="53" t="s">
        <v>40</v>
      </c>
      <c r="C36" s="54"/>
      <c r="D36" s="62">
        <f>+'Rate Base'!D14</f>
        <v>-345424354.83661753</v>
      </c>
      <c r="E36" s="56"/>
      <c r="F36" s="57"/>
      <c r="G36" s="57">
        <f>'Exh KMH-2 Adjustments Pg 2'!G39+'Exh KMH-2 Adjustments Pg 2'!H39+'Exh KMH-2 Adjustments Pg 2'!I39+'Exh KMH-2 Adjustments Pg 2'!J39+'Exh KMH-2 Adjustments Pg 2'!K39+'Exh KMH-2 Adjustments Pg 2'!L39+'Exh KMH-2 Adjustments Pg 2'!M39+'Exh KMH-2 Adjustments Pg 2'!N39+'Exh KMH-2 Adjustments Pg 2'!O39</f>
        <v>0</v>
      </c>
      <c r="H36" s="56"/>
      <c r="I36" s="1064">
        <f>'Exh KMH-2 Adjustments Pg 2'!R39+'Exh KMH-2 Adjustments Pg 2'!S39+'Exh KMH-2 Adjustments Pg 2'!T39+'Exh KMH-2 Adjustments Pg 2'!U39+'Exh KMH-2 Adjustments Pg 2'!V39+'Exh KMH-2 Adjustments Pg 2'!W39+'Exh KMH-2 Adjustments Pg 2'!X39+'Exh KMH-2 Adjustments Pg 2'!Y39+'Exh KMH-2 Adjustments Pg 2'!Z39</f>
        <v>-115156.90820487501</v>
      </c>
      <c r="J36" s="87"/>
      <c r="K36" s="58">
        <f>+D36+G36+I36</f>
        <v>-345539511.74482238</v>
      </c>
      <c r="L36" s="56"/>
      <c r="M36" s="57"/>
      <c r="N36" s="58"/>
      <c r="O36" s="58"/>
      <c r="P36" s="56"/>
      <c r="Q36" s="59">
        <f t="shared" si="3"/>
        <v>-345539511.74482238</v>
      </c>
      <c r="R36" s="59"/>
      <c r="S36" s="59">
        <f t="shared" si="4"/>
        <v>-345539511.74482238</v>
      </c>
      <c r="T36" s="1185"/>
      <c r="U36" s="1210"/>
      <c r="V36" s="63"/>
    </row>
    <row r="37" spans="1:24">
      <c r="A37" s="26">
        <v>21</v>
      </c>
      <c r="B37" s="64" t="s">
        <v>13</v>
      </c>
      <c r="C37" s="64"/>
      <c r="D37" s="62">
        <f>+'Rate Base'!D16</f>
        <v>-3771590.387083333</v>
      </c>
      <c r="E37" s="56"/>
      <c r="F37" s="57"/>
      <c r="G37" s="57">
        <f>'Exh KMH-2 Adjustments Pg 2'!G40+'Exh KMH-2 Adjustments Pg 2'!H40+'Exh KMH-2 Adjustments Pg 2'!I40+'Exh KMH-2 Adjustments Pg 2'!J40+'Exh KMH-2 Adjustments Pg 2'!K40+'Exh KMH-2 Adjustments Pg 2'!L40+'Exh KMH-2 Adjustments Pg 2'!M40+'Exh KMH-2 Adjustments Pg 2'!N40+'Exh KMH-2 Adjustments Pg 2'!O40</f>
        <v>0</v>
      </c>
      <c r="H37" s="56"/>
      <c r="I37" s="1064">
        <f>'Exh KMH-2 Adjustments Pg 2'!R40+'Exh KMH-2 Adjustments Pg 2'!S40+'Exh KMH-2 Adjustments Pg 2'!T40+'Exh KMH-2 Adjustments Pg 2'!U40+'Exh KMH-2 Adjustments Pg 2'!V40+'Exh KMH-2 Adjustments Pg 2'!W40+'Exh KMH-2 Adjustments Pg 2'!X40+'Exh KMH-2 Adjustments Pg 2'!Y40+'Exh KMH-2 Adjustments Pg 2'!Z40</f>
        <v>0</v>
      </c>
      <c r="J37" s="87"/>
      <c r="K37" s="58">
        <f>+D37+G37+I37</f>
        <v>-3771590.387083333</v>
      </c>
      <c r="L37" s="56"/>
      <c r="M37" s="57"/>
      <c r="N37" s="58"/>
      <c r="O37" s="58"/>
      <c r="P37" s="56"/>
      <c r="Q37" s="59">
        <f t="shared" si="3"/>
        <v>-3771590.387083333</v>
      </c>
      <c r="R37" s="59"/>
      <c r="S37" s="59">
        <f t="shared" si="4"/>
        <v>-3771590.387083333</v>
      </c>
      <c r="T37" s="1185"/>
      <c r="U37" s="1210"/>
      <c r="V37" s="63"/>
    </row>
    <row r="38" spans="1:24">
      <c r="A38" s="26">
        <v>22</v>
      </c>
      <c r="B38" s="64" t="s">
        <v>41</v>
      </c>
      <c r="C38" s="54"/>
      <c r="D38" s="62">
        <f>+'Rate Base'!D17</f>
        <v>-73667038.139583334</v>
      </c>
      <c r="E38" s="56"/>
      <c r="F38" s="57"/>
      <c r="G38" s="57">
        <f>'Exh KMH-2 Adjustments Pg 2'!G41+'Exh KMH-2 Adjustments Pg 2'!H41+'Exh KMH-2 Adjustments Pg 2'!I41+'Exh KMH-2 Adjustments Pg 2'!J41+'Exh KMH-2 Adjustments Pg 2'!K41+'Exh KMH-2 Adjustments Pg 2'!L41+'Exh KMH-2 Adjustments Pg 2'!M41+'Exh KMH-2 Adjustments Pg 2'!N41+'Exh KMH-2 Adjustments Pg 2'!O41</f>
        <v>0</v>
      </c>
      <c r="H38" s="56"/>
      <c r="I38" s="1064">
        <f>'Exh KMH-2 Adjustments Pg 2'!R41+'Exh KMH-2 Adjustments Pg 2'!S41+'Exh KMH-2 Adjustments Pg 2'!T41+'Exh KMH-2 Adjustments Pg 2'!U41+'Exh KMH-2 Adjustments Pg 2'!V41+'Exh KMH-2 Adjustments Pg 2'!W41+'Exh KMH-2 Adjustments Pg 2'!X41+'Exh KMH-2 Adjustments Pg 2'!Y41+'Exh KMH-2 Adjustments Pg 2'!Z41</f>
        <v>-28920.14673727813</v>
      </c>
      <c r="J38" s="87"/>
      <c r="K38" s="58">
        <f>+D38+G38+I38</f>
        <v>-73695958.286320612</v>
      </c>
      <c r="L38" s="56"/>
      <c r="M38" s="57"/>
      <c r="N38" s="58"/>
      <c r="O38" s="58"/>
      <c r="P38" s="56"/>
      <c r="Q38" s="59">
        <f t="shared" si="3"/>
        <v>-73695958.286320612</v>
      </c>
      <c r="R38" s="59"/>
      <c r="S38" s="59">
        <f t="shared" si="4"/>
        <v>-73695958.286320612</v>
      </c>
      <c r="T38" s="1185"/>
      <c r="U38" s="1210"/>
      <c r="V38" s="63"/>
    </row>
    <row r="39" spans="1:24">
      <c r="A39" s="26">
        <v>23</v>
      </c>
      <c r="B39" s="64" t="s">
        <v>42</v>
      </c>
      <c r="C39" s="54"/>
      <c r="D39" s="62">
        <f>+'Rate Base'!D18</f>
        <v>25610869.595646363</v>
      </c>
      <c r="E39" s="56"/>
      <c r="F39" s="57"/>
      <c r="G39" s="57">
        <f>'Exh KMH-2 Adjustments Pg 2'!G42+'Exh KMH-2 Adjustments Pg 2'!H42+'Exh KMH-2 Adjustments Pg 2'!I42+'Exh KMH-2 Adjustments Pg 2'!J42+'Exh KMH-2 Adjustments Pg 2'!K42+'Exh KMH-2 Adjustments Pg 2'!L42+'Exh KMH-2 Adjustments Pg 2'!M42+'Exh KMH-2 Adjustments Pg 2'!N42+'Exh KMH-2 Adjustments Pg 2'!O42</f>
        <v>-12922679</v>
      </c>
      <c r="H39" s="56"/>
      <c r="I39" s="1066">
        <f>'Exh KMH-2 Adjustments Pg 2'!R42+'Exh KMH-2 Adjustments Pg 2'!S42+'Exh KMH-2 Adjustments Pg 2'!T42+'Exh KMH-2 Adjustments Pg 2'!U42+'Exh KMH-2 Adjustments Pg 2'!V42+'Exh KMH-2 Adjustments Pg 2'!W42+'Exh KMH-2 Adjustments Pg 2'!X42+'Exh KMH-2 Adjustments Pg 2'!Y42+'Exh KMH-2 Adjustments Pg 2'!Z42</f>
        <v>0</v>
      </c>
      <c r="J39" s="87"/>
      <c r="K39" s="58">
        <f>+D39+G39+I39</f>
        <v>12688190.595646363</v>
      </c>
      <c r="L39" s="56"/>
      <c r="M39" s="57"/>
      <c r="N39" s="58"/>
      <c r="O39" s="58"/>
      <c r="P39" s="56"/>
      <c r="Q39" s="59">
        <f t="shared" si="3"/>
        <v>12688190.595646363</v>
      </c>
      <c r="R39" s="59"/>
      <c r="S39" s="59">
        <f t="shared" si="4"/>
        <v>12688190.595646363</v>
      </c>
      <c r="T39" s="1185"/>
      <c r="U39" s="1210"/>
      <c r="V39" s="63"/>
    </row>
    <row r="40" spans="1:24" ht="16.5" thickBot="1">
      <c r="A40" s="26">
        <v>24</v>
      </c>
      <c r="B40" s="78" t="s">
        <v>38</v>
      </c>
      <c r="C40" s="26"/>
      <c r="D40" s="88">
        <f>SUM(D35:D39)</f>
        <v>280062051.42218089</v>
      </c>
      <c r="E40" s="56"/>
      <c r="F40" s="57"/>
      <c r="G40" s="88">
        <f>SUM(G35:G39)</f>
        <v>-12922679</v>
      </c>
      <c r="H40" s="56"/>
      <c r="I40" s="1068">
        <f>SUM(I35:I39)</f>
        <v>10404504.218807848</v>
      </c>
      <c r="J40" s="87"/>
      <c r="K40" s="1065">
        <f>SUM(K35:K39)</f>
        <v>277543876.64098871</v>
      </c>
      <c r="L40" s="56"/>
      <c r="M40" s="57"/>
      <c r="N40" s="88">
        <f>SUM(N35:N39)</f>
        <v>0</v>
      </c>
      <c r="O40" s="84"/>
      <c r="P40" s="56"/>
      <c r="Q40" s="88">
        <f>SUM(Q35:Q39)</f>
        <v>277543876.64098871</v>
      </c>
      <c r="R40" s="88">
        <f>SUM(R35:R39)</f>
        <v>0</v>
      </c>
      <c r="S40" s="88">
        <f>SUM(S35:S39)</f>
        <v>277543876.64098871</v>
      </c>
      <c r="T40" s="1185"/>
      <c r="U40" s="1213">
        <f>SUM(U35:U39)</f>
        <v>0</v>
      </c>
      <c r="V40" s="60"/>
    </row>
    <row r="41" spans="1:24" ht="16.5" thickTop="1">
      <c r="A41" s="26">
        <v>25</v>
      </c>
      <c r="B41" s="78" t="s">
        <v>14</v>
      </c>
      <c r="C41" s="54"/>
      <c r="D41" s="89">
        <f>+D32/D40</f>
        <v>5.9289225711516548E-2</v>
      </c>
      <c r="E41" s="36"/>
      <c r="F41" s="26"/>
      <c r="G41" s="26"/>
      <c r="H41" s="36"/>
      <c r="I41" s="26"/>
      <c r="J41" s="36"/>
      <c r="K41" s="90">
        <f>+K32/K40</f>
        <v>7.9570816038624606E-2</v>
      </c>
      <c r="L41" s="36"/>
      <c r="M41" s="26"/>
      <c r="N41" s="91"/>
      <c r="O41" s="91"/>
      <c r="P41" s="36"/>
      <c r="Q41" s="92">
        <f>+Q32/Q40</f>
        <v>7.2129999999999833E-2</v>
      </c>
      <c r="R41" s="92"/>
      <c r="S41" s="92">
        <f>+S32/S40</f>
        <v>7.2129999999999833E-2</v>
      </c>
      <c r="T41" s="90"/>
      <c r="U41" s="1210"/>
      <c r="V41" s="26"/>
    </row>
    <row r="42" spans="1:24">
      <c r="A42" s="93"/>
      <c r="B42" s="94"/>
      <c r="C42" s="95"/>
      <c r="D42" s="96"/>
      <c r="E42" s="48"/>
      <c r="F42" s="49"/>
      <c r="G42" s="49"/>
      <c r="H42" s="48"/>
      <c r="I42" s="49"/>
      <c r="J42" s="48"/>
      <c r="K42" s="97"/>
      <c r="L42" s="48"/>
      <c r="M42" s="49"/>
      <c r="N42" s="49"/>
      <c r="O42" s="49"/>
      <c r="P42" s="49"/>
      <c r="Q42" s="98"/>
      <c r="R42" s="1179"/>
      <c r="S42" s="1179"/>
      <c r="T42" s="90"/>
      <c r="U42" s="1209"/>
      <c r="V42" s="26"/>
    </row>
    <row r="43" spans="1:24">
      <c r="A43" s="27"/>
      <c r="B43" s="27"/>
      <c r="C43" s="27"/>
      <c r="D43" s="27"/>
      <c r="E43" s="27"/>
      <c r="F43" s="27"/>
      <c r="G43" s="27"/>
      <c r="H43" s="27"/>
      <c r="I43" s="27"/>
      <c r="J43" s="27"/>
      <c r="K43" s="27"/>
      <c r="L43" s="27"/>
      <c r="M43" s="27"/>
      <c r="N43" s="27"/>
      <c r="O43" s="27"/>
      <c r="P43" s="27"/>
      <c r="Q43" s="27"/>
      <c r="R43" s="27"/>
      <c r="S43" s="27"/>
      <c r="T43" s="1191"/>
      <c r="U43" s="64"/>
      <c r="V43" s="27"/>
    </row>
    <row r="44" spans="1:24">
      <c r="T44" s="16"/>
    </row>
    <row r="45" spans="1:24">
      <c r="N45" s="100"/>
      <c r="T45" s="16"/>
    </row>
    <row r="47" spans="1:24">
      <c r="N47" s="75"/>
    </row>
  </sheetData>
  <mergeCells count="3">
    <mergeCell ref="A1:U1"/>
    <mergeCell ref="A2:U2"/>
    <mergeCell ref="A3:U3"/>
  </mergeCells>
  <printOptions horizontalCentered="1"/>
  <pageMargins left="0.5" right="0.5" top="1" bottom="1" header="0.3" footer="0.3"/>
  <pageSetup scale="65" orientation="landscape" r:id="rId1"/>
  <headerFooter scaleWithDoc="0" alignWithMargins="0">
    <oddHeader>&amp;RExh. KMH-2
Docket  UG-170929
Page 1 of 2</oddHeader>
    <oddFooter>&amp;L&amp;F&amp;C&amp;A&amp;R&amp;D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A3" sqref="A3:I3"/>
    </sheetView>
  </sheetViews>
  <sheetFormatPr defaultColWidth="9.140625" defaultRowHeight="15.75"/>
  <cols>
    <col min="1" max="5" width="9.140625" style="5"/>
    <col min="6" max="6" width="20.7109375" style="5" customWidth="1"/>
    <col min="7" max="16384" width="9.140625" style="5"/>
  </cols>
  <sheetData>
    <row r="1" spans="1:11">
      <c r="A1" s="1287" t="s">
        <v>56</v>
      </c>
      <c r="B1" s="1287"/>
      <c r="C1" s="1287"/>
      <c r="D1" s="1287"/>
      <c r="E1" s="1287"/>
      <c r="F1" s="1287"/>
      <c r="G1" s="1287"/>
      <c r="H1" s="1287"/>
      <c r="I1" s="1287"/>
      <c r="J1" s="4"/>
      <c r="K1" s="4"/>
    </row>
    <row r="2" spans="1:11">
      <c r="A2" s="1287" t="s">
        <v>1609</v>
      </c>
      <c r="B2" s="1287"/>
      <c r="C2" s="1287"/>
      <c r="D2" s="1287"/>
      <c r="E2" s="1287"/>
      <c r="F2" s="1287"/>
      <c r="G2" s="1287"/>
      <c r="H2" s="1287"/>
      <c r="I2" s="1287"/>
      <c r="J2" s="4"/>
      <c r="K2" s="4"/>
    </row>
    <row r="3" spans="1:11">
      <c r="A3" s="1287"/>
      <c r="B3" s="1287"/>
      <c r="C3" s="1287"/>
      <c r="D3" s="1287"/>
      <c r="E3" s="1287"/>
      <c r="F3" s="1287"/>
      <c r="G3" s="1287"/>
      <c r="H3" s="1287"/>
      <c r="I3" s="1287"/>
      <c r="J3" s="4"/>
      <c r="K3" s="4"/>
    </row>
    <row r="4" spans="1:11">
      <c r="A4" s="1287" t="s">
        <v>1121</v>
      </c>
      <c r="B4" s="1287"/>
      <c r="C4" s="1287"/>
      <c r="D4" s="1287"/>
      <c r="E4" s="1287"/>
      <c r="F4" s="1287"/>
      <c r="G4" s="1287"/>
      <c r="H4" s="1287"/>
      <c r="I4" s="1287"/>
      <c r="J4" s="4"/>
      <c r="K4" s="4"/>
    </row>
    <row r="5" spans="1:11">
      <c r="A5" s="1287" t="s">
        <v>980</v>
      </c>
      <c r="B5" s="1287"/>
      <c r="C5" s="1287"/>
      <c r="D5" s="1287"/>
      <c r="E5" s="1287"/>
      <c r="F5" s="1287"/>
      <c r="G5" s="1287"/>
      <c r="H5" s="1287"/>
      <c r="I5" s="1287"/>
      <c r="J5" s="4"/>
      <c r="K5" s="4"/>
    </row>
    <row r="8" spans="1:11">
      <c r="A8" s="564" t="s">
        <v>1122</v>
      </c>
      <c r="B8" s="22"/>
      <c r="C8" s="22"/>
      <c r="D8" s="22"/>
      <c r="E8" s="22"/>
      <c r="F8" s="22"/>
      <c r="G8" s="22"/>
      <c r="H8" s="22"/>
      <c r="I8" s="22"/>
      <c r="J8" s="22"/>
      <c r="K8" s="22"/>
    </row>
    <row r="10" spans="1:11">
      <c r="D10" s="7" t="s">
        <v>886</v>
      </c>
      <c r="E10" s="7" t="s">
        <v>1623</v>
      </c>
      <c r="F10" s="7" t="s">
        <v>1621</v>
      </c>
    </row>
    <row r="11" spans="1:11" ht="63">
      <c r="D11" s="7"/>
      <c r="E11" s="565" t="s">
        <v>1618</v>
      </c>
      <c r="F11" s="566" t="s">
        <v>1869</v>
      </c>
    </row>
    <row r="12" spans="1:11">
      <c r="D12" s="7">
        <v>1</v>
      </c>
      <c r="E12" s="7" t="s">
        <v>1123</v>
      </c>
      <c r="F12" s="547">
        <v>66666.67</v>
      </c>
    </row>
    <row r="13" spans="1:11">
      <c r="D13" s="7">
        <v>2</v>
      </c>
      <c r="E13" s="7" t="s">
        <v>1124</v>
      </c>
      <c r="F13" s="547">
        <v>66666.67</v>
      </c>
    </row>
    <row r="14" spans="1:11">
      <c r="D14" s="7">
        <v>3</v>
      </c>
      <c r="E14" s="7" t="s">
        <v>1125</v>
      </c>
      <c r="F14" s="547">
        <v>66666.67</v>
      </c>
    </row>
    <row r="15" spans="1:11">
      <c r="D15" s="7">
        <v>4</v>
      </c>
      <c r="E15" s="7" t="s">
        <v>1126</v>
      </c>
      <c r="F15" s="547">
        <v>66666.67</v>
      </c>
    </row>
    <row r="16" spans="1:11">
      <c r="D16" s="7">
        <v>5</v>
      </c>
      <c r="E16" s="7" t="s">
        <v>1127</v>
      </c>
      <c r="F16" s="547">
        <v>66666.67</v>
      </c>
    </row>
    <row r="17" spans="3:6">
      <c r="D17" s="7">
        <v>6</v>
      </c>
      <c r="E17" s="7" t="s">
        <v>1128</v>
      </c>
      <c r="F17" s="547">
        <v>66666.67</v>
      </c>
    </row>
    <row r="18" spans="3:6">
      <c r="D18" s="7">
        <v>7</v>
      </c>
      <c r="E18" s="7" t="s">
        <v>1129</v>
      </c>
      <c r="F18" s="547">
        <v>66666.67</v>
      </c>
    </row>
    <row r="19" spans="3:6">
      <c r="C19" s="455"/>
      <c r="D19" s="7">
        <v>8</v>
      </c>
      <c r="E19" s="7" t="s">
        <v>1130</v>
      </c>
      <c r="F19" s="547">
        <v>66666.67</v>
      </c>
    </row>
    <row r="20" spans="3:6" ht="16.5" thickBot="1">
      <c r="D20" s="7">
        <v>9</v>
      </c>
      <c r="E20" s="7" t="s">
        <v>54</v>
      </c>
      <c r="F20" s="849">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3" sqref="A3:H3"/>
    </sheetView>
  </sheetViews>
  <sheetFormatPr defaultColWidth="9.140625" defaultRowHeight="15.75"/>
  <cols>
    <col min="1" max="1" width="9.28515625" style="568" bestFit="1" customWidth="1"/>
    <col min="2" max="2" width="13.5703125" style="132" bestFit="1" customWidth="1"/>
    <col min="3" max="4" width="10.85546875" style="132" bestFit="1" customWidth="1"/>
    <col min="5" max="5" width="15.42578125" style="132" bestFit="1" customWidth="1"/>
    <col min="6" max="6" width="11.5703125" style="132" bestFit="1" customWidth="1"/>
    <col min="7" max="7" width="9.28515625" style="132" bestFit="1" customWidth="1"/>
    <col min="8" max="8" width="12.7109375" style="568" bestFit="1" customWidth="1"/>
    <col min="9" max="16384" width="9.140625" style="132"/>
  </cols>
  <sheetData>
    <row r="1" spans="1:13">
      <c r="A1" s="1287" t="s">
        <v>56</v>
      </c>
      <c r="B1" s="1287"/>
      <c r="C1" s="1287"/>
      <c r="D1" s="1287"/>
      <c r="E1" s="1287"/>
      <c r="F1" s="1287"/>
      <c r="G1" s="1287"/>
      <c r="H1" s="1287"/>
      <c r="I1" s="4"/>
      <c r="J1" s="4"/>
      <c r="K1" s="567"/>
      <c r="L1" s="567"/>
      <c r="M1" s="567"/>
    </row>
    <row r="2" spans="1:13">
      <c r="A2" s="1287" t="s">
        <v>1609</v>
      </c>
      <c r="B2" s="1287"/>
      <c r="C2" s="1287"/>
      <c r="D2" s="1287"/>
      <c r="E2" s="1287"/>
      <c r="F2" s="1287"/>
      <c r="G2" s="1287"/>
      <c r="H2" s="1287"/>
      <c r="I2" s="4"/>
      <c r="J2" s="4"/>
      <c r="K2" s="567"/>
      <c r="L2" s="567"/>
      <c r="M2" s="567"/>
    </row>
    <row r="3" spans="1:13">
      <c r="A3" s="1287"/>
      <c r="B3" s="1287"/>
      <c r="C3" s="1287"/>
      <c r="D3" s="1287"/>
      <c r="E3" s="1287"/>
      <c r="F3" s="1287"/>
      <c r="G3" s="1287"/>
      <c r="H3" s="1287"/>
      <c r="I3" s="4"/>
      <c r="J3" s="4"/>
      <c r="K3" s="567"/>
      <c r="L3" s="567"/>
      <c r="M3" s="567"/>
    </row>
    <row r="4" spans="1:13">
      <c r="A4" s="1287" t="s">
        <v>82</v>
      </c>
      <c r="B4" s="1287"/>
      <c r="C4" s="1287"/>
      <c r="D4" s="1287"/>
      <c r="E4" s="1287"/>
      <c r="F4" s="1287"/>
      <c r="G4" s="1287"/>
      <c r="H4" s="1287"/>
      <c r="I4" s="4"/>
      <c r="J4" s="4"/>
      <c r="K4" s="567"/>
      <c r="L4" s="567"/>
      <c r="M4" s="567"/>
    </row>
    <row r="5" spans="1:13">
      <c r="A5" s="1287" t="s">
        <v>980</v>
      </c>
      <c r="B5" s="1287"/>
      <c r="C5" s="1287"/>
      <c r="D5" s="1287"/>
      <c r="E5" s="1287"/>
      <c r="F5" s="1287"/>
      <c r="G5" s="1287"/>
      <c r="H5" s="1287"/>
      <c r="I5" s="4"/>
      <c r="J5" s="4"/>
      <c r="K5" s="567"/>
      <c r="L5" s="567"/>
      <c r="M5" s="567"/>
    </row>
    <row r="6" spans="1:13">
      <c r="K6" s="567"/>
      <c r="L6" s="567"/>
      <c r="M6" s="567"/>
    </row>
    <row r="7" spans="1:13">
      <c r="K7" s="567"/>
      <c r="L7" s="567"/>
      <c r="M7" s="567"/>
    </row>
    <row r="8" spans="1:13">
      <c r="K8" s="567"/>
      <c r="L8" s="567"/>
      <c r="M8" s="567"/>
    </row>
    <row r="9" spans="1:13" s="568" customFormat="1">
      <c r="B9" s="568" t="s">
        <v>1623</v>
      </c>
      <c r="C9" s="568" t="s">
        <v>1621</v>
      </c>
      <c r="D9" s="568" t="s">
        <v>1622</v>
      </c>
      <c r="E9" s="568" t="s">
        <v>1625</v>
      </c>
      <c r="F9" s="568" t="s">
        <v>1626</v>
      </c>
      <c r="G9" s="568" t="s">
        <v>1635</v>
      </c>
      <c r="H9" s="568" t="s">
        <v>1636</v>
      </c>
      <c r="K9" s="569"/>
      <c r="L9" s="569"/>
      <c r="M9" s="569"/>
    </row>
    <row r="10" spans="1:13">
      <c r="B10" s="570" t="s">
        <v>385</v>
      </c>
      <c r="C10" s="567"/>
      <c r="D10" s="567"/>
      <c r="E10" s="567"/>
      <c r="F10" s="567"/>
      <c r="G10" s="567"/>
      <c r="H10" s="569"/>
      <c r="I10" s="567"/>
      <c r="J10" s="567"/>
    </row>
    <row r="11" spans="1:13">
      <c r="B11" s="567"/>
      <c r="C11" s="567"/>
      <c r="D11" s="567"/>
      <c r="E11" s="571"/>
      <c r="F11" s="567"/>
      <c r="G11" s="567"/>
      <c r="H11" s="569"/>
      <c r="I11" s="567"/>
      <c r="J11" s="567"/>
    </row>
    <row r="12" spans="1:13">
      <c r="A12" s="568" t="s">
        <v>886</v>
      </c>
      <c r="B12" s="567" t="s">
        <v>88</v>
      </c>
      <c r="C12" s="569" t="s">
        <v>89</v>
      </c>
      <c r="D12" s="569"/>
      <c r="E12" s="569" t="s">
        <v>90</v>
      </c>
      <c r="F12" s="569"/>
      <c r="G12" s="569" t="s">
        <v>91</v>
      </c>
      <c r="H12" s="569"/>
      <c r="I12" s="567"/>
      <c r="J12" s="567"/>
    </row>
    <row r="13" spans="1:13">
      <c r="A13" s="568">
        <v>1</v>
      </c>
      <c r="B13" s="572">
        <v>42735</v>
      </c>
      <c r="C13" s="569" t="s">
        <v>92</v>
      </c>
      <c r="D13" s="569" t="s">
        <v>93</v>
      </c>
      <c r="E13" s="569" t="s">
        <v>94</v>
      </c>
      <c r="F13" s="569" t="s">
        <v>58</v>
      </c>
      <c r="G13" s="569" t="s">
        <v>95</v>
      </c>
      <c r="H13" s="573" t="s">
        <v>96</v>
      </c>
      <c r="I13" s="567"/>
      <c r="J13" s="567"/>
    </row>
    <row r="14" spans="1:13">
      <c r="B14" s="572"/>
      <c r="C14" s="569"/>
      <c r="D14" s="569"/>
      <c r="E14" s="569"/>
      <c r="F14" s="569"/>
      <c r="G14" s="574"/>
      <c r="H14" s="575"/>
    </row>
    <row r="15" spans="1:13">
      <c r="B15" s="567"/>
      <c r="C15" s="569"/>
      <c r="D15" s="569"/>
      <c r="E15" s="569"/>
      <c r="F15" s="569"/>
      <c r="G15" s="569"/>
      <c r="H15" s="575"/>
    </row>
    <row r="16" spans="1:13" ht="16.5" thickBot="1">
      <c r="A16" s="568">
        <v>2</v>
      </c>
      <c r="B16" s="576">
        <f>+'ROO Summary Sheet'!O40</f>
        <v>277543876.64098871</v>
      </c>
      <c r="C16" s="577">
        <f>+'Capital Structure Calculation'!J11</f>
        <v>2.7900000000000001E-2</v>
      </c>
      <c r="D16" s="575">
        <f>B16*C16</f>
        <v>7743474.1582835857</v>
      </c>
      <c r="E16" s="575">
        <f>+'Operating Report'!G159</f>
        <v>8752011.7399999984</v>
      </c>
      <c r="F16" s="569">
        <f>+D16-E16</f>
        <v>-1008537.5817164127</v>
      </c>
      <c r="G16" s="578">
        <f>+'Conversion Factor'!C33</f>
        <v>0.35</v>
      </c>
      <c r="H16" s="579">
        <f>+F16*-G16</f>
        <v>352988.15360074444</v>
      </c>
      <c r="K16" s="567"/>
      <c r="L16" s="567"/>
      <c r="M16" s="567"/>
    </row>
    <row r="17" spans="2:13" ht="16.5" thickTop="1">
      <c r="B17" s="567"/>
      <c r="C17" s="567"/>
      <c r="D17" s="580"/>
      <c r="E17" s="567"/>
      <c r="F17" s="567"/>
      <c r="G17" s="581"/>
      <c r="H17" s="569"/>
      <c r="K17" s="567"/>
      <c r="L17" s="582"/>
      <c r="M17" s="567"/>
    </row>
    <row r="18" spans="2:13">
      <c r="G18" s="567"/>
      <c r="H18" s="569"/>
      <c r="K18" s="567"/>
      <c r="L18" s="567"/>
      <c r="M18" s="567"/>
    </row>
    <row r="19" spans="2:13">
      <c r="B19" s="583"/>
      <c r="C19" s="580"/>
      <c r="D19" s="580"/>
      <c r="E19" s="567"/>
      <c r="F19" s="567"/>
      <c r="I19" s="567"/>
      <c r="J19" s="567"/>
      <c r="K19" s="567"/>
      <c r="L19" s="567"/>
      <c r="M19" s="567"/>
    </row>
    <row r="20" spans="2:13">
      <c r="B20" s="567"/>
      <c r="C20" s="567"/>
      <c r="D20" s="567"/>
      <c r="E20" s="567"/>
      <c r="F20" s="567"/>
      <c r="I20" s="567"/>
      <c r="J20" s="567"/>
      <c r="K20" s="567"/>
      <c r="L20" s="567"/>
      <c r="M20" s="569"/>
    </row>
    <row r="21" spans="2:13">
      <c r="G21" s="567"/>
      <c r="H21" s="569"/>
      <c r="I21" s="567"/>
      <c r="J21" s="567"/>
      <c r="K21" s="567"/>
      <c r="L21" s="567"/>
      <c r="M21" s="567"/>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P89"/>
  <sheetViews>
    <sheetView view="pageBreakPreview" topLeftCell="A6" zoomScale="70" zoomScaleNormal="100" zoomScaleSheetLayoutView="70" workbookViewId="0">
      <selection activeCell="E3" sqref="E3:L3"/>
    </sheetView>
  </sheetViews>
  <sheetFormatPr defaultColWidth="9.140625" defaultRowHeight="15.75"/>
  <cols>
    <col min="1" max="1" width="10.140625" style="7" customWidth="1"/>
    <col min="2" max="2" width="46.140625" style="5" customWidth="1"/>
    <col min="3" max="3" width="12.140625" style="5" customWidth="1"/>
    <col min="4" max="4" width="18.42578125" style="5" bestFit="1" customWidth="1"/>
    <col min="5" max="5" width="12.7109375" style="5" bestFit="1" customWidth="1"/>
    <col min="6" max="6" width="19" style="5" bestFit="1" customWidth="1"/>
    <col min="7" max="7" width="8.140625" style="5" bestFit="1" customWidth="1"/>
    <col min="8" max="8" width="17.5703125" style="5" customWidth="1"/>
    <col min="9" max="9" width="19" style="5" customWidth="1"/>
    <col min="10" max="10" width="13.28515625" style="5" customWidth="1"/>
    <col min="11" max="11" width="19.5703125" style="5" customWidth="1"/>
    <col min="12" max="12" width="18.42578125" style="5" customWidth="1"/>
    <col min="13" max="13" width="8.140625" style="5" bestFit="1" customWidth="1"/>
    <col min="14" max="14" width="19" style="5" bestFit="1" customWidth="1"/>
    <col min="15" max="15" width="17.85546875" style="5" bestFit="1" customWidth="1"/>
    <col min="16" max="16" width="22.140625" style="5" bestFit="1" customWidth="1"/>
    <col min="17" max="16384" width="9.140625" style="5"/>
  </cols>
  <sheetData>
    <row r="1" spans="1:16">
      <c r="C1" s="490"/>
      <c r="D1" s="490"/>
      <c r="E1" s="1287" t="s">
        <v>56</v>
      </c>
      <c r="F1" s="1287"/>
      <c r="G1" s="1287"/>
      <c r="H1" s="1287"/>
      <c r="I1" s="1287"/>
      <c r="J1" s="1287"/>
      <c r="K1" s="1287"/>
      <c r="L1" s="1287"/>
      <c r="N1" s="490"/>
      <c r="O1" s="490"/>
      <c r="P1" s="490"/>
    </row>
    <row r="2" spans="1:16">
      <c r="C2" s="584"/>
      <c r="D2" s="584"/>
      <c r="E2" s="1287" t="s">
        <v>1609</v>
      </c>
      <c r="F2" s="1287"/>
      <c r="G2" s="1287"/>
      <c r="H2" s="1287"/>
      <c r="I2" s="1287"/>
      <c r="J2" s="1287"/>
      <c r="K2" s="1287"/>
      <c r="L2" s="1287"/>
      <c r="N2" s="584"/>
      <c r="O2" s="584"/>
      <c r="P2" s="584"/>
    </row>
    <row r="3" spans="1:16">
      <c r="C3" s="584"/>
      <c r="D3" s="584"/>
      <c r="E3" s="1287"/>
      <c r="F3" s="1287"/>
      <c r="G3" s="1287"/>
      <c r="H3" s="1287"/>
      <c r="I3" s="1287"/>
      <c r="J3" s="1287"/>
      <c r="K3" s="1287"/>
      <c r="L3" s="1287"/>
      <c r="N3" s="584"/>
      <c r="O3" s="584"/>
      <c r="P3" s="584"/>
    </row>
    <row r="4" spans="1:16">
      <c r="C4" s="584"/>
      <c r="D4" s="584"/>
      <c r="E4" s="1287" t="s">
        <v>975</v>
      </c>
      <c r="F4" s="1287"/>
      <c r="G4" s="1287"/>
      <c r="H4" s="1287"/>
      <c r="I4" s="1287"/>
      <c r="J4" s="1287"/>
      <c r="K4" s="1287"/>
      <c r="L4" s="1287"/>
      <c r="N4" s="584"/>
      <c r="O4" s="584"/>
      <c r="P4" s="584"/>
    </row>
    <row r="5" spans="1:16">
      <c r="C5" s="585"/>
      <c r="D5" s="585"/>
      <c r="E5" s="1287" t="s">
        <v>980</v>
      </c>
      <c r="F5" s="1287"/>
      <c r="G5" s="1287"/>
      <c r="H5" s="1287"/>
      <c r="I5" s="1287"/>
      <c r="J5" s="1287"/>
      <c r="K5" s="1287"/>
      <c r="L5" s="1287"/>
      <c r="N5" s="586"/>
      <c r="O5" s="586"/>
      <c r="P5" s="586"/>
    </row>
    <row r="6" spans="1:16">
      <c r="C6" s="585"/>
      <c r="D6" s="585"/>
      <c r="E6" s="585"/>
      <c r="F6" s="23"/>
      <c r="G6" s="23"/>
      <c r="H6" s="23"/>
      <c r="I6" s="23"/>
      <c r="J6" s="23"/>
      <c r="K6" s="23"/>
      <c r="L6" s="23"/>
      <c r="M6" s="23"/>
      <c r="N6" s="586"/>
      <c r="O6" s="586"/>
      <c r="P6" s="586"/>
    </row>
    <row r="7" spans="1:16" s="7" customFormat="1">
      <c r="B7" s="7" t="s">
        <v>1623</v>
      </c>
      <c r="C7" s="7" t="s">
        <v>1621</v>
      </c>
      <c r="D7" s="7" t="s">
        <v>1622</v>
      </c>
      <c r="E7" s="7" t="s">
        <v>1625</v>
      </c>
      <c r="F7" s="7" t="s">
        <v>1626</v>
      </c>
      <c r="G7" s="7" t="s">
        <v>1635</v>
      </c>
      <c r="H7" s="7" t="s">
        <v>1636</v>
      </c>
      <c r="I7" s="587" t="s">
        <v>1637</v>
      </c>
      <c r="J7" s="587" t="s">
        <v>1638</v>
      </c>
      <c r="K7" s="587" t="s">
        <v>1639</v>
      </c>
      <c r="L7" s="587" t="s">
        <v>1640</v>
      </c>
      <c r="M7" s="587" t="s">
        <v>1641</v>
      </c>
      <c r="N7" s="587" t="s">
        <v>1642</v>
      </c>
      <c r="O7" s="587" t="s">
        <v>1643</v>
      </c>
      <c r="P7" s="587" t="s">
        <v>1644</v>
      </c>
    </row>
    <row r="8" spans="1:16">
      <c r="D8" s="5" t="s">
        <v>928</v>
      </c>
      <c r="E8" s="5" t="s">
        <v>929</v>
      </c>
      <c r="F8" s="5" t="s">
        <v>930</v>
      </c>
      <c r="G8" s="7"/>
      <c r="H8" s="5" t="s">
        <v>931</v>
      </c>
      <c r="P8" s="5" t="s">
        <v>54</v>
      </c>
    </row>
    <row r="9" spans="1:16">
      <c r="C9" s="5" t="s">
        <v>80</v>
      </c>
      <c r="D9" s="7" t="s">
        <v>2026</v>
      </c>
      <c r="E9" s="5" t="s">
        <v>68</v>
      </c>
      <c r="F9" s="5" t="s">
        <v>2027</v>
      </c>
      <c r="G9" s="7" t="s">
        <v>2028</v>
      </c>
      <c r="H9" s="5" t="s">
        <v>1030</v>
      </c>
      <c r="I9" s="5" t="s">
        <v>106</v>
      </c>
      <c r="J9" s="5" t="s">
        <v>932</v>
      </c>
      <c r="K9" s="5" t="s">
        <v>932</v>
      </c>
      <c r="L9" s="5" t="s">
        <v>1031</v>
      </c>
      <c r="N9" s="5" t="s">
        <v>1032</v>
      </c>
      <c r="O9" s="5" t="s">
        <v>1032</v>
      </c>
      <c r="P9" s="5" t="s">
        <v>929</v>
      </c>
    </row>
    <row r="10" spans="1:16">
      <c r="A10" s="10" t="s">
        <v>1620</v>
      </c>
      <c r="C10" s="5" t="s">
        <v>933</v>
      </c>
      <c r="D10" s="5" t="s">
        <v>934</v>
      </c>
      <c r="E10" s="5" t="s">
        <v>935</v>
      </c>
      <c r="F10" s="5" t="s">
        <v>936</v>
      </c>
      <c r="H10" s="5" t="s">
        <v>937</v>
      </c>
      <c r="J10" s="5" t="s">
        <v>2029</v>
      </c>
      <c r="K10" s="5" t="s">
        <v>68</v>
      </c>
      <c r="L10" s="5" t="s">
        <v>109</v>
      </c>
      <c r="N10" s="5" t="s">
        <v>68</v>
      </c>
      <c r="O10" s="5" t="s">
        <v>109</v>
      </c>
      <c r="P10" s="5" t="s">
        <v>58</v>
      </c>
    </row>
    <row r="11" spans="1:16">
      <c r="A11" s="7">
        <v>1</v>
      </c>
      <c r="B11" s="5" t="s">
        <v>938</v>
      </c>
      <c r="D11" s="346">
        <f>+D36</f>
        <v>5559294.3251210293</v>
      </c>
      <c r="E11" s="5" t="s">
        <v>1033</v>
      </c>
      <c r="F11" s="346">
        <v>0</v>
      </c>
      <c r="G11" s="396">
        <v>0.04</v>
      </c>
      <c r="H11" s="346">
        <f>+F11*G11</f>
        <v>0</v>
      </c>
      <c r="I11" s="346">
        <f>+D11+H11</f>
        <v>5559294.3251210293</v>
      </c>
      <c r="J11" s="396">
        <f>K36/I36</f>
        <v>3.9694374895358861E-2</v>
      </c>
      <c r="K11" s="346">
        <f>+I11*J11</f>
        <v>220672.71309499515</v>
      </c>
      <c r="L11" s="346">
        <f>+I11+K11</f>
        <v>5779967.0382160246</v>
      </c>
      <c r="M11" s="1016">
        <v>0</v>
      </c>
      <c r="N11" s="512">
        <f>+L11*M11</f>
        <v>0</v>
      </c>
      <c r="O11" s="512">
        <f>+L11+N11</f>
        <v>5779967.0382160246</v>
      </c>
      <c r="P11" s="346">
        <f>+N11+K11+H11</f>
        <v>220672.71309499515</v>
      </c>
    </row>
    <row r="12" spans="1:16">
      <c r="A12" s="7">
        <v>2</v>
      </c>
      <c r="D12" s="346"/>
      <c r="F12" s="346"/>
      <c r="G12" s="396"/>
      <c r="H12" s="346"/>
      <c r="I12" s="346"/>
      <c r="J12" s="396"/>
      <c r="K12" s="346"/>
      <c r="L12" s="346"/>
      <c r="M12" s="396"/>
      <c r="N12" s="512"/>
    </row>
    <row r="13" spans="1:16" ht="16.5" thickBot="1">
      <c r="A13" s="7">
        <v>3</v>
      </c>
      <c r="B13" s="5" t="s">
        <v>939</v>
      </c>
      <c r="D13" s="588">
        <f>+D61</f>
        <v>8859248.0217900351</v>
      </c>
      <c r="E13" s="589" t="s">
        <v>940</v>
      </c>
      <c r="F13" s="588">
        <f>+F61</f>
        <v>2308180.6871949974</v>
      </c>
      <c r="G13" s="590">
        <v>3.1E-2</v>
      </c>
      <c r="H13" s="588">
        <f>+F13*G13</f>
        <v>71553.601303044925</v>
      </c>
      <c r="I13" s="588">
        <f>+D13+H13</f>
        <v>8930801.6230930798</v>
      </c>
      <c r="J13" s="590">
        <v>3.1E-2</v>
      </c>
      <c r="K13" s="588">
        <f>+I13*J13</f>
        <v>276854.85031588544</v>
      </c>
      <c r="L13" s="588">
        <f>+I13+K13</f>
        <v>9207656.4734089654</v>
      </c>
      <c r="M13" s="590">
        <v>0</v>
      </c>
      <c r="N13" s="591">
        <f>+L13*M13</f>
        <v>0</v>
      </c>
      <c r="O13" s="591">
        <f>+L13+N13</f>
        <v>9207656.4734089654</v>
      </c>
      <c r="P13" s="588">
        <f>+N13+K13+H13</f>
        <v>348408.45161893038</v>
      </c>
    </row>
    <row r="14" spans="1:16">
      <c r="A14" s="7">
        <v>4</v>
      </c>
      <c r="D14" s="346"/>
      <c r="F14" s="346"/>
      <c r="G14" s="396"/>
      <c r="H14" s="346"/>
      <c r="I14" s="346"/>
      <c r="J14" s="396"/>
      <c r="K14" s="346"/>
      <c r="L14" s="346"/>
      <c r="M14" s="396"/>
      <c r="N14" s="512"/>
    </row>
    <row r="15" spans="1:16" ht="16.5" thickBot="1">
      <c r="A15" s="7">
        <v>5</v>
      </c>
      <c r="D15" s="346">
        <v>13816265.910830002</v>
      </c>
      <c r="F15" s="346">
        <v>8816575.5899999999</v>
      </c>
      <c r="G15" s="396"/>
      <c r="H15" s="592">
        <f>+H11+H13</f>
        <v>71553.601303044925</v>
      </c>
      <c r="I15" s="346">
        <f>+I11+I13</f>
        <v>14490095.94821411</v>
      </c>
      <c r="J15" s="396"/>
      <c r="K15" s="592">
        <f>+K11+K13</f>
        <v>497527.56341088063</v>
      </c>
      <c r="L15" s="346">
        <f>+L11+L13</f>
        <v>14987623.51162499</v>
      </c>
      <c r="N15" s="592">
        <f>+N11+N13</f>
        <v>0</v>
      </c>
      <c r="P15" s="593">
        <f>+P11+P13</f>
        <v>569081.16471392557</v>
      </c>
    </row>
    <row r="16" spans="1:16" ht="16.5" thickTop="1">
      <c r="A16" s="7">
        <v>6</v>
      </c>
      <c r="D16" s="346"/>
      <c r="F16" s="346"/>
      <c r="G16" s="396"/>
      <c r="H16" s="592"/>
      <c r="I16" s="346"/>
      <c r="J16" s="396"/>
      <c r="K16" s="592"/>
      <c r="L16" s="346"/>
      <c r="N16" s="592"/>
      <c r="P16" s="594"/>
    </row>
    <row r="17" spans="1:16">
      <c r="A17" s="7">
        <v>7</v>
      </c>
      <c r="B17" s="5" t="s">
        <v>963</v>
      </c>
      <c r="D17" s="346"/>
      <c r="F17" s="346"/>
      <c r="G17" s="396"/>
      <c r="H17" s="592"/>
      <c r="I17" s="346"/>
      <c r="J17" s="396"/>
      <c r="K17" s="592"/>
      <c r="L17" s="346"/>
      <c r="N17" s="592"/>
      <c r="O17" s="396">
        <v>7.6499999999999999E-2</v>
      </c>
      <c r="P17" s="594">
        <f>+P15*O17</f>
        <v>43534.709100615306</v>
      </c>
    </row>
    <row r="18" spans="1:16">
      <c r="A18" s="7">
        <v>8</v>
      </c>
      <c r="D18" s="346"/>
      <c r="G18" s="396"/>
      <c r="K18" s="346"/>
      <c r="L18" s="346"/>
      <c r="N18" s="512"/>
    </row>
    <row r="19" spans="1:16">
      <c r="A19" s="7">
        <v>9</v>
      </c>
      <c r="B19" s="5" t="s">
        <v>938</v>
      </c>
    </row>
    <row r="20" spans="1:16">
      <c r="A20" s="7">
        <v>10</v>
      </c>
      <c r="C20" s="595" t="s">
        <v>941</v>
      </c>
      <c r="D20" s="75">
        <v>198112.25077799964</v>
      </c>
      <c r="G20" s="396"/>
      <c r="H20" s="346">
        <f t="shared" ref="H20:H34" si="0">+F20*G20</f>
        <v>0</v>
      </c>
      <c r="I20" s="346">
        <f t="shared" ref="I20:I34" si="1">+D20+H20</f>
        <v>198112.25077799964</v>
      </c>
      <c r="J20" s="596">
        <v>0.04</v>
      </c>
      <c r="K20" s="346">
        <f>+I20*J20</f>
        <v>7924.4900311199854</v>
      </c>
      <c r="L20" s="346">
        <f>+I20+K20</f>
        <v>206036.74080911963</v>
      </c>
      <c r="M20" s="1016">
        <f>M11</f>
        <v>0</v>
      </c>
      <c r="N20" s="512">
        <f t="shared" ref="N20:N29" si="2">+L20*M20</f>
        <v>0</v>
      </c>
      <c r="O20" s="346">
        <f>+N20+L20</f>
        <v>206036.74080911963</v>
      </c>
      <c r="P20" s="346">
        <f t="shared" ref="P20:P29" si="3">+N20+K20+H20</f>
        <v>7924.4900311199854</v>
      </c>
    </row>
    <row r="21" spans="1:16">
      <c r="A21" s="7">
        <v>11</v>
      </c>
      <c r="C21" s="595" t="s">
        <v>942</v>
      </c>
      <c r="D21" s="75">
        <v>1241025.4402469669</v>
      </c>
      <c r="G21" s="396"/>
      <c r="H21" s="346">
        <f t="shared" si="0"/>
        <v>0</v>
      </c>
      <c r="I21" s="346">
        <f t="shared" si="1"/>
        <v>1241025.4402469669</v>
      </c>
      <c r="J21" s="596">
        <v>0.04</v>
      </c>
      <c r="K21" s="346">
        <f t="shared" ref="K21:K34" si="4">+I21*J21</f>
        <v>49641.017609878676</v>
      </c>
      <c r="L21" s="346">
        <f t="shared" ref="L21:L34" si="5">+I21+K21</f>
        <v>1290666.4578568456</v>
      </c>
      <c r="M21" s="1016">
        <f>M11</f>
        <v>0</v>
      </c>
      <c r="N21" s="512">
        <f t="shared" si="2"/>
        <v>0</v>
      </c>
      <c r="O21" s="346">
        <f t="shared" ref="O21:O34" si="6">+N21+L21</f>
        <v>1290666.4578568456</v>
      </c>
      <c r="P21" s="346">
        <f t="shared" si="3"/>
        <v>49641.017609878676</v>
      </c>
    </row>
    <row r="22" spans="1:16">
      <c r="A22" s="7">
        <v>12</v>
      </c>
      <c r="C22" s="595" t="s">
        <v>943</v>
      </c>
      <c r="D22" s="75">
        <v>352014.65952900029</v>
      </c>
      <c r="G22" s="396"/>
      <c r="H22" s="346">
        <f t="shared" si="0"/>
        <v>0</v>
      </c>
      <c r="I22" s="346">
        <f t="shared" si="1"/>
        <v>352014.65952900029</v>
      </c>
      <c r="J22" s="596">
        <v>0.04</v>
      </c>
      <c r="K22" s="346">
        <f t="shared" si="4"/>
        <v>14080.586381160012</v>
      </c>
      <c r="L22" s="346">
        <f t="shared" si="5"/>
        <v>366095.2459101603</v>
      </c>
      <c r="M22" s="1016">
        <f>M21</f>
        <v>0</v>
      </c>
      <c r="N22" s="512">
        <f t="shared" si="2"/>
        <v>0</v>
      </c>
      <c r="O22" s="346">
        <f t="shared" si="6"/>
        <v>366095.2459101603</v>
      </c>
      <c r="P22" s="346">
        <f t="shared" si="3"/>
        <v>14080.586381160012</v>
      </c>
    </row>
    <row r="23" spans="1:16">
      <c r="A23" s="7">
        <v>13</v>
      </c>
      <c r="C23" s="595" t="s">
        <v>944</v>
      </c>
      <c r="D23" s="75">
        <v>359591.65829400643</v>
      </c>
      <c r="G23" s="396"/>
      <c r="H23" s="346">
        <f t="shared" si="0"/>
        <v>0</v>
      </c>
      <c r="I23" s="346">
        <f t="shared" si="1"/>
        <v>359591.65829400643</v>
      </c>
      <c r="J23" s="596">
        <v>0.04</v>
      </c>
      <c r="K23" s="346">
        <f t="shared" si="4"/>
        <v>14383.666331760258</v>
      </c>
      <c r="L23" s="346">
        <f t="shared" si="5"/>
        <v>373975.32462576666</v>
      </c>
      <c r="M23" s="1016">
        <f t="shared" ref="M23:M33" si="7">M22</f>
        <v>0</v>
      </c>
      <c r="N23" s="512">
        <f t="shared" si="2"/>
        <v>0</v>
      </c>
      <c r="O23" s="346">
        <f t="shared" si="6"/>
        <v>373975.32462576666</v>
      </c>
      <c r="P23" s="346">
        <f t="shared" si="3"/>
        <v>14383.666331760258</v>
      </c>
    </row>
    <row r="24" spans="1:16">
      <c r="A24" s="7">
        <v>14</v>
      </c>
      <c r="C24" s="595" t="s">
        <v>945</v>
      </c>
      <c r="D24" s="75">
        <v>7309.400000000006</v>
      </c>
      <c r="G24" s="396"/>
      <c r="H24" s="346">
        <f t="shared" si="0"/>
        <v>0</v>
      </c>
      <c r="I24" s="346">
        <f t="shared" si="1"/>
        <v>7309.400000000006</v>
      </c>
      <c r="J24" s="596">
        <v>0.04</v>
      </c>
      <c r="K24" s="346">
        <f t="shared" si="4"/>
        <v>292.37600000000026</v>
      </c>
      <c r="L24" s="346">
        <f t="shared" si="5"/>
        <v>7601.7760000000062</v>
      </c>
      <c r="M24" s="1016">
        <f t="shared" si="7"/>
        <v>0</v>
      </c>
      <c r="N24" s="512">
        <f t="shared" si="2"/>
        <v>0</v>
      </c>
      <c r="O24" s="346">
        <f t="shared" si="6"/>
        <v>7601.7760000000062</v>
      </c>
      <c r="P24" s="346">
        <f t="shared" si="3"/>
        <v>292.37600000000026</v>
      </c>
    </row>
    <row r="25" spans="1:16">
      <c r="A25" s="7">
        <v>15</v>
      </c>
      <c r="C25" s="595" t="s">
        <v>947</v>
      </c>
      <c r="D25" s="75">
        <v>312094.9166350009</v>
      </c>
      <c r="G25" s="396"/>
      <c r="H25" s="346">
        <f t="shared" si="0"/>
        <v>0</v>
      </c>
      <c r="I25" s="346">
        <f t="shared" si="1"/>
        <v>312094.9166350009</v>
      </c>
      <c r="J25" s="596">
        <v>0.04</v>
      </c>
      <c r="K25" s="346">
        <f t="shared" si="4"/>
        <v>12483.796665400036</v>
      </c>
      <c r="L25" s="346">
        <f t="shared" si="5"/>
        <v>324578.71330040094</v>
      </c>
      <c r="M25" s="1016">
        <f t="shared" si="7"/>
        <v>0</v>
      </c>
      <c r="N25" s="512">
        <f t="shared" si="2"/>
        <v>0</v>
      </c>
      <c r="O25" s="346">
        <f t="shared" si="6"/>
        <v>324578.71330040094</v>
      </c>
      <c r="P25" s="346">
        <f t="shared" si="3"/>
        <v>12483.796665400036</v>
      </c>
    </row>
    <row r="26" spans="1:16">
      <c r="A26" s="7">
        <v>16</v>
      </c>
      <c r="C26" s="595">
        <v>28850</v>
      </c>
      <c r="D26" s="75">
        <v>120636.82165100051</v>
      </c>
      <c r="G26" s="396"/>
      <c r="H26" s="346">
        <f t="shared" si="0"/>
        <v>0</v>
      </c>
      <c r="I26" s="346">
        <f t="shared" si="1"/>
        <v>120636.82165100051</v>
      </c>
      <c r="J26" s="596">
        <v>0.04</v>
      </c>
      <c r="K26" s="346">
        <f t="shared" si="4"/>
        <v>4825.4728660400206</v>
      </c>
      <c r="L26" s="346">
        <f t="shared" si="5"/>
        <v>125462.29451704053</v>
      </c>
      <c r="M26" s="1016">
        <f t="shared" si="7"/>
        <v>0</v>
      </c>
      <c r="N26" s="512">
        <f t="shared" si="2"/>
        <v>0</v>
      </c>
      <c r="O26" s="346">
        <f t="shared" si="6"/>
        <v>125462.29451704053</v>
      </c>
      <c r="P26" s="346">
        <f t="shared" si="3"/>
        <v>4825.4728660400206</v>
      </c>
    </row>
    <row r="27" spans="1:16">
      <c r="A27" s="7">
        <v>17</v>
      </c>
      <c r="C27" s="595" t="s">
        <v>948</v>
      </c>
      <c r="D27" s="75">
        <v>8996.492940999995</v>
      </c>
      <c r="G27" s="396"/>
      <c r="H27" s="346">
        <f t="shared" si="0"/>
        <v>0</v>
      </c>
      <c r="I27" s="346">
        <f t="shared" si="1"/>
        <v>8996.492940999995</v>
      </c>
      <c r="J27" s="596">
        <v>0.04</v>
      </c>
      <c r="K27" s="346">
        <f t="shared" si="4"/>
        <v>359.85971763999981</v>
      </c>
      <c r="L27" s="346">
        <f t="shared" si="5"/>
        <v>9356.3526586399948</v>
      </c>
      <c r="M27" s="1016">
        <f t="shared" si="7"/>
        <v>0</v>
      </c>
      <c r="N27" s="512">
        <f t="shared" si="2"/>
        <v>0</v>
      </c>
      <c r="O27" s="346">
        <f t="shared" si="6"/>
        <v>9356.3526586399948</v>
      </c>
      <c r="P27" s="346">
        <f t="shared" si="3"/>
        <v>359.85971763999981</v>
      </c>
    </row>
    <row r="28" spans="1:16">
      <c r="A28" s="7">
        <v>18</v>
      </c>
      <c r="C28" s="595" t="s">
        <v>951</v>
      </c>
      <c r="D28" s="75">
        <v>62790.160000000054</v>
      </c>
      <c r="G28" s="396"/>
      <c r="H28" s="346">
        <f t="shared" si="0"/>
        <v>0</v>
      </c>
      <c r="I28" s="346">
        <f t="shared" si="1"/>
        <v>62790.160000000054</v>
      </c>
      <c r="J28" s="596">
        <v>0.04</v>
      </c>
      <c r="K28" s="346">
        <f t="shared" si="4"/>
        <v>2511.6064000000024</v>
      </c>
      <c r="L28" s="346">
        <f t="shared" si="5"/>
        <v>65301.766400000059</v>
      </c>
      <c r="M28" s="1016">
        <f t="shared" si="7"/>
        <v>0</v>
      </c>
      <c r="N28" s="512">
        <f t="shared" si="2"/>
        <v>0</v>
      </c>
      <c r="O28" s="346">
        <f t="shared" si="6"/>
        <v>65301.766400000059</v>
      </c>
      <c r="P28" s="346">
        <f t="shared" si="3"/>
        <v>2511.6064000000024</v>
      </c>
    </row>
    <row r="29" spans="1:16">
      <c r="A29" s="7">
        <v>19</v>
      </c>
      <c r="C29" s="595" t="s">
        <v>952</v>
      </c>
      <c r="D29" s="75">
        <v>11787.9457</v>
      </c>
      <c r="G29" s="396"/>
      <c r="H29" s="346">
        <f t="shared" si="0"/>
        <v>0</v>
      </c>
      <c r="I29" s="346">
        <f t="shared" si="1"/>
        <v>11787.9457</v>
      </c>
      <c r="J29" s="596">
        <v>0.04</v>
      </c>
      <c r="K29" s="346">
        <f t="shared" si="4"/>
        <v>471.51782800000001</v>
      </c>
      <c r="L29" s="346">
        <f t="shared" si="5"/>
        <v>12259.463528</v>
      </c>
      <c r="M29" s="1016">
        <f t="shared" si="7"/>
        <v>0</v>
      </c>
      <c r="N29" s="512">
        <f t="shared" si="2"/>
        <v>0</v>
      </c>
      <c r="O29" s="346">
        <f t="shared" si="6"/>
        <v>12259.463528</v>
      </c>
      <c r="P29" s="346">
        <f t="shared" si="3"/>
        <v>471.51782800000001</v>
      </c>
    </row>
    <row r="30" spans="1:16">
      <c r="A30" s="7">
        <v>20</v>
      </c>
      <c r="C30" s="595" t="s">
        <v>954</v>
      </c>
      <c r="D30" s="597">
        <f>684342.989486994-D31</f>
        <v>326377.82999999571</v>
      </c>
      <c r="G30" s="396"/>
      <c r="H30" s="346">
        <f t="shared" si="0"/>
        <v>0</v>
      </c>
      <c r="I30" s="346">
        <f t="shared" si="1"/>
        <v>326377.82999999571</v>
      </c>
      <c r="J30" s="596">
        <v>0.04</v>
      </c>
      <c r="K30" s="346">
        <f t="shared" si="4"/>
        <v>13055.113199999829</v>
      </c>
      <c r="L30" s="346">
        <f t="shared" si="5"/>
        <v>339432.94319999556</v>
      </c>
      <c r="M30" s="1016">
        <f t="shared" si="7"/>
        <v>0</v>
      </c>
      <c r="N30" s="512">
        <f>+L30*M30</f>
        <v>0</v>
      </c>
      <c r="O30" s="346">
        <f t="shared" si="6"/>
        <v>339432.94319999556</v>
      </c>
      <c r="P30" s="346">
        <f>+N30+K30+H30</f>
        <v>13055.113199999829</v>
      </c>
    </row>
    <row r="31" spans="1:16">
      <c r="A31" s="7">
        <v>21</v>
      </c>
      <c r="C31" s="595" t="s">
        <v>1116</v>
      </c>
      <c r="D31" s="597">
        <v>357965.15948699828</v>
      </c>
      <c r="G31" s="396"/>
      <c r="H31" s="346">
        <f t="shared" si="0"/>
        <v>0</v>
      </c>
      <c r="I31" s="346">
        <f t="shared" si="1"/>
        <v>357965.15948699828</v>
      </c>
      <c r="J31" s="596">
        <v>3.7999999999999999E-2</v>
      </c>
      <c r="K31" s="346">
        <f t="shared" si="4"/>
        <v>13602.676060505933</v>
      </c>
      <c r="L31" s="346">
        <f t="shared" si="5"/>
        <v>371567.83554750419</v>
      </c>
      <c r="M31" s="1016">
        <f t="shared" si="7"/>
        <v>0</v>
      </c>
      <c r="N31" s="512">
        <f>+L31*M31</f>
        <v>0</v>
      </c>
      <c r="O31" s="346">
        <f t="shared" si="6"/>
        <v>371567.83554750419</v>
      </c>
      <c r="P31" s="346">
        <f>+N31+K31+H31</f>
        <v>13602.676060505933</v>
      </c>
    </row>
    <row r="32" spans="1:16">
      <c r="A32" s="7">
        <v>22</v>
      </c>
      <c r="C32" s="595" t="s">
        <v>955</v>
      </c>
      <c r="D32" s="597">
        <f>2187157.41531306-D33</f>
        <v>1695592.6198770627</v>
      </c>
      <c r="G32" s="396"/>
      <c r="H32" s="346">
        <f t="shared" si="0"/>
        <v>0</v>
      </c>
      <c r="I32" s="346">
        <f t="shared" si="1"/>
        <v>1695592.6198770627</v>
      </c>
      <c r="J32" s="596">
        <v>0.04</v>
      </c>
      <c r="K32" s="346">
        <f t="shared" si="4"/>
        <v>67823.704795082507</v>
      </c>
      <c r="L32" s="346">
        <f t="shared" si="5"/>
        <v>1763416.3246721453</v>
      </c>
      <c r="M32" s="1016">
        <f t="shared" si="7"/>
        <v>0</v>
      </c>
      <c r="N32" s="512">
        <f>+L32*M32</f>
        <v>0</v>
      </c>
      <c r="O32" s="346">
        <f t="shared" si="6"/>
        <v>1763416.3246721453</v>
      </c>
      <c r="P32" s="346">
        <f>+N32+K32+H32</f>
        <v>67823.704795082507</v>
      </c>
    </row>
    <row r="33" spans="1:16">
      <c r="A33" s="7">
        <v>23</v>
      </c>
      <c r="C33" s="595" t="s">
        <v>1117</v>
      </c>
      <c r="D33" s="597">
        <v>491564.79543599725</v>
      </c>
      <c r="G33" s="396"/>
      <c r="H33" s="346">
        <f t="shared" si="0"/>
        <v>0</v>
      </c>
      <c r="I33" s="346">
        <f t="shared" si="1"/>
        <v>491564.79543599725</v>
      </c>
      <c r="J33" s="596">
        <v>3.7999999999999999E-2</v>
      </c>
      <c r="K33" s="346">
        <f t="shared" si="4"/>
        <v>18679.462226567895</v>
      </c>
      <c r="L33" s="346">
        <f t="shared" si="5"/>
        <v>510244.25766256516</v>
      </c>
      <c r="M33" s="1016">
        <f t="shared" si="7"/>
        <v>0</v>
      </c>
      <c r="N33" s="512">
        <f>+L33*M33</f>
        <v>0</v>
      </c>
      <c r="O33" s="346">
        <f t="shared" si="6"/>
        <v>510244.25766256516</v>
      </c>
      <c r="P33" s="346">
        <f>+N33+K33+H33</f>
        <v>18679.462226567895</v>
      </c>
    </row>
    <row r="34" spans="1:16">
      <c r="A34" s="7">
        <v>24</v>
      </c>
      <c r="C34" s="598">
        <v>29260</v>
      </c>
      <c r="D34" s="75">
        <v>13434.174545999997</v>
      </c>
      <c r="G34" s="396"/>
      <c r="H34" s="346">
        <f t="shared" si="0"/>
        <v>0</v>
      </c>
      <c r="I34" s="346">
        <f t="shared" si="1"/>
        <v>13434.174545999997</v>
      </c>
      <c r="J34" s="596">
        <v>0.04</v>
      </c>
      <c r="K34" s="346">
        <f t="shared" si="4"/>
        <v>537.36698183999988</v>
      </c>
      <c r="L34" s="346">
        <f t="shared" si="5"/>
        <v>13971.541527839996</v>
      </c>
      <c r="M34" s="1016">
        <f t="shared" ref="M34" si="8">M25</f>
        <v>0</v>
      </c>
      <c r="N34" s="512">
        <f>+L34*M34</f>
        <v>0</v>
      </c>
      <c r="O34" s="346">
        <f t="shared" si="6"/>
        <v>13971.541527839996</v>
      </c>
      <c r="P34" s="346">
        <f>+N34+K34+H34</f>
        <v>537.36698183999988</v>
      </c>
    </row>
    <row r="35" spans="1:16">
      <c r="A35" s="7">
        <v>25</v>
      </c>
      <c r="C35" s="598"/>
      <c r="D35" s="75"/>
      <c r="G35" s="396"/>
      <c r="H35" s="346"/>
      <c r="I35" s="346"/>
      <c r="J35" s="596"/>
      <c r="K35" s="346"/>
      <c r="L35" s="346"/>
      <c r="M35" s="396"/>
      <c r="N35" s="512"/>
      <c r="P35" s="346"/>
    </row>
    <row r="36" spans="1:16">
      <c r="A36" s="7">
        <v>26</v>
      </c>
      <c r="D36" s="599">
        <f>SUM(D20:D34)</f>
        <v>5559294.3251210293</v>
      </c>
      <c r="F36" s="599">
        <f>SUM(F20:F34)</f>
        <v>0</v>
      </c>
      <c r="H36" s="599">
        <f>SUM(H20:H34)</f>
        <v>0</v>
      </c>
      <c r="I36" s="599">
        <f>SUM(I20:I34)</f>
        <v>5559294.3251210293</v>
      </c>
      <c r="K36" s="599">
        <f>SUM(K20:K34)</f>
        <v>220672.71309499515</v>
      </c>
      <c r="L36" s="599">
        <f>SUM(L20:L34)</f>
        <v>5779967.0382160246</v>
      </c>
      <c r="N36" s="599">
        <f>SUM(N20:N34)</f>
        <v>0</v>
      </c>
      <c r="O36" s="599">
        <f>SUM(O20:O34)</f>
        <v>5779967.0382160246</v>
      </c>
      <c r="P36" s="599">
        <f>SUM(P20:P34)</f>
        <v>220672.71309499515</v>
      </c>
    </row>
    <row r="37" spans="1:16">
      <c r="A37" s="7" t="s">
        <v>1620</v>
      </c>
      <c r="B37" s="5" t="s">
        <v>939</v>
      </c>
    </row>
    <row r="38" spans="1:16">
      <c r="A38" s="7">
        <v>27</v>
      </c>
      <c r="C38" s="598" t="s">
        <v>956</v>
      </c>
      <c r="D38" s="599"/>
    </row>
    <row r="39" spans="1:16">
      <c r="A39" s="7">
        <v>28</v>
      </c>
      <c r="C39" s="595" t="s">
        <v>943</v>
      </c>
      <c r="D39" s="75">
        <v>65642.860590000142</v>
      </c>
      <c r="F39" s="75">
        <v>16091.811392000001</v>
      </c>
      <c r="G39" s="396">
        <v>3.1E-2</v>
      </c>
      <c r="H39" s="346">
        <f>+F39*G39</f>
        <v>498.84615315200006</v>
      </c>
      <c r="I39" s="346">
        <f t="shared" ref="I39:I60" si="9">+D39+H39</f>
        <v>66141.706743152143</v>
      </c>
      <c r="J39" s="396">
        <v>3.1E-2</v>
      </c>
      <c r="K39" s="346">
        <f t="shared" ref="K39:K60" si="10">+I39*J39</f>
        <v>2050.3929090377164</v>
      </c>
      <c r="L39" s="346">
        <f t="shared" ref="L39:L59" si="11">+I39+K39</f>
        <v>68192.099652189863</v>
      </c>
      <c r="M39" s="396">
        <f>M13</f>
        <v>0</v>
      </c>
      <c r="N39" s="512">
        <f t="shared" ref="N39:N59" si="12">+L39*M39</f>
        <v>0</v>
      </c>
      <c r="O39" s="512">
        <f>+L39+N39</f>
        <v>68192.099652189863</v>
      </c>
      <c r="P39" s="346">
        <f t="shared" ref="P39:P60" si="13">+N39+K39+H39</f>
        <v>2549.2390621897166</v>
      </c>
    </row>
    <row r="40" spans="1:16">
      <c r="A40" s="7">
        <v>29</v>
      </c>
      <c r="C40" s="595" t="s">
        <v>957</v>
      </c>
      <c r="D40" s="75">
        <v>78031.010000000446</v>
      </c>
      <c r="F40" s="75">
        <v>20963.160000000007</v>
      </c>
      <c r="G40" s="396">
        <v>3.1E-2</v>
      </c>
      <c r="H40" s="346">
        <f>+F40*G40</f>
        <v>649.85796000000016</v>
      </c>
      <c r="I40" s="346">
        <f t="shared" si="9"/>
        <v>78680.86796000044</v>
      </c>
      <c r="J40" s="396">
        <v>3.1E-2</v>
      </c>
      <c r="K40" s="346">
        <f t="shared" si="10"/>
        <v>2439.1069067600138</v>
      </c>
      <c r="L40" s="346">
        <f t="shared" si="11"/>
        <v>81119.974866760458</v>
      </c>
      <c r="M40" s="396">
        <f>M39</f>
        <v>0</v>
      </c>
      <c r="N40" s="512">
        <f t="shared" si="12"/>
        <v>0</v>
      </c>
      <c r="O40" s="512">
        <f t="shared" ref="O40:O56" si="14">+L40+N40</f>
        <v>81119.974866760458</v>
      </c>
      <c r="P40" s="346">
        <f t="shared" si="13"/>
        <v>3088.964866760014</v>
      </c>
    </row>
    <row r="41" spans="1:16">
      <c r="A41" s="7">
        <v>30</v>
      </c>
      <c r="C41" s="595" t="s">
        <v>944</v>
      </c>
      <c r="D41" s="75">
        <v>2069470.9652639814</v>
      </c>
      <c r="F41" s="75">
        <v>497116.51765099907</v>
      </c>
      <c r="G41" s="396">
        <v>3.1E-2</v>
      </c>
      <c r="H41" s="346">
        <f>+F41*G41</f>
        <v>15410.612047180972</v>
      </c>
      <c r="I41" s="346">
        <f t="shared" si="9"/>
        <v>2084881.5773111624</v>
      </c>
      <c r="J41" s="396">
        <v>3.1E-2</v>
      </c>
      <c r="K41" s="346">
        <f t="shared" si="10"/>
        <v>64631.328896646031</v>
      </c>
      <c r="L41" s="346">
        <f t="shared" si="11"/>
        <v>2149512.9062078083</v>
      </c>
      <c r="M41" s="396">
        <f t="shared" ref="M41:M60" si="15">M40</f>
        <v>0</v>
      </c>
      <c r="N41" s="512">
        <f t="shared" si="12"/>
        <v>0</v>
      </c>
      <c r="O41" s="512">
        <f t="shared" si="14"/>
        <v>2149512.9062078083</v>
      </c>
      <c r="P41" s="346">
        <f t="shared" si="13"/>
        <v>80041.940943827009</v>
      </c>
    </row>
    <row r="42" spans="1:16">
      <c r="A42" s="7">
        <v>31</v>
      </c>
      <c r="C42" s="595" t="s">
        <v>958</v>
      </c>
      <c r="D42" s="75">
        <v>304520.09932699846</v>
      </c>
      <c r="F42" s="75">
        <v>73909.680551000114</v>
      </c>
      <c r="G42" s="396">
        <v>3.1E-2</v>
      </c>
      <c r="H42" s="346">
        <f t="shared" ref="H42:H60" si="16">+F42*G42</f>
        <v>2291.2000970810036</v>
      </c>
      <c r="I42" s="346">
        <f t="shared" si="9"/>
        <v>306811.29942407948</v>
      </c>
      <c r="J42" s="396">
        <v>3.1E-2</v>
      </c>
      <c r="K42" s="346">
        <f t="shared" si="10"/>
        <v>9511.1502821464637</v>
      </c>
      <c r="L42" s="346">
        <f t="shared" si="11"/>
        <v>316322.44970622595</v>
      </c>
      <c r="M42" s="396">
        <f t="shared" si="15"/>
        <v>0</v>
      </c>
      <c r="N42" s="512">
        <f t="shared" si="12"/>
        <v>0</v>
      </c>
      <c r="O42" s="512">
        <f t="shared" si="14"/>
        <v>316322.44970622595</v>
      </c>
      <c r="P42" s="346">
        <f t="shared" si="13"/>
        <v>11802.350379227468</v>
      </c>
    </row>
    <row r="43" spans="1:16">
      <c r="A43" s="7">
        <v>32</v>
      </c>
      <c r="C43" s="595" t="s">
        <v>959</v>
      </c>
      <c r="D43" s="75">
        <v>68748.616163999861</v>
      </c>
      <c r="F43" s="75">
        <v>21810.994966000002</v>
      </c>
      <c r="G43" s="396">
        <v>3.1E-2</v>
      </c>
      <c r="H43" s="346">
        <f t="shared" si="16"/>
        <v>676.14084394600002</v>
      </c>
      <c r="I43" s="346">
        <f t="shared" si="9"/>
        <v>69424.757007945867</v>
      </c>
      <c r="J43" s="396">
        <v>3.1E-2</v>
      </c>
      <c r="K43" s="346">
        <f t="shared" si="10"/>
        <v>2152.1674672463218</v>
      </c>
      <c r="L43" s="346">
        <f t="shared" si="11"/>
        <v>71576.924475192194</v>
      </c>
      <c r="M43" s="396">
        <f t="shared" si="15"/>
        <v>0</v>
      </c>
      <c r="N43" s="512">
        <f t="shared" si="12"/>
        <v>0</v>
      </c>
      <c r="O43" s="512">
        <f t="shared" si="14"/>
        <v>71576.924475192194</v>
      </c>
      <c r="P43" s="346">
        <f t="shared" si="13"/>
        <v>2828.308311192322</v>
      </c>
    </row>
    <row r="44" spans="1:16">
      <c r="A44" s="7">
        <v>33</v>
      </c>
      <c r="C44" s="595" t="s">
        <v>945</v>
      </c>
      <c r="D44" s="75">
        <v>1150953.1000000152</v>
      </c>
      <c r="F44" s="75">
        <v>277047.46000000107</v>
      </c>
      <c r="G44" s="396">
        <v>3.1E-2</v>
      </c>
      <c r="H44" s="346">
        <f t="shared" si="16"/>
        <v>8588.471260000033</v>
      </c>
      <c r="I44" s="346">
        <f t="shared" si="9"/>
        <v>1159541.5712600152</v>
      </c>
      <c r="J44" s="396">
        <v>3.1E-2</v>
      </c>
      <c r="K44" s="346">
        <f t="shared" si="10"/>
        <v>35945.788709060471</v>
      </c>
      <c r="L44" s="346">
        <f t="shared" si="11"/>
        <v>1195487.3599690758</v>
      </c>
      <c r="M44" s="396">
        <f t="shared" si="15"/>
        <v>0</v>
      </c>
      <c r="N44" s="512">
        <f t="shared" si="12"/>
        <v>0</v>
      </c>
      <c r="O44" s="512">
        <f t="shared" si="14"/>
        <v>1195487.3599690758</v>
      </c>
      <c r="P44" s="346">
        <f t="shared" si="13"/>
        <v>44534.259969060506</v>
      </c>
    </row>
    <row r="45" spans="1:16">
      <c r="A45" s="7">
        <v>34</v>
      </c>
      <c r="C45" s="595" t="s">
        <v>946</v>
      </c>
      <c r="D45" s="75">
        <v>945193.08999998716</v>
      </c>
      <c r="F45" s="75">
        <v>257382.84999999913</v>
      </c>
      <c r="G45" s="396">
        <v>3.1E-2</v>
      </c>
      <c r="H45" s="346">
        <f t="shared" si="16"/>
        <v>7978.8683499999734</v>
      </c>
      <c r="I45" s="346">
        <f t="shared" si="9"/>
        <v>953171.95834998717</v>
      </c>
      <c r="J45" s="396">
        <v>3.1E-2</v>
      </c>
      <c r="K45" s="346">
        <f t="shared" si="10"/>
        <v>29548.3307088496</v>
      </c>
      <c r="L45" s="346">
        <f t="shared" si="11"/>
        <v>982720.28905883676</v>
      </c>
      <c r="M45" s="396">
        <f t="shared" si="15"/>
        <v>0</v>
      </c>
      <c r="N45" s="512">
        <f t="shared" si="12"/>
        <v>0</v>
      </c>
      <c r="O45" s="512">
        <f t="shared" si="14"/>
        <v>982720.28905883676</v>
      </c>
      <c r="P45" s="346">
        <f t="shared" si="13"/>
        <v>37527.199058849576</v>
      </c>
    </row>
    <row r="46" spans="1:16">
      <c r="A46" s="7">
        <v>35</v>
      </c>
      <c r="C46" s="595" t="s">
        <v>947</v>
      </c>
      <c r="D46" s="75">
        <v>1143221.8732780369</v>
      </c>
      <c r="F46" s="75">
        <v>326097.65622899926</v>
      </c>
      <c r="G46" s="396">
        <v>3.1E-2</v>
      </c>
      <c r="H46" s="346">
        <f t="shared" si="16"/>
        <v>10109.027343098976</v>
      </c>
      <c r="I46" s="346">
        <f t="shared" si="9"/>
        <v>1153330.900621136</v>
      </c>
      <c r="J46" s="396">
        <v>3.1E-2</v>
      </c>
      <c r="K46" s="346">
        <f t="shared" si="10"/>
        <v>35753.257919255215</v>
      </c>
      <c r="L46" s="346">
        <f t="shared" si="11"/>
        <v>1189084.1585403911</v>
      </c>
      <c r="M46" s="396">
        <f t="shared" si="15"/>
        <v>0</v>
      </c>
      <c r="N46" s="512">
        <f t="shared" si="12"/>
        <v>0</v>
      </c>
      <c r="O46" s="512">
        <f t="shared" si="14"/>
        <v>1189084.1585403911</v>
      </c>
      <c r="P46" s="346">
        <f t="shared" si="13"/>
        <v>45862.285262354191</v>
      </c>
    </row>
    <row r="47" spans="1:16">
      <c r="A47" s="7">
        <v>36</v>
      </c>
      <c r="C47" s="17">
        <v>28860</v>
      </c>
      <c r="D47" s="75">
        <v>73.92</v>
      </c>
      <c r="F47" s="75">
        <v>0</v>
      </c>
      <c r="G47" s="396">
        <v>3.1E-2</v>
      </c>
      <c r="H47" s="346">
        <f t="shared" si="16"/>
        <v>0</v>
      </c>
      <c r="I47" s="346">
        <f>+D47+H47</f>
        <v>73.92</v>
      </c>
      <c r="J47" s="396">
        <v>3.1E-2</v>
      </c>
      <c r="K47" s="346">
        <f>+I47*J47</f>
        <v>2.2915200000000002</v>
      </c>
      <c r="L47" s="346">
        <f>+I47+K47</f>
        <v>76.211520000000007</v>
      </c>
      <c r="M47" s="396">
        <f t="shared" si="15"/>
        <v>0</v>
      </c>
      <c r="N47" s="512">
        <f>+L47*M47</f>
        <v>0</v>
      </c>
      <c r="O47" s="512">
        <f t="shared" si="14"/>
        <v>76.211520000000007</v>
      </c>
      <c r="P47" s="346">
        <f>+N47+K47+H47</f>
        <v>2.2915200000000002</v>
      </c>
    </row>
    <row r="48" spans="1:16">
      <c r="A48" s="7">
        <v>37</v>
      </c>
      <c r="C48" s="595" t="s">
        <v>948</v>
      </c>
      <c r="D48" s="75">
        <v>595618.26032400515</v>
      </c>
      <c r="F48" s="75">
        <v>144258.64363099993</v>
      </c>
      <c r="G48" s="396">
        <v>3.1E-2</v>
      </c>
      <c r="H48" s="346">
        <f t="shared" si="16"/>
        <v>4472.0179525609974</v>
      </c>
      <c r="I48" s="346">
        <f t="shared" si="9"/>
        <v>600090.27827656618</v>
      </c>
      <c r="J48" s="396">
        <v>3.1E-2</v>
      </c>
      <c r="K48" s="346">
        <f t="shared" si="10"/>
        <v>18602.798626573553</v>
      </c>
      <c r="L48" s="346">
        <f t="shared" si="11"/>
        <v>618693.07690313971</v>
      </c>
      <c r="M48" s="396">
        <f t="shared" si="15"/>
        <v>0</v>
      </c>
      <c r="N48" s="512">
        <f t="shared" si="12"/>
        <v>0</v>
      </c>
      <c r="O48" s="512">
        <f t="shared" si="14"/>
        <v>618693.07690313971</v>
      </c>
      <c r="P48" s="346">
        <f t="shared" si="13"/>
        <v>23074.816579134549</v>
      </c>
    </row>
    <row r="49" spans="1:16">
      <c r="A49" s="7">
        <v>38</v>
      </c>
      <c r="C49" s="595" t="s">
        <v>960</v>
      </c>
      <c r="D49" s="75">
        <v>18538.699999999993</v>
      </c>
      <c r="F49" s="75">
        <v>3423.8999999999992</v>
      </c>
      <c r="G49" s="396">
        <v>3.1E-2</v>
      </c>
      <c r="H49" s="346">
        <f t="shared" si="16"/>
        <v>106.14089999999997</v>
      </c>
      <c r="I49" s="346">
        <f t="shared" si="9"/>
        <v>18644.840899999992</v>
      </c>
      <c r="J49" s="396">
        <v>3.1E-2</v>
      </c>
      <c r="K49" s="346">
        <f t="shared" si="10"/>
        <v>577.99006789999976</v>
      </c>
      <c r="L49" s="346">
        <f t="shared" si="11"/>
        <v>19222.83096789999</v>
      </c>
      <c r="M49" s="396">
        <f t="shared" si="15"/>
        <v>0</v>
      </c>
      <c r="N49" s="512">
        <f t="shared" si="12"/>
        <v>0</v>
      </c>
      <c r="O49" s="512">
        <f t="shared" si="14"/>
        <v>19222.83096789999</v>
      </c>
      <c r="P49" s="346">
        <f t="shared" si="13"/>
        <v>684.13096789999975</v>
      </c>
    </row>
    <row r="50" spans="1:16">
      <c r="A50" s="7">
        <v>39</v>
      </c>
      <c r="C50" s="595" t="s">
        <v>949</v>
      </c>
      <c r="D50" s="75">
        <v>216222.84648300009</v>
      </c>
      <c r="F50" s="75">
        <v>58968.791257000055</v>
      </c>
      <c r="G50" s="396">
        <v>3.1E-2</v>
      </c>
      <c r="H50" s="346">
        <f t="shared" si="16"/>
        <v>1828.0325289670018</v>
      </c>
      <c r="I50" s="346">
        <f t="shared" si="9"/>
        <v>218050.8790119671</v>
      </c>
      <c r="J50" s="396">
        <v>3.1E-2</v>
      </c>
      <c r="K50" s="346">
        <f t="shared" si="10"/>
        <v>6759.5772493709801</v>
      </c>
      <c r="L50" s="346">
        <f t="shared" si="11"/>
        <v>224810.45626133808</v>
      </c>
      <c r="M50" s="396">
        <f t="shared" si="15"/>
        <v>0</v>
      </c>
      <c r="N50" s="512">
        <f t="shared" si="12"/>
        <v>0</v>
      </c>
      <c r="O50" s="512">
        <f t="shared" si="14"/>
        <v>224810.45626133808</v>
      </c>
      <c r="P50" s="346">
        <f t="shared" si="13"/>
        <v>8587.609778337981</v>
      </c>
    </row>
    <row r="51" spans="1:16">
      <c r="A51" s="7">
        <v>40</v>
      </c>
      <c r="C51" s="595" t="s">
        <v>950</v>
      </c>
      <c r="D51" s="75">
        <v>9325.1699999999946</v>
      </c>
      <c r="F51" s="75">
        <v>4589.6200000000008</v>
      </c>
      <c r="G51" s="396">
        <v>3.1E-2</v>
      </c>
      <c r="H51" s="346">
        <f t="shared" si="16"/>
        <v>142.27822000000003</v>
      </c>
      <c r="I51" s="346">
        <f t="shared" si="9"/>
        <v>9467.4482199999948</v>
      </c>
      <c r="J51" s="396">
        <v>3.1E-2</v>
      </c>
      <c r="K51" s="346">
        <f t="shared" si="10"/>
        <v>293.49089481999982</v>
      </c>
      <c r="L51" s="346">
        <f t="shared" si="11"/>
        <v>9760.9391148199938</v>
      </c>
      <c r="M51" s="396">
        <f t="shared" si="15"/>
        <v>0</v>
      </c>
      <c r="N51" s="512">
        <f t="shared" si="12"/>
        <v>0</v>
      </c>
      <c r="O51" s="512">
        <f t="shared" si="14"/>
        <v>9760.9391148199938</v>
      </c>
      <c r="P51" s="346">
        <f t="shared" si="13"/>
        <v>435.76911481999986</v>
      </c>
    </row>
    <row r="52" spans="1:16">
      <c r="A52" s="7">
        <v>41</v>
      </c>
      <c r="C52" s="595" t="s">
        <v>951</v>
      </c>
      <c r="D52" s="75">
        <v>764674.29755901697</v>
      </c>
      <c r="F52" s="75">
        <v>203272.48417499993</v>
      </c>
      <c r="G52" s="396">
        <v>3.1E-2</v>
      </c>
      <c r="H52" s="346">
        <f t="shared" si="16"/>
        <v>6301.4470094249982</v>
      </c>
      <c r="I52" s="346">
        <f t="shared" si="9"/>
        <v>770975.74456844199</v>
      </c>
      <c r="J52" s="396">
        <v>3.1E-2</v>
      </c>
      <c r="K52" s="346">
        <f t="shared" si="10"/>
        <v>23900.248081621703</v>
      </c>
      <c r="L52" s="346">
        <f t="shared" si="11"/>
        <v>794875.99265006371</v>
      </c>
      <c r="M52" s="396">
        <f t="shared" si="15"/>
        <v>0</v>
      </c>
      <c r="N52" s="512">
        <f t="shared" si="12"/>
        <v>0</v>
      </c>
      <c r="O52" s="512">
        <f t="shared" si="14"/>
        <v>794875.99265006371</v>
      </c>
      <c r="P52" s="346">
        <f t="shared" si="13"/>
        <v>30201.695091046702</v>
      </c>
    </row>
    <row r="53" spans="1:16">
      <c r="A53" s="7">
        <v>42</v>
      </c>
      <c r="C53" s="595" t="s">
        <v>952</v>
      </c>
      <c r="D53" s="75">
        <v>879038.63501599082</v>
      </c>
      <c r="F53" s="75">
        <v>258998.25900699937</v>
      </c>
      <c r="G53" s="396">
        <v>3.1E-2</v>
      </c>
      <c r="H53" s="346">
        <f t="shared" si="16"/>
        <v>8028.9460292169806</v>
      </c>
      <c r="I53" s="346">
        <f t="shared" si="9"/>
        <v>887067.5810452078</v>
      </c>
      <c r="J53" s="396">
        <v>3.1E-2</v>
      </c>
      <c r="K53" s="346">
        <f t="shared" si="10"/>
        <v>27499.095012401442</v>
      </c>
      <c r="L53" s="346">
        <f t="shared" si="11"/>
        <v>914566.67605760926</v>
      </c>
      <c r="M53" s="396">
        <f t="shared" si="15"/>
        <v>0</v>
      </c>
      <c r="N53" s="512">
        <f t="shared" si="12"/>
        <v>0</v>
      </c>
      <c r="O53" s="512">
        <f t="shared" si="14"/>
        <v>914566.67605760926</v>
      </c>
      <c r="P53" s="346">
        <f t="shared" si="13"/>
        <v>35528.041041618424</v>
      </c>
    </row>
    <row r="54" spans="1:16">
      <c r="A54" s="7">
        <v>43</v>
      </c>
      <c r="C54" s="595" t="s">
        <v>961</v>
      </c>
      <c r="D54" s="75">
        <v>61214.120000000185</v>
      </c>
      <c r="F54" s="75">
        <v>19514.749999999964</v>
      </c>
      <c r="G54" s="396">
        <v>3.1E-2</v>
      </c>
      <c r="H54" s="346">
        <f t="shared" si="16"/>
        <v>604.95724999999891</v>
      </c>
      <c r="I54" s="346">
        <f t="shared" si="9"/>
        <v>61819.077250000184</v>
      </c>
      <c r="J54" s="396">
        <v>3.1E-2</v>
      </c>
      <c r="K54" s="346">
        <f t="shared" si="10"/>
        <v>1916.3913947500057</v>
      </c>
      <c r="L54" s="346">
        <f t="shared" si="11"/>
        <v>63735.468644750188</v>
      </c>
      <c r="M54" s="396">
        <f t="shared" si="15"/>
        <v>0</v>
      </c>
      <c r="N54" s="512">
        <f t="shared" si="12"/>
        <v>0</v>
      </c>
      <c r="O54" s="512">
        <f t="shared" si="14"/>
        <v>63735.468644750188</v>
      </c>
      <c r="P54" s="346">
        <f t="shared" si="13"/>
        <v>2521.3486447500045</v>
      </c>
    </row>
    <row r="55" spans="1:16">
      <c r="A55" s="7">
        <v>44</v>
      </c>
      <c r="C55" s="595" t="s">
        <v>953</v>
      </c>
      <c r="D55" s="75">
        <v>359204.24000000238</v>
      </c>
      <c r="F55" s="75">
        <v>103198.70999999999</v>
      </c>
      <c r="G55" s="396">
        <v>3.1E-2</v>
      </c>
      <c r="H55" s="346">
        <f t="shared" si="16"/>
        <v>3199.1600099999996</v>
      </c>
      <c r="I55" s="346">
        <f t="shared" si="9"/>
        <v>362403.40001000237</v>
      </c>
      <c r="J55" s="396">
        <v>3.1E-2</v>
      </c>
      <c r="K55" s="346">
        <f t="shared" si="10"/>
        <v>11234.505400310074</v>
      </c>
      <c r="L55" s="346">
        <f t="shared" si="11"/>
        <v>373637.90541031247</v>
      </c>
      <c r="M55" s="396">
        <f t="shared" si="15"/>
        <v>0</v>
      </c>
      <c r="N55" s="512">
        <f t="shared" si="12"/>
        <v>0</v>
      </c>
      <c r="O55" s="512">
        <f t="shared" si="14"/>
        <v>373637.90541031247</v>
      </c>
      <c r="P55" s="346">
        <f t="shared" si="13"/>
        <v>14433.665410310074</v>
      </c>
    </row>
    <row r="56" spans="1:16">
      <c r="A56" s="7">
        <v>45</v>
      </c>
      <c r="C56" s="595" t="s">
        <v>954</v>
      </c>
      <c r="D56" s="75">
        <v>96110.140000000392</v>
      </c>
      <c r="F56" s="75">
        <v>19496.73000000004</v>
      </c>
      <c r="G56" s="396">
        <v>3.1E-2</v>
      </c>
      <c r="H56" s="346">
        <f t="shared" si="16"/>
        <v>604.39863000000128</v>
      </c>
      <c r="I56" s="346">
        <f t="shared" si="9"/>
        <v>96714.538630000388</v>
      </c>
      <c r="J56" s="396">
        <v>3.1E-2</v>
      </c>
      <c r="K56" s="346">
        <f t="shared" si="10"/>
        <v>2998.1506975300122</v>
      </c>
      <c r="L56" s="346">
        <f t="shared" si="11"/>
        <v>99712.689327530403</v>
      </c>
      <c r="M56" s="396">
        <f t="shared" si="15"/>
        <v>0</v>
      </c>
      <c r="N56" s="512">
        <f t="shared" si="12"/>
        <v>0</v>
      </c>
      <c r="O56" s="512">
        <f t="shared" si="14"/>
        <v>99712.689327530403</v>
      </c>
      <c r="P56" s="346">
        <f t="shared" si="13"/>
        <v>3602.5493275300132</v>
      </c>
    </row>
    <row r="57" spans="1:16">
      <c r="A57" s="7">
        <v>46</v>
      </c>
      <c r="C57" s="595" t="s">
        <v>955</v>
      </c>
      <c r="D57" s="75">
        <v>1779.60861</v>
      </c>
      <c r="F57" s="75">
        <v>222.55833600000003</v>
      </c>
      <c r="G57" s="396">
        <v>3.1E-2</v>
      </c>
      <c r="H57" s="346">
        <f t="shared" si="16"/>
        <v>6.8993084160000011</v>
      </c>
      <c r="I57" s="346">
        <f t="shared" si="9"/>
        <v>1786.5079184159999</v>
      </c>
      <c r="J57" s="396">
        <v>3.1E-2</v>
      </c>
      <c r="K57" s="346">
        <f t="shared" si="10"/>
        <v>55.381745470896</v>
      </c>
      <c r="L57" s="346">
        <f t="shared" si="11"/>
        <v>1841.889663886896</v>
      </c>
      <c r="M57" s="396">
        <f t="shared" si="15"/>
        <v>0</v>
      </c>
      <c r="N57" s="512">
        <f t="shared" si="12"/>
        <v>0</v>
      </c>
      <c r="O57" s="512">
        <f>+L57+N57</f>
        <v>1841.889663886896</v>
      </c>
      <c r="P57" s="346">
        <f t="shared" si="13"/>
        <v>62.281053886896004</v>
      </c>
    </row>
    <row r="58" spans="1:16">
      <c r="A58" s="7">
        <v>47</v>
      </c>
      <c r="C58" s="17">
        <v>29210</v>
      </c>
      <c r="D58" s="75">
        <v>387.61039200000005</v>
      </c>
      <c r="F58" s="75">
        <v>0</v>
      </c>
      <c r="G58" s="396">
        <v>3.1E-2</v>
      </c>
      <c r="H58" s="346">
        <f t="shared" si="16"/>
        <v>0</v>
      </c>
      <c r="I58" s="346">
        <f>+D58+H58</f>
        <v>387.61039200000005</v>
      </c>
      <c r="J58" s="396">
        <v>3.1E-2</v>
      </c>
      <c r="K58" s="346">
        <f t="shared" si="10"/>
        <v>12.015922152000002</v>
      </c>
      <c r="L58" s="346">
        <f t="shared" si="11"/>
        <v>399.62631415200008</v>
      </c>
      <c r="M58" s="396">
        <f t="shared" si="15"/>
        <v>0</v>
      </c>
      <c r="N58" s="512">
        <f t="shared" si="12"/>
        <v>0</v>
      </c>
      <c r="O58" s="512">
        <f>+L58+N58</f>
        <v>399.62631415200008</v>
      </c>
      <c r="P58" s="346">
        <f t="shared" si="13"/>
        <v>12.015922152000002</v>
      </c>
    </row>
    <row r="59" spans="1:16">
      <c r="A59" s="7">
        <v>48</v>
      </c>
      <c r="C59" s="17">
        <v>29260</v>
      </c>
      <c r="D59" s="75">
        <v>28313.028782999991</v>
      </c>
      <c r="F59" s="75">
        <v>0</v>
      </c>
      <c r="G59" s="396">
        <v>3.1E-2</v>
      </c>
      <c r="H59" s="346">
        <f t="shared" si="16"/>
        <v>0</v>
      </c>
      <c r="I59" s="346">
        <f t="shared" si="9"/>
        <v>28313.028782999991</v>
      </c>
      <c r="J59" s="396">
        <v>3.1E-2</v>
      </c>
      <c r="K59" s="346">
        <f t="shared" si="10"/>
        <v>877.70389227299972</v>
      </c>
      <c r="L59" s="346">
        <f t="shared" si="11"/>
        <v>29190.73267527299</v>
      </c>
      <c r="M59" s="396">
        <f t="shared" si="15"/>
        <v>0</v>
      </c>
      <c r="N59" s="512">
        <f t="shared" si="12"/>
        <v>0</v>
      </c>
      <c r="O59" s="512">
        <f>+L59+N59</f>
        <v>29190.73267527299</v>
      </c>
      <c r="P59" s="346">
        <f t="shared" si="13"/>
        <v>877.70389227299972</v>
      </c>
    </row>
    <row r="60" spans="1:16">
      <c r="A60" s="7">
        <v>49</v>
      </c>
      <c r="C60" s="595" t="s">
        <v>962</v>
      </c>
      <c r="D60" s="75">
        <v>2965.83</v>
      </c>
      <c r="E60" s="464"/>
      <c r="F60" s="375">
        <v>1816.1100000000001</v>
      </c>
      <c r="G60" s="600">
        <v>3.1E-2</v>
      </c>
      <c r="H60" s="601">
        <f t="shared" si="16"/>
        <v>56.299410000000002</v>
      </c>
      <c r="I60" s="601">
        <f t="shared" si="9"/>
        <v>3022.12941</v>
      </c>
      <c r="J60" s="600">
        <v>3.1E-2</v>
      </c>
      <c r="K60" s="601">
        <f t="shared" si="10"/>
        <v>93.686011710000002</v>
      </c>
      <c r="L60" s="601">
        <f>+I60+K60</f>
        <v>3115.81542171</v>
      </c>
      <c r="M60" s="396">
        <f t="shared" si="15"/>
        <v>0</v>
      </c>
      <c r="N60" s="602">
        <f>+L60*M60</f>
        <v>0</v>
      </c>
      <c r="O60" s="602">
        <f>+L60+N60</f>
        <v>3115.81542171</v>
      </c>
      <c r="P60" s="601">
        <f t="shared" si="13"/>
        <v>149.98542171</v>
      </c>
    </row>
    <row r="61" spans="1:16">
      <c r="A61" s="7">
        <v>50</v>
      </c>
      <c r="D61" s="599">
        <f>SUM(D38:D60)</f>
        <v>8859248.0217900351</v>
      </c>
      <c r="F61" s="599">
        <f>SUM(F38:F60)</f>
        <v>2308180.6871949974</v>
      </c>
      <c r="H61" s="599">
        <f>SUM(H38:H60)</f>
        <v>71553.601303044925</v>
      </c>
      <c r="I61" s="599">
        <f>SUM(I38:I60)</f>
        <v>8930801.6230930816</v>
      </c>
      <c r="K61" s="599">
        <f>SUM(K38:K60)</f>
        <v>276854.8503158855</v>
      </c>
      <c r="L61" s="599">
        <f>SUM(L38:L60)</f>
        <v>9207656.4734089654</v>
      </c>
      <c r="N61" s="599">
        <f>SUM(N38:N60)</f>
        <v>0</v>
      </c>
      <c r="O61" s="599">
        <f>SUM(O38:O60)</f>
        <v>9207656.4734089654</v>
      </c>
      <c r="P61" s="599">
        <f>SUM(P38:P60)</f>
        <v>348408.4516189305</v>
      </c>
    </row>
    <row r="64" spans="1:16" ht="16.5" thickBot="1"/>
    <row r="65" spans="1:16">
      <c r="B65" s="1319" t="s">
        <v>1147</v>
      </c>
      <c r="C65" s="1320"/>
      <c r="D65" s="1320"/>
      <c r="E65" s="1321"/>
    </row>
    <row r="66" spans="1:16">
      <c r="B66" s="1322"/>
      <c r="C66" s="1323"/>
      <c r="D66" s="1323"/>
      <c r="E66" s="1324"/>
    </row>
    <row r="67" spans="1:16">
      <c r="B67" s="1322"/>
      <c r="C67" s="1323"/>
      <c r="D67" s="1323"/>
      <c r="E67" s="1324"/>
    </row>
    <row r="68" spans="1:16" ht="16.5" thickBot="1">
      <c r="B68" s="1325"/>
      <c r="C68" s="1326"/>
      <c r="D68" s="1326"/>
      <c r="E68" s="1327"/>
    </row>
    <row r="69" spans="1:16">
      <c r="A69" s="10" t="s">
        <v>886</v>
      </c>
    </row>
    <row r="70" spans="1:16">
      <c r="A70" s="7">
        <v>51</v>
      </c>
      <c r="B70" s="564" t="s">
        <v>1148</v>
      </c>
      <c r="F70" s="310">
        <v>1036861.35</v>
      </c>
      <c r="J70" s="396">
        <v>0</v>
      </c>
      <c r="K70" s="310">
        <f>+F70*J70</f>
        <v>0</v>
      </c>
      <c r="L70" s="310">
        <f>+F70+K70</f>
        <v>1036861.35</v>
      </c>
      <c r="M70" s="396">
        <v>0</v>
      </c>
      <c r="N70" s="5">
        <f>+L70*M70</f>
        <v>0</v>
      </c>
      <c r="O70" s="310">
        <f>+L70+N70</f>
        <v>1036861.35</v>
      </c>
      <c r="P70" s="310">
        <f>+O70-F70</f>
        <v>0</v>
      </c>
    </row>
    <row r="71" spans="1:16">
      <c r="A71" s="7">
        <v>52</v>
      </c>
      <c r="B71" s="564" t="s">
        <v>1149</v>
      </c>
      <c r="F71" s="310">
        <v>115428.85</v>
      </c>
      <c r="J71" s="396">
        <v>0.04</v>
      </c>
      <c r="K71" s="310">
        <f>+F71*J71</f>
        <v>4617.1540000000005</v>
      </c>
      <c r="L71" s="310">
        <f t="shared" ref="L71:L84" si="17">+F71+K71</f>
        <v>120046.004</v>
      </c>
      <c r="M71" s="1016">
        <f>M11</f>
        <v>0</v>
      </c>
      <c r="N71" s="5">
        <f t="shared" ref="N71:N84" si="18">+L71*M71</f>
        <v>0</v>
      </c>
      <c r="O71" s="310">
        <f t="shared" ref="O71:O84" si="19">+L71+N71</f>
        <v>120046.004</v>
      </c>
      <c r="P71" s="310">
        <f t="shared" ref="P71:P84" si="20">+O71-F71</f>
        <v>4617.153999999995</v>
      </c>
    </row>
    <row r="72" spans="1:16">
      <c r="A72" s="7">
        <v>53</v>
      </c>
      <c r="B72" s="564" t="s">
        <v>1150</v>
      </c>
      <c r="F72" s="310">
        <v>423581.69</v>
      </c>
      <c r="J72" s="396">
        <v>0.04</v>
      </c>
      <c r="K72" s="310">
        <f t="shared" ref="K72:K84" si="21">+F72*J72</f>
        <v>16943.267599999999</v>
      </c>
      <c r="L72" s="310">
        <f t="shared" si="17"/>
        <v>440524.95760000002</v>
      </c>
      <c r="M72" s="1016">
        <f>M71</f>
        <v>0</v>
      </c>
      <c r="N72" s="5">
        <f t="shared" si="18"/>
        <v>0</v>
      </c>
      <c r="O72" s="310">
        <f t="shared" si="19"/>
        <v>440524.95760000002</v>
      </c>
      <c r="P72" s="310">
        <f t="shared" si="20"/>
        <v>16943.267600000021</v>
      </c>
    </row>
    <row r="73" spans="1:16">
      <c r="A73" s="7">
        <v>54</v>
      </c>
      <c r="B73" s="564" t="s">
        <v>1151</v>
      </c>
      <c r="F73" s="310">
        <v>208965.05</v>
      </c>
      <c r="J73" s="396">
        <v>0.04</v>
      </c>
      <c r="K73" s="310">
        <f t="shared" si="21"/>
        <v>8358.601999999999</v>
      </c>
      <c r="L73" s="310">
        <f t="shared" si="17"/>
        <v>217323.652</v>
      </c>
      <c r="M73" s="1016">
        <f t="shared" ref="M73:M84" si="22">M72</f>
        <v>0</v>
      </c>
      <c r="N73" s="5">
        <f t="shared" si="18"/>
        <v>0</v>
      </c>
      <c r="O73" s="310">
        <f t="shared" si="19"/>
        <v>217323.652</v>
      </c>
      <c r="P73" s="310">
        <f t="shared" si="20"/>
        <v>8358.6020000000135</v>
      </c>
    </row>
    <row r="74" spans="1:16">
      <c r="A74" s="7">
        <v>55</v>
      </c>
      <c r="B74" s="564" t="s">
        <v>1152</v>
      </c>
      <c r="F74" s="310">
        <v>153109.92000000001</v>
      </c>
      <c r="J74" s="396">
        <v>0.04</v>
      </c>
      <c r="K74" s="310">
        <f t="shared" si="21"/>
        <v>6124.3968000000004</v>
      </c>
      <c r="L74" s="310">
        <f t="shared" si="17"/>
        <v>159234.3168</v>
      </c>
      <c r="M74" s="1016">
        <f t="shared" si="22"/>
        <v>0</v>
      </c>
      <c r="N74" s="5">
        <f t="shared" si="18"/>
        <v>0</v>
      </c>
      <c r="O74" s="310">
        <f t="shared" si="19"/>
        <v>159234.3168</v>
      </c>
      <c r="P74" s="310">
        <f t="shared" si="20"/>
        <v>6124.3967999999877</v>
      </c>
    </row>
    <row r="75" spans="1:16">
      <c r="A75" s="7">
        <v>56</v>
      </c>
      <c r="B75" s="564" t="s">
        <v>1153</v>
      </c>
      <c r="F75" s="310">
        <v>84449.44</v>
      </c>
      <c r="J75" s="396">
        <v>0.04</v>
      </c>
      <c r="K75" s="310">
        <f t="shared" si="21"/>
        <v>3377.9776000000002</v>
      </c>
      <c r="L75" s="310">
        <f t="shared" si="17"/>
        <v>87827.417600000001</v>
      </c>
      <c r="M75" s="1016">
        <f t="shared" si="22"/>
        <v>0</v>
      </c>
      <c r="N75" s="5">
        <f t="shared" si="18"/>
        <v>0</v>
      </c>
      <c r="O75" s="310">
        <f t="shared" si="19"/>
        <v>87827.417600000001</v>
      </c>
      <c r="P75" s="310">
        <f t="shared" si="20"/>
        <v>3377.9775999999983</v>
      </c>
    </row>
    <row r="76" spans="1:16">
      <c r="A76" s="7">
        <v>57</v>
      </c>
      <c r="B76" s="564" t="s">
        <v>1154</v>
      </c>
      <c r="F76" s="310">
        <v>1024805.29</v>
      </c>
      <c r="J76" s="396">
        <v>0.04</v>
      </c>
      <c r="K76" s="310">
        <f t="shared" si="21"/>
        <v>40992.211600000002</v>
      </c>
      <c r="L76" s="310">
        <f t="shared" si="17"/>
        <v>1065797.5016000001</v>
      </c>
      <c r="M76" s="1016">
        <f t="shared" si="22"/>
        <v>0</v>
      </c>
      <c r="N76" s="5">
        <f t="shared" si="18"/>
        <v>0</v>
      </c>
      <c r="O76" s="310">
        <f t="shared" si="19"/>
        <v>1065797.5016000001</v>
      </c>
      <c r="P76" s="310">
        <f t="shared" si="20"/>
        <v>40992.211600000039</v>
      </c>
    </row>
    <row r="77" spans="1:16">
      <c r="A77" s="7">
        <v>58</v>
      </c>
      <c r="B77" s="564" t="s">
        <v>1155</v>
      </c>
      <c r="F77" s="310">
        <v>208344.85</v>
      </c>
      <c r="J77" s="396">
        <v>0.04</v>
      </c>
      <c r="K77" s="310">
        <f t="shared" si="21"/>
        <v>8333.7939999999999</v>
      </c>
      <c r="L77" s="310">
        <f t="shared" si="17"/>
        <v>216678.644</v>
      </c>
      <c r="M77" s="1016">
        <f t="shared" si="22"/>
        <v>0</v>
      </c>
      <c r="N77" s="5">
        <f t="shared" si="18"/>
        <v>0</v>
      </c>
      <c r="O77" s="310">
        <f t="shared" si="19"/>
        <v>216678.644</v>
      </c>
      <c r="P77" s="310">
        <f t="shared" si="20"/>
        <v>8333.7939999999944</v>
      </c>
    </row>
    <row r="78" spans="1:16">
      <c r="A78" s="7">
        <v>59</v>
      </c>
      <c r="B78" s="564" t="s">
        <v>1156</v>
      </c>
      <c r="F78" s="310">
        <v>159743.65</v>
      </c>
      <c r="J78" s="396">
        <v>0.04</v>
      </c>
      <c r="K78" s="310">
        <f t="shared" si="21"/>
        <v>6389.7460000000001</v>
      </c>
      <c r="L78" s="310">
        <f t="shared" si="17"/>
        <v>166133.39600000001</v>
      </c>
      <c r="M78" s="1016">
        <f t="shared" si="22"/>
        <v>0</v>
      </c>
      <c r="N78" s="5">
        <f t="shared" si="18"/>
        <v>0</v>
      </c>
      <c r="O78" s="310">
        <f t="shared" si="19"/>
        <v>166133.39600000001</v>
      </c>
      <c r="P78" s="310">
        <f t="shared" si="20"/>
        <v>6389.7460000000137</v>
      </c>
    </row>
    <row r="79" spans="1:16">
      <c r="A79" s="7">
        <v>60</v>
      </c>
      <c r="B79" s="564" t="s">
        <v>1157</v>
      </c>
      <c r="F79" s="310">
        <v>250606.53</v>
      </c>
      <c r="J79" s="396">
        <v>0.04</v>
      </c>
      <c r="K79" s="310">
        <f t="shared" si="21"/>
        <v>10024.261200000001</v>
      </c>
      <c r="L79" s="310">
        <f t="shared" si="17"/>
        <v>260630.79120000001</v>
      </c>
      <c r="M79" s="1016">
        <f t="shared" si="22"/>
        <v>0</v>
      </c>
      <c r="N79" s="5">
        <f t="shared" si="18"/>
        <v>0</v>
      </c>
      <c r="O79" s="310">
        <f t="shared" si="19"/>
        <v>260630.79120000001</v>
      </c>
      <c r="P79" s="310">
        <f t="shared" si="20"/>
        <v>10024.261200000008</v>
      </c>
    </row>
    <row r="80" spans="1:16">
      <c r="A80" s="7">
        <v>61</v>
      </c>
      <c r="B80" s="564" t="s">
        <v>1158</v>
      </c>
      <c r="F80" s="310">
        <v>39737.97</v>
      </c>
      <c r="J80" s="396">
        <v>0.04</v>
      </c>
      <c r="K80" s="310">
        <f t="shared" si="21"/>
        <v>1589.5188000000001</v>
      </c>
      <c r="L80" s="310">
        <f t="shared" si="17"/>
        <v>41327.488799999999</v>
      </c>
      <c r="M80" s="1016">
        <f t="shared" si="22"/>
        <v>0</v>
      </c>
      <c r="N80" s="5">
        <f t="shared" si="18"/>
        <v>0</v>
      </c>
      <c r="O80" s="310">
        <f t="shared" si="19"/>
        <v>41327.488799999999</v>
      </c>
      <c r="P80" s="310">
        <f t="shared" si="20"/>
        <v>1589.518799999998</v>
      </c>
    </row>
    <row r="81" spans="1:16">
      <c r="A81" s="7">
        <v>62</v>
      </c>
      <c r="B81" s="564" t="s">
        <v>1159</v>
      </c>
      <c r="F81" s="310">
        <v>29392.47</v>
      </c>
      <c r="J81" s="396">
        <v>0.04</v>
      </c>
      <c r="K81" s="310">
        <f t="shared" si="21"/>
        <v>1175.6988000000001</v>
      </c>
      <c r="L81" s="310">
        <f t="shared" si="17"/>
        <v>30568.168799999999</v>
      </c>
      <c r="M81" s="1016">
        <f t="shared" si="22"/>
        <v>0</v>
      </c>
      <c r="N81" s="5">
        <f t="shared" si="18"/>
        <v>0</v>
      </c>
      <c r="O81" s="310">
        <f t="shared" si="19"/>
        <v>30568.168799999999</v>
      </c>
      <c r="P81" s="310">
        <f t="shared" si="20"/>
        <v>1175.6987999999983</v>
      </c>
    </row>
    <row r="82" spans="1:16">
      <c r="A82" s="7">
        <v>63</v>
      </c>
      <c r="B82" s="564" t="s">
        <v>1160</v>
      </c>
      <c r="F82" s="310">
        <v>558174.55000000005</v>
      </c>
      <c r="J82" s="396">
        <v>0.04</v>
      </c>
      <c r="K82" s="310">
        <f t="shared" si="21"/>
        <v>22326.982000000004</v>
      </c>
      <c r="L82" s="310">
        <f t="shared" si="17"/>
        <v>580501.53200000001</v>
      </c>
      <c r="M82" s="1016">
        <f t="shared" si="22"/>
        <v>0</v>
      </c>
      <c r="N82" s="5">
        <f t="shared" si="18"/>
        <v>0</v>
      </c>
      <c r="O82" s="310">
        <f t="shared" si="19"/>
        <v>580501.53200000001</v>
      </c>
      <c r="P82" s="310">
        <f t="shared" si="20"/>
        <v>22326.98199999996</v>
      </c>
    </row>
    <row r="83" spans="1:16">
      <c r="A83" s="7">
        <v>64</v>
      </c>
      <c r="B83" s="564" t="s">
        <v>1161</v>
      </c>
      <c r="F83" s="310">
        <v>54777.31</v>
      </c>
      <c r="J83" s="396">
        <v>0.04</v>
      </c>
      <c r="K83" s="310">
        <f t="shared" si="21"/>
        <v>2191.0924</v>
      </c>
      <c r="L83" s="310">
        <f t="shared" si="17"/>
        <v>56968.402399999999</v>
      </c>
      <c r="M83" s="1016">
        <f t="shared" si="22"/>
        <v>0</v>
      </c>
      <c r="N83" s="5">
        <f t="shared" si="18"/>
        <v>0</v>
      </c>
      <c r="O83" s="310">
        <f t="shared" si="19"/>
        <v>56968.402399999999</v>
      </c>
      <c r="P83" s="310">
        <f t="shared" si="20"/>
        <v>2191.0924000000014</v>
      </c>
    </row>
    <row r="84" spans="1:16">
      <c r="A84" s="7">
        <v>65</v>
      </c>
      <c r="B84" s="564" t="s">
        <v>1162</v>
      </c>
      <c r="F84" s="603">
        <v>9465.5499999999993</v>
      </c>
      <c r="J84" s="396">
        <v>0.04</v>
      </c>
      <c r="K84" s="310">
        <f t="shared" si="21"/>
        <v>378.62199999999996</v>
      </c>
      <c r="L84" s="310">
        <f t="shared" si="17"/>
        <v>9844.1719999999987</v>
      </c>
      <c r="M84" s="1016">
        <f t="shared" si="22"/>
        <v>0</v>
      </c>
      <c r="N84" s="5">
        <f t="shared" si="18"/>
        <v>0</v>
      </c>
      <c r="O84" s="310">
        <f t="shared" si="19"/>
        <v>9844.1719999999987</v>
      </c>
      <c r="P84" s="310">
        <f t="shared" si="20"/>
        <v>378.62199999999939</v>
      </c>
    </row>
    <row r="85" spans="1:16">
      <c r="F85" s="604">
        <f>SUM(F70:F84)</f>
        <v>4357444.47</v>
      </c>
      <c r="K85" s="604">
        <f>SUM(K70:K84)</f>
        <v>132823.3248</v>
      </c>
      <c r="L85" s="604">
        <f>SUM(L70:L84)</f>
        <v>4490267.7948000003</v>
      </c>
      <c r="N85" s="604">
        <f>SUM(N70:N84)</f>
        <v>0</v>
      </c>
      <c r="O85" s="604">
        <f>SUM(O70:O84)</f>
        <v>4490267.7948000003</v>
      </c>
      <c r="P85" s="604">
        <f>SUM(P70:P84)</f>
        <v>132823.32480000003</v>
      </c>
    </row>
    <row r="86" spans="1:16">
      <c r="K86" s="310"/>
    </row>
    <row r="87" spans="1:16">
      <c r="A87" s="944" t="s">
        <v>1587</v>
      </c>
    </row>
    <row r="88" spans="1:16">
      <c r="A88" s="944" t="s">
        <v>2024</v>
      </c>
    </row>
    <row r="89" spans="1:16">
      <c r="A89" s="944" t="s">
        <v>2025</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37"/>
  <sheetViews>
    <sheetView view="pageBreakPreview" topLeftCell="A2" zoomScaleNormal="100" zoomScaleSheetLayoutView="100" workbookViewId="0">
      <selection activeCell="E9" sqref="E9"/>
    </sheetView>
  </sheetViews>
  <sheetFormatPr defaultColWidth="9.140625" defaultRowHeight="15.75"/>
  <cols>
    <col min="1" max="1" width="9.42578125" style="7" bestFit="1" customWidth="1"/>
    <col min="2" max="2" width="33" style="5" bestFit="1" customWidth="1"/>
    <col min="3" max="3" width="10.28515625" style="5" bestFit="1" customWidth="1"/>
    <col min="4" max="4" width="27.28515625" style="5" customWidth="1"/>
    <col min="5" max="5" width="18.140625" style="22" bestFit="1" customWidth="1"/>
    <col min="6" max="6" width="11.28515625" style="5" bestFit="1" customWidth="1"/>
    <col min="7" max="7" width="10.140625" style="5" bestFit="1" customWidth="1"/>
    <col min="8" max="8" width="13.5703125" style="5" bestFit="1" customWidth="1"/>
    <col min="9" max="9" width="9.140625" style="5"/>
    <col min="10" max="10" width="9.7109375" style="5" bestFit="1" customWidth="1"/>
    <col min="11" max="16384" width="9.140625" style="5"/>
  </cols>
  <sheetData>
    <row r="1" spans="1:9">
      <c r="B1" s="1287" t="s">
        <v>56</v>
      </c>
      <c r="C1" s="1287"/>
      <c r="D1" s="1287"/>
      <c r="E1" s="1287"/>
      <c r="F1" s="1287"/>
      <c r="G1" s="4"/>
      <c r="H1" s="4"/>
      <c r="I1" s="4"/>
    </row>
    <row r="2" spans="1:9">
      <c r="B2" s="1287" t="s">
        <v>1609</v>
      </c>
      <c r="C2" s="1287"/>
      <c r="D2" s="1287"/>
      <c r="E2" s="1287"/>
      <c r="F2" s="1287"/>
      <c r="G2" s="4"/>
      <c r="H2" s="4"/>
      <c r="I2" s="4"/>
    </row>
    <row r="3" spans="1:9">
      <c r="B3" s="1287"/>
      <c r="C3" s="1287"/>
      <c r="D3" s="1287"/>
      <c r="E3" s="1287"/>
      <c r="F3" s="1287"/>
      <c r="G3" s="4"/>
      <c r="H3" s="4"/>
      <c r="I3" s="4"/>
    </row>
    <row r="4" spans="1:9">
      <c r="B4" s="1287" t="s">
        <v>976</v>
      </c>
      <c r="C4" s="1287"/>
      <c r="D4" s="1287"/>
      <c r="E4" s="1287"/>
      <c r="F4" s="1287"/>
      <c r="G4" s="4"/>
      <c r="H4" s="4"/>
      <c r="I4" s="4"/>
    </row>
    <row r="5" spans="1:9">
      <c r="B5" s="1287" t="s">
        <v>980</v>
      </c>
      <c r="C5" s="1287"/>
      <c r="D5" s="1287"/>
      <c r="E5" s="1287"/>
      <c r="F5" s="1287"/>
      <c r="G5" s="4"/>
      <c r="H5" s="4"/>
      <c r="I5" s="4"/>
    </row>
    <row r="7" spans="1:9" s="7" customFormat="1">
      <c r="B7" s="7" t="s">
        <v>1623</v>
      </c>
      <c r="C7" s="7" t="s">
        <v>1621</v>
      </c>
      <c r="D7" s="7" t="s">
        <v>1622</v>
      </c>
      <c r="E7" s="7" t="s">
        <v>1625</v>
      </c>
      <c r="F7" s="7" t="s">
        <v>1626</v>
      </c>
    </row>
    <row r="8" spans="1:9">
      <c r="A8" s="10" t="s">
        <v>1646</v>
      </c>
    </row>
    <row r="9" spans="1:9">
      <c r="A9" s="7">
        <v>1</v>
      </c>
      <c r="B9" s="5" t="s">
        <v>2111</v>
      </c>
      <c r="E9" s="605">
        <f>+'Panco Plant Additions'!X208</f>
        <v>7524903.3599999994</v>
      </c>
    </row>
    <row r="10" spans="1:9">
      <c r="E10" s="5"/>
    </row>
    <row r="11" spans="1:9">
      <c r="A11" s="7">
        <v>2</v>
      </c>
      <c r="B11" s="83" t="s">
        <v>2034</v>
      </c>
      <c r="C11" s="851">
        <f>E30</f>
        <v>1.1681678480842181E-2</v>
      </c>
      <c r="E11" s="5"/>
    </row>
    <row r="12" spans="1:9">
      <c r="A12" s="7">
        <v>3</v>
      </c>
      <c r="B12" s="5" t="s">
        <v>966</v>
      </c>
      <c r="E12" s="599">
        <f>+E9*C11</f>
        <v>87903.501650929014</v>
      </c>
    </row>
    <row r="13" spans="1:9">
      <c r="E13" s="5"/>
    </row>
    <row r="14" spans="1:9">
      <c r="A14" s="7">
        <v>4</v>
      </c>
      <c r="B14" s="5" t="s">
        <v>2035</v>
      </c>
      <c r="E14" s="104">
        <f>+E33</f>
        <v>199943.9</v>
      </c>
    </row>
    <row r="15" spans="1:9">
      <c r="E15" s="5"/>
    </row>
    <row r="16" spans="1:9">
      <c r="A16" s="7">
        <v>5</v>
      </c>
      <c r="B16" s="5" t="s">
        <v>882</v>
      </c>
      <c r="D16" s="16" t="s">
        <v>1645</v>
      </c>
      <c r="E16" s="310">
        <f>+E9</f>
        <v>7524903.3599999994</v>
      </c>
      <c r="F16" s="310"/>
    </row>
    <row r="17" spans="1:7">
      <c r="D17" s="16"/>
      <c r="E17" s="310"/>
      <c r="F17" s="310"/>
    </row>
    <row r="18" spans="1:7">
      <c r="A18" s="7">
        <v>6</v>
      </c>
      <c r="B18" s="5" t="s">
        <v>291</v>
      </c>
      <c r="D18" s="16" t="s">
        <v>1367</v>
      </c>
      <c r="E18" s="310">
        <f>+'Panco Plant Additions'!Z230</f>
        <v>152302.92623499999</v>
      </c>
      <c r="F18" s="310">
        <f>+E18</f>
        <v>152302.92623499999</v>
      </c>
    </row>
    <row r="19" spans="1:7">
      <c r="A19" s="7">
        <v>7</v>
      </c>
      <c r="B19" s="5" t="s">
        <v>896</v>
      </c>
      <c r="D19" s="16" t="s">
        <v>1647</v>
      </c>
      <c r="E19" s="310">
        <f>+E18/2</f>
        <v>76151.463117499996</v>
      </c>
      <c r="F19" s="310"/>
    </row>
    <row r="20" spans="1:7">
      <c r="A20" s="7">
        <v>8</v>
      </c>
      <c r="B20" s="5" t="s">
        <v>897</v>
      </c>
      <c r="D20" s="16" t="s">
        <v>1648</v>
      </c>
      <c r="E20" s="310">
        <f>+E16*0.0375</f>
        <v>282183.87599999999</v>
      </c>
      <c r="F20" s="310"/>
    </row>
    <row r="21" spans="1:7">
      <c r="A21" s="7">
        <v>9</v>
      </c>
      <c r="B21" s="5" t="s">
        <v>101</v>
      </c>
      <c r="D21" s="16" t="s">
        <v>1649</v>
      </c>
      <c r="E21" s="310">
        <f>(+E20-E18)*0.35</f>
        <v>45458.332417749996</v>
      </c>
      <c r="F21" s="310"/>
    </row>
    <row r="22" spans="1:7">
      <c r="A22" s="7">
        <v>10</v>
      </c>
      <c r="B22" s="5" t="s">
        <v>898</v>
      </c>
      <c r="D22" s="16" t="s">
        <v>1650</v>
      </c>
      <c r="E22" s="310">
        <f>+E21/2</f>
        <v>22729.166208874998</v>
      </c>
      <c r="F22" s="310"/>
    </row>
    <row r="23" spans="1:7">
      <c r="A23" s="7">
        <v>11</v>
      </c>
      <c r="B23" s="5" t="s">
        <v>899</v>
      </c>
      <c r="D23" s="16" t="s">
        <v>1651</v>
      </c>
      <c r="E23" s="310"/>
      <c r="F23" s="310">
        <f>+F18*0.35</f>
        <v>53306.024182249996</v>
      </c>
    </row>
    <row r="24" spans="1:7">
      <c r="E24" s="310"/>
      <c r="F24" s="310"/>
    </row>
    <row r="25" spans="1:7">
      <c r="A25" s="7">
        <v>12</v>
      </c>
      <c r="B25" s="5" t="s">
        <v>900</v>
      </c>
      <c r="E25" s="310">
        <f>+E16-E22-E19</f>
        <v>7426022.7306736242</v>
      </c>
      <c r="F25" s="310"/>
    </row>
    <row r="26" spans="1:7">
      <c r="F26" s="396"/>
      <c r="G26" s="310"/>
    </row>
    <row r="27" spans="1:7">
      <c r="A27" s="7" t="s">
        <v>1587</v>
      </c>
      <c r="F27" s="310"/>
      <c r="G27" s="310"/>
    </row>
    <row r="28" spans="1:7">
      <c r="A28" s="945" t="s">
        <v>2030</v>
      </c>
      <c r="B28" s="457" t="s">
        <v>2031</v>
      </c>
      <c r="C28" s="457"/>
      <c r="D28" s="457"/>
      <c r="E28" s="946">
        <v>222755000</v>
      </c>
      <c r="F28" s="310"/>
      <c r="G28" s="310"/>
    </row>
    <row r="29" spans="1:7">
      <c r="A29" s="480"/>
      <c r="B29" s="13" t="s">
        <v>2032</v>
      </c>
      <c r="C29" s="13"/>
      <c r="D29" s="13"/>
      <c r="E29" s="947">
        <v>2602152.29</v>
      </c>
      <c r="F29" s="310"/>
      <c r="G29" s="310"/>
    </row>
    <row r="30" spans="1:7">
      <c r="A30" s="481"/>
      <c r="B30" s="464" t="s">
        <v>2033</v>
      </c>
      <c r="C30" s="464"/>
      <c r="D30" s="464"/>
      <c r="E30" s="948">
        <f>E29/E28</f>
        <v>1.1681678480842181E-2</v>
      </c>
      <c r="F30" s="310"/>
      <c r="G30" s="310"/>
    </row>
    <row r="31" spans="1:7">
      <c r="A31" s="945" t="s">
        <v>2028</v>
      </c>
      <c r="B31" s="457" t="s">
        <v>2017</v>
      </c>
      <c r="C31" s="457"/>
      <c r="D31" s="457"/>
      <c r="E31" s="949">
        <v>6500000</v>
      </c>
      <c r="F31" s="310"/>
      <c r="G31" s="310"/>
    </row>
    <row r="32" spans="1:7">
      <c r="A32" s="480"/>
      <c r="B32" s="13" t="s">
        <v>2019</v>
      </c>
      <c r="C32" s="13"/>
      <c r="D32" s="13"/>
      <c r="E32" s="950">
        <v>3.0760599999999999E-2</v>
      </c>
      <c r="F32" s="310"/>
      <c r="G32" s="310"/>
    </row>
    <row r="33" spans="1:7">
      <c r="A33" s="481"/>
      <c r="B33" s="464" t="s">
        <v>2018</v>
      </c>
      <c r="C33" s="464"/>
      <c r="D33" s="464"/>
      <c r="E33" s="951">
        <f>+E31*E32</f>
        <v>199943.9</v>
      </c>
      <c r="F33" s="310"/>
      <c r="G33" s="310"/>
    </row>
    <row r="34" spans="1:7">
      <c r="E34" s="5"/>
      <c r="F34" s="310"/>
      <c r="G34" s="310"/>
    </row>
    <row r="35" spans="1:7">
      <c r="F35" s="310"/>
      <c r="G35" s="310"/>
    </row>
    <row r="36" spans="1:7">
      <c r="F36" s="310"/>
      <c r="G36" s="310"/>
    </row>
    <row r="37" spans="1:7">
      <c r="F37" s="310"/>
      <c r="G37" s="310"/>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17"/>
  <sheetViews>
    <sheetView zoomScaleNormal="100" workbookViewId="0">
      <selection activeCell="J27" sqref="J27"/>
    </sheetView>
  </sheetViews>
  <sheetFormatPr defaultColWidth="9.140625" defaultRowHeight="15.75"/>
  <cols>
    <col min="1" max="1" width="9.42578125" style="7" bestFit="1" customWidth="1"/>
    <col min="2" max="3" width="9.140625" style="5"/>
    <col min="4" max="5" width="14" style="5" bestFit="1" customWidth="1"/>
    <col min="6" max="6" width="3.7109375" style="5" customWidth="1"/>
    <col min="7" max="7" width="14.140625" style="5" bestFit="1" customWidth="1"/>
    <col min="8" max="8" width="9.140625" style="5"/>
    <col min="9" max="10" width="12.5703125" style="5" bestFit="1" customWidth="1"/>
    <col min="11" max="16384" width="9.140625" style="5"/>
  </cols>
  <sheetData>
    <row r="1" spans="1:9">
      <c r="B1" s="1287" t="s">
        <v>56</v>
      </c>
      <c r="C1" s="1287"/>
      <c r="D1" s="1287"/>
      <c r="E1" s="1287"/>
      <c r="F1" s="1287"/>
      <c r="G1" s="1287"/>
      <c r="H1" s="1287"/>
      <c r="I1" s="16"/>
    </row>
    <row r="2" spans="1:9">
      <c r="B2" s="1287" t="s">
        <v>1609</v>
      </c>
      <c r="C2" s="1287"/>
      <c r="D2" s="1287"/>
      <c r="E2" s="1287"/>
      <c r="F2" s="1287"/>
      <c r="G2" s="1287"/>
      <c r="H2" s="1287"/>
      <c r="I2" s="16"/>
    </row>
    <row r="3" spans="1:9">
      <c r="B3" s="1287"/>
      <c r="C3" s="1287"/>
      <c r="D3" s="1287"/>
      <c r="E3" s="1287"/>
      <c r="F3" s="1287"/>
      <c r="G3" s="1287"/>
      <c r="H3" s="1287"/>
      <c r="I3" s="16"/>
    </row>
    <row r="4" spans="1:9">
      <c r="B4" s="1287" t="s">
        <v>977</v>
      </c>
      <c r="C4" s="1287"/>
      <c r="D4" s="1287"/>
      <c r="E4" s="1287"/>
      <c r="F4" s="1287"/>
      <c r="G4" s="1287"/>
      <c r="H4" s="1287"/>
      <c r="I4" s="16"/>
    </row>
    <row r="5" spans="1:9">
      <c r="B5" s="1287" t="s">
        <v>980</v>
      </c>
      <c r="C5" s="1287"/>
      <c r="D5" s="1287"/>
      <c r="E5" s="1287"/>
      <c r="F5" s="1287"/>
      <c r="G5" s="1287"/>
      <c r="H5" s="1287"/>
      <c r="I5" s="16"/>
    </row>
    <row r="6" spans="1:9">
      <c r="E6" s="16"/>
      <c r="F6" s="16"/>
      <c r="G6" s="16"/>
      <c r="H6" s="16"/>
      <c r="I6" s="16"/>
    </row>
    <row r="7" spans="1:9" s="7" customFormat="1">
      <c r="B7" s="7" t="s">
        <v>1623</v>
      </c>
      <c r="D7" s="7" t="s">
        <v>1621</v>
      </c>
      <c r="E7" s="7" t="s">
        <v>1622</v>
      </c>
      <c r="G7" s="7" t="s">
        <v>1625</v>
      </c>
    </row>
    <row r="8" spans="1:9" ht="16.5" thickBot="1">
      <c r="A8" s="606" t="s">
        <v>886</v>
      </c>
      <c r="D8" s="942" t="s">
        <v>2020</v>
      </c>
      <c r="E8" s="942">
        <v>2016</v>
      </c>
      <c r="F8" s="7"/>
      <c r="G8" s="610" t="s">
        <v>54</v>
      </c>
    </row>
    <row r="9" spans="1:9">
      <c r="A9" s="7">
        <v>1</v>
      </c>
      <c r="B9" s="5" t="s">
        <v>894</v>
      </c>
      <c r="D9" s="607">
        <v>27313.75</v>
      </c>
      <c r="E9" s="607">
        <v>5656.8</v>
      </c>
      <c r="G9" s="605">
        <f>+D9+E9</f>
        <v>32970.550000000003</v>
      </c>
    </row>
    <row r="10" spans="1:9">
      <c r="A10" s="7">
        <v>2</v>
      </c>
      <c r="B10" s="5" t="s">
        <v>102</v>
      </c>
      <c r="D10" s="607">
        <v>219901.15</v>
      </c>
      <c r="E10" s="607">
        <v>66715.92</v>
      </c>
      <c r="G10" s="605">
        <f>+D10+E10</f>
        <v>286617.07</v>
      </c>
    </row>
    <row r="11" spans="1:9">
      <c r="A11" s="7">
        <v>3</v>
      </c>
      <c r="B11" s="5" t="s">
        <v>103</v>
      </c>
      <c r="D11" s="607">
        <v>51296.74</v>
      </c>
      <c r="E11" s="607">
        <v>37260.18</v>
      </c>
      <c r="G11" s="605">
        <f>+D11+E11</f>
        <v>88556.92</v>
      </c>
    </row>
    <row r="12" spans="1:9">
      <c r="D12" s="607"/>
      <c r="E12" s="607"/>
    </row>
    <row r="13" spans="1:9">
      <c r="A13" s="7">
        <v>4</v>
      </c>
      <c r="B13" s="5" t="s">
        <v>104</v>
      </c>
      <c r="D13" s="607">
        <f>SUM(D9:D12)</f>
        <v>298511.64</v>
      </c>
      <c r="E13" s="607">
        <f>SUM(E9:E12)</f>
        <v>109632.9</v>
      </c>
      <c r="G13" s="605">
        <f>SUM(G9:G11)</f>
        <v>408144.54</v>
      </c>
    </row>
    <row r="14" spans="1:9">
      <c r="A14" s="7">
        <v>5</v>
      </c>
      <c r="D14" s="5" t="s">
        <v>1112</v>
      </c>
      <c r="G14" s="608">
        <f>+E13</f>
        <v>109632.9</v>
      </c>
      <c r="H14" s="104"/>
    </row>
    <row r="15" spans="1:9" ht="16.5" thickBot="1">
      <c r="A15" s="7">
        <v>6</v>
      </c>
      <c r="B15" s="5" t="s">
        <v>58</v>
      </c>
      <c r="G15" s="609"/>
      <c r="I15" s="605"/>
    </row>
    <row r="16" spans="1:9" ht="16.5" thickTop="1"/>
    <row r="17" spans="5:7">
      <c r="E17" s="5" t="s">
        <v>2059</v>
      </c>
      <c r="G17" s="1046">
        <v>123000</v>
      </c>
    </row>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19"/>
  <sheetViews>
    <sheetView view="pageBreakPreview" zoomScale="90" zoomScaleNormal="100" zoomScaleSheetLayoutView="90" workbookViewId="0">
      <selection activeCell="C3" sqref="C3:J3"/>
    </sheetView>
  </sheetViews>
  <sheetFormatPr defaultColWidth="9.140625" defaultRowHeight="15.75"/>
  <cols>
    <col min="1" max="1" width="8.85546875" style="7" bestFit="1" customWidth="1"/>
    <col min="2" max="2" width="36.28515625" style="5" bestFit="1" customWidth="1"/>
    <col min="3" max="3" width="25.7109375" style="5" bestFit="1" customWidth="1"/>
    <col min="4" max="4" width="8.140625" style="5" bestFit="1" customWidth="1"/>
    <col min="5" max="5" width="9" style="5" bestFit="1" customWidth="1"/>
    <col min="6" max="6" width="6.42578125" style="5" customWidth="1"/>
    <col min="7" max="7" width="5.42578125" style="5" bestFit="1" customWidth="1"/>
    <col min="8" max="8" width="10" style="5" bestFit="1" customWidth="1"/>
    <col min="9" max="9" width="5.42578125" style="5" bestFit="1" customWidth="1"/>
    <col min="10" max="10" width="11.140625" style="5" bestFit="1" customWidth="1"/>
    <col min="11" max="11" width="16.85546875" style="5" bestFit="1" customWidth="1"/>
    <col min="12" max="12" width="14.5703125" style="5" bestFit="1" customWidth="1"/>
    <col min="13" max="13" width="9.140625" style="5"/>
    <col min="14" max="14" width="11.140625" style="5" customWidth="1"/>
    <col min="15" max="16384" width="9.140625" style="5"/>
  </cols>
  <sheetData>
    <row r="1" spans="1:13">
      <c r="C1" s="1287" t="s">
        <v>56</v>
      </c>
      <c r="D1" s="1287"/>
      <c r="E1" s="1287"/>
      <c r="F1" s="1287"/>
      <c r="G1" s="1287"/>
      <c r="H1" s="1287"/>
      <c r="I1" s="1287"/>
      <c r="J1" s="1287"/>
    </row>
    <row r="2" spans="1:13">
      <c r="C2" s="1287" t="s">
        <v>1609</v>
      </c>
      <c r="D2" s="1287"/>
      <c r="E2" s="1287"/>
      <c r="F2" s="1287"/>
      <c r="G2" s="1287"/>
      <c r="H2" s="1287"/>
      <c r="I2" s="1287"/>
      <c r="J2" s="1287"/>
    </row>
    <row r="3" spans="1:13">
      <c r="C3" s="1287"/>
      <c r="D3" s="1287"/>
      <c r="E3" s="1287"/>
      <c r="F3" s="1287"/>
      <c r="G3" s="1287"/>
      <c r="H3" s="1287"/>
      <c r="I3" s="1287"/>
      <c r="J3" s="1287"/>
    </row>
    <row r="4" spans="1:13">
      <c r="C4" s="1287" t="s">
        <v>1615</v>
      </c>
      <c r="D4" s="1287"/>
      <c r="E4" s="1287"/>
      <c r="F4" s="1287"/>
      <c r="G4" s="1287"/>
      <c r="H4" s="1287"/>
      <c r="I4" s="1287"/>
      <c r="J4" s="1287"/>
    </row>
    <row r="5" spans="1:13">
      <c r="C5" s="1287" t="s">
        <v>980</v>
      </c>
      <c r="D5" s="1287"/>
      <c r="E5" s="1287"/>
      <c r="F5" s="1287"/>
      <c r="G5" s="1287"/>
      <c r="H5" s="1287"/>
      <c r="I5" s="1287"/>
      <c r="J5" s="1287"/>
    </row>
    <row r="9" spans="1:13" s="7" customFormat="1">
      <c r="B9" s="7" t="s">
        <v>1623</v>
      </c>
      <c r="C9" s="7" t="s">
        <v>1621</v>
      </c>
      <c r="D9" s="7" t="s">
        <v>1622</v>
      </c>
      <c r="E9" s="7" t="s">
        <v>1625</v>
      </c>
      <c r="F9" s="7" t="s">
        <v>1626</v>
      </c>
      <c r="G9" s="7" t="s">
        <v>1635</v>
      </c>
      <c r="H9" s="7" t="s">
        <v>1636</v>
      </c>
      <c r="I9" s="7" t="s">
        <v>1637</v>
      </c>
      <c r="J9" s="7" t="s">
        <v>1638</v>
      </c>
      <c r="K9" s="7" t="s">
        <v>1639</v>
      </c>
      <c r="L9" s="7" t="s">
        <v>1640</v>
      </c>
    </row>
    <row r="10" spans="1:13" s="7" customFormat="1" ht="16.5" thickBot="1">
      <c r="A10" s="10" t="s">
        <v>886</v>
      </c>
      <c r="B10" s="610" t="s">
        <v>1166</v>
      </c>
      <c r="C10" s="610" t="s">
        <v>1167</v>
      </c>
      <c r="D10" s="610" t="s">
        <v>929</v>
      </c>
      <c r="E10" s="610"/>
      <c r="F10" s="610" t="s">
        <v>1168</v>
      </c>
      <c r="G10" s="610" t="s">
        <v>1169</v>
      </c>
      <c r="H10" s="610" t="s">
        <v>1168</v>
      </c>
      <c r="I10" s="610" t="s">
        <v>1169</v>
      </c>
      <c r="J10" s="611">
        <v>2017</v>
      </c>
      <c r="K10" s="551" t="s">
        <v>1170</v>
      </c>
      <c r="L10" s="551" t="s">
        <v>1171</v>
      </c>
    </row>
    <row r="12" spans="1:13">
      <c r="A12" s="7">
        <v>1</v>
      </c>
      <c r="B12" s="5" t="s">
        <v>1163</v>
      </c>
      <c r="C12" s="5" t="s">
        <v>1164</v>
      </c>
      <c r="D12" s="346">
        <v>48.08</v>
      </c>
      <c r="E12" s="310">
        <v>2080</v>
      </c>
      <c r="F12" s="5">
        <v>100</v>
      </c>
      <c r="G12" s="5">
        <v>0</v>
      </c>
      <c r="H12" s="612">
        <f>D12*E12*F12*0.01</f>
        <v>100006.40000000001</v>
      </c>
      <c r="I12" s="5">
        <f>D12*E12*G12*0.01</f>
        <v>0</v>
      </c>
      <c r="J12" s="543">
        <f>H12</f>
        <v>100006.40000000001</v>
      </c>
      <c r="K12" s="396">
        <f>'State Allocation Formulas'!L25</f>
        <v>0.77239999999999998</v>
      </c>
      <c r="L12" s="310">
        <f>+J12*K12</f>
        <v>77244.943360000005</v>
      </c>
    </row>
    <row r="13" spans="1:13">
      <c r="A13" s="7">
        <v>2</v>
      </c>
      <c r="B13" s="5" t="s">
        <v>1163</v>
      </c>
      <c r="C13" s="5" t="s">
        <v>1165</v>
      </c>
      <c r="D13" s="1054">
        <v>33.15</v>
      </c>
      <c r="E13" s="310">
        <v>2080</v>
      </c>
      <c r="F13" s="5">
        <v>100</v>
      </c>
      <c r="G13" s="5">
        <v>0</v>
      </c>
      <c r="H13" s="612">
        <f>D13*E13*F13*0.01</f>
        <v>68952</v>
      </c>
      <c r="I13" s="5">
        <f>D13*E13*G13*0.01</f>
        <v>0</v>
      </c>
      <c r="J13" s="543">
        <f>H13</f>
        <v>68952</v>
      </c>
      <c r="K13" s="396">
        <f>'State Allocation Formulas'!L25</f>
        <v>0.77239999999999998</v>
      </c>
      <c r="L13" s="310">
        <f>+J13*K13</f>
        <v>53258.524799999999</v>
      </c>
    </row>
    <row r="14" spans="1:13" ht="16.5" thickBot="1">
      <c r="A14" s="7">
        <v>3</v>
      </c>
      <c r="B14" s="5" t="s">
        <v>1163</v>
      </c>
      <c r="C14" s="5" t="s">
        <v>1165</v>
      </c>
      <c r="D14" s="1054">
        <v>0</v>
      </c>
      <c r="E14" s="310">
        <v>2080</v>
      </c>
      <c r="F14" s="5">
        <v>100</v>
      </c>
      <c r="G14" s="5">
        <v>0</v>
      </c>
      <c r="H14" s="613">
        <f>D14*E14*F14*0.01</f>
        <v>0</v>
      </c>
      <c r="I14" s="5">
        <f>D14*E14*G14*0.01</f>
        <v>0</v>
      </c>
      <c r="J14" s="614">
        <f>H14</f>
        <v>0</v>
      </c>
      <c r="K14" s="396">
        <f>'State Allocation Formulas'!L25</f>
        <v>0.77239999999999998</v>
      </c>
      <c r="L14" s="310">
        <f>+J14*K14</f>
        <v>0</v>
      </c>
    </row>
    <row r="15" spans="1:13">
      <c r="D15" s="346"/>
      <c r="E15" s="310"/>
      <c r="H15" s="612">
        <f>SUM(H12:H14)</f>
        <v>168958.40000000002</v>
      </c>
      <c r="J15" s="615">
        <f>SUM(J12:J14)</f>
        <v>168958.40000000002</v>
      </c>
      <c r="L15" s="616">
        <f>SUM(L12:L14)</f>
        <v>130503.46816</v>
      </c>
    </row>
    <row r="16" spans="1:13">
      <c r="A16" s="7">
        <v>4</v>
      </c>
      <c r="C16" s="5" t="s">
        <v>1172</v>
      </c>
      <c r="K16" s="396">
        <v>0.45</v>
      </c>
      <c r="L16" s="104">
        <f>+L15*K16</f>
        <v>58726.560672</v>
      </c>
      <c r="M16" s="5" t="s">
        <v>2087</v>
      </c>
    </row>
    <row r="17" spans="1:14">
      <c r="A17" s="7">
        <v>5</v>
      </c>
      <c r="C17" s="5" t="s">
        <v>1173</v>
      </c>
      <c r="K17" s="396">
        <v>7.6499999999999999E-2</v>
      </c>
      <c r="L17" s="104">
        <f>+L15*K17</f>
        <v>9983.5153142399995</v>
      </c>
      <c r="M17" s="1056">
        <v>7.6499999999999999E-2</v>
      </c>
      <c r="N17" s="1055">
        <f>M17*L15</f>
        <v>9983.5153142399995</v>
      </c>
    </row>
    <row r="19" spans="1:14">
      <c r="A19" s="7">
        <v>6</v>
      </c>
      <c r="B19" s="5" t="s">
        <v>1603</v>
      </c>
      <c r="L19" s="617">
        <f>+L15+L16+L17</f>
        <v>199213.54414624002</v>
      </c>
    </row>
  </sheetData>
  <mergeCells count="5">
    <mergeCell ref="C1:J1"/>
    <mergeCell ref="C2:J2"/>
    <mergeCell ref="C3:J3"/>
    <mergeCell ref="C4:J4"/>
    <mergeCell ref="C5:J5"/>
  </mergeCells>
  <printOptions horizontalCentered="1"/>
  <pageMargins left="0.7" right="0.7" top="0.75" bottom="0.75" header="0.3" footer="0.3"/>
  <pageSetup scale="66" fitToHeight="0" orientation="landscape" r:id="rId1"/>
  <headerFooter scaleWithDoc="0" alignWithMargins="0">
    <oddHeader>&amp;RPage &amp;P of &amp;N</oddHeader>
    <oddFooter>&amp;LElectronic Tab Name:&amp;A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F21"/>
  <sheetViews>
    <sheetView topLeftCell="A12" workbookViewId="0">
      <selection activeCell="E28" sqref="E28"/>
    </sheetView>
  </sheetViews>
  <sheetFormatPr defaultColWidth="9.42578125" defaultRowHeight="15.75"/>
  <cols>
    <col min="1" max="1" width="14.7109375" style="5" customWidth="1"/>
    <col min="2" max="2" width="41.140625" style="5" customWidth="1"/>
    <col min="3" max="3" width="31.140625" style="5" customWidth="1"/>
    <col min="4" max="4" width="27" style="5" customWidth="1"/>
    <col min="5" max="5" width="27.7109375" style="5" customWidth="1"/>
    <col min="6" max="6" width="28" style="5" customWidth="1"/>
    <col min="7" max="7" width="24.28515625" style="5" customWidth="1"/>
    <col min="8" max="8" width="21" style="5" customWidth="1"/>
    <col min="9" max="9" width="20.140625" style="5" customWidth="1"/>
    <col min="10" max="10" width="15.140625" style="5" bestFit="1" customWidth="1"/>
    <col min="11" max="16" width="15.140625" style="16" customWidth="1"/>
    <col min="17" max="17" width="18.28515625" style="1141" customWidth="1"/>
    <col min="18" max="18" width="5.42578125" style="1141" customWidth="1"/>
    <col min="19" max="19" width="40.140625" style="1141" customWidth="1"/>
    <col min="20" max="20" width="24.28515625" style="1141" customWidth="1"/>
    <col min="21" max="21" width="50.28515625" style="1141" customWidth="1"/>
    <col min="22" max="22" width="25.140625" style="1141" customWidth="1"/>
    <col min="23" max="23" width="25.28515625" style="1141" customWidth="1"/>
    <col min="24" max="24" width="9.85546875" style="1141" customWidth="1"/>
    <col min="25" max="25" width="15.85546875" style="1141" customWidth="1"/>
    <col min="26" max="26" width="16.28515625" style="1141" customWidth="1"/>
    <col min="27" max="27" width="16.85546875" style="1141" customWidth="1"/>
    <col min="28" max="28" width="9.42578125" style="1141"/>
    <col min="29" max="29" width="27.5703125" style="1141" bestFit="1" customWidth="1"/>
    <col min="30" max="30" width="19.42578125" style="1141" customWidth="1"/>
    <col min="31" max="31" width="19.140625" style="1141" customWidth="1"/>
    <col min="32" max="32" width="9.42578125" style="1141"/>
    <col min="33" max="16384" width="9.42578125" style="5"/>
  </cols>
  <sheetData>
    <row r="1" spans="1:16">
      <c r="A1" s="1350" t="s">
        <v>2088</v>
      </c>
      <c r="B1" s="1351"/>
      <c r="C1" s="1140"/>
    </row>
    <row r="2" spans="1:16">
      <c r="A2" s="1352" t="s">
        <v>56</v>
      </c>
      <c r="B2" s="1297"/>
      <c r="C2" s="1142"/>
      <c r="D2" s="1139"/>
      <c r="E2" s="1143"/>
      <c r="F2" s="1143"/>
      <c r="G2" s="1143"/>
      <c r="H2" s="1143"/>
      <c r="I2" s="1143"/>
      <c r="J2" s="1143"/>
      <c r="K2" s="1143"/>
      <c r="L2" s="1143"/>
      <c r="M2" s="1143"/>
      <c r="N2" s="1143"/>
      <c r="O2" s="1143"/>
      <c r="P2" s="1143"/>
    </row>
    <row r="3" spans="1:16">
      <c r="A3" s="1352" t="s">
        <v>1609</v>
      </c>
      <c r="B3" s="1297"/>
      <c r="C3" s="1142"/>
      <c r="D3" s="1139"/>
      <c r="E3" s="1143"/>
      <c r="F3" s="1143"/>
      <c r="G3" s="1143"/>
      <c r="H3" s="1143"/>
      <c r="I3" s="1143"/>
      <c r="J3" s="1143"/>
      <c r="K3" s="1143"/>
      <c r="L3" s="1143"/>
      <c r="M3" s="1143"/>
      <c r="N3" s="1143"/>
      <c r="O3" s="1143"/>
      <c r="P3" s="1143"/>
    </row>
    <row r="4" spans="1:16">
      <c r="A4" s="1352"/>
      <c r="B4" s="1297"/>
      <c r="C4" s="1142"/>
      <c r="D4" s="1139"/>
      <c r="E4" s="1143"/>
      <c r="F4" s="1143"/>
      <c r="G4" s="1143"/>
      <c r="H4" s="1143"/>
      <c r="I4" s="1143"/>
      <c r="J4" s="1143"/>
      <c r="K4" s="1143"/>
      <c r="L4" s="1143"/>
      <c r="M4" s="1143"/>
      <c r="N4" s="1143"/>
      <c r="O4" s="1143"/>
      <c r="P4" s="1143"/>
    </row>
    <row r="5" spans="1:16">
      <c r="A5" s="1352" t="s">
        <v>1020</v>
      </c>
      <c r="B5" s="1297"/>
      <c r="C5" s="1142"/>
      <c r="D5" s="1139"/>
      <c r="E5" s="1143"/>
      <c r="F5" s="1143"/>
      <c r="G5" s="1143"/>
      <c r="H5" s="1143"/>
      <c r="I5" s="1143"/>
      <c r="J5" s="1143"/>
      <c r="K5" s="1143"/>
      <c r="L5" s="1143"/>
      <c r="M5" s="1143"/>
      <c r="N5" s="1143"/>
      <c r="O5" s="1143"/>
      <c r="P5" s="1143"/>
    </row>
    <row r="6" spans="1:16" ht="16.5" thickBot="1">
      <c r="A6" s="1352" t="s">
        <v>980</v>
      </c>
      <c r="B6" s="1297"/>
      <c r="C6" s="1142"/>
      <c r="D6" s="1139"/>
      <c r="E6" s="1144" t="s">
        <v>2089</v>
      </c>
      <c r="F6" s="1143"/>
      <c r="H6" s="1145"/>
      <c r="I6" s="1145"/>
      <c r="J6" s="1145"/>
      <c r="K6" s="1146"/>
      <c r="L6" s="1146"/>
      <c r="M6" s="1146"/>
      <c r="N6" s="1146"/>
      <c r="O6" s="1146"/>
      <c r="P6" s="1146"/>
    </row>
    <row r="7" spans="1:16">
      <c r="A7" s="408"/>
      <c r="B7" s="13"/>
      <c r="C7" s="1147"/>
      <c r="D7" s="1141"/>
      <c r="E7" s="1148"/>
      <c r="F7" s="1149"/>
      <c r="H7" s="1150"/>
      <c r="I7" s="1148"/>
    </row>
    <row r="8" spans="1:16">
      <c r="A8" s="1151" t="s">
        <v>886</v>
      </c>
      <c r="B8" s="12" t="s">
        <v>1623</v>
      </c>
      <c r="C8" s="1152" t="s">
        <v>1621</v>
      </c>
      <c r="D8" s="1141"/>
      <c r="E8" s="1153" t="s">
        <v>2090</v>
      </c>
      <c r="H8" s="1154"/>
      <c r="I8" s="1153"/>
      <c r="K8" s="1155"/>
      <c r="L8" s="1155"/>
      <c r="M8" s="1155"/>
      <c r="N8" s="1155"/>
      <c r="O8" s="1155"/>
      <c r="P8" s="1155"/>
    </row>
    <row r="9" spans="1:16">
      <c r="A9" s="1156">
        <v>1</v>
      </c>
      <c r="B9" s="13" t="s">
        <v>2041</v>
      </c>
      <c r="C9" s="1157">
        <v>2219857.09</v>
      </c>
      <c r="D9" s="1141"/>
      <c r="E9" s="1158">
        <v>1554452</v>
      </c>
      <c r="F9" s="1281"/>
      <c r="K9" s="1160"/>
      <c r="L9" s="1160"/>
      <c r="M9" s="1160"/>
      <c r="N9" s="1160"/>
      <c r="O9" s="1160"/>
      <c r="P9" s="1160"/>
    </row>
    <row r="10" spans="1:16">
      <c r="A10" s="1156">
        <v>2</v>
      </c>
      <c r="B10" s="13" t="s">
        <v>1014</v>
      </c>
      <c r="C10" s="1161">
        <v>5000000</v>
      </c>
      <c r="D10" s="1141"/>
      <c r="E10" s="1162">
        <v>2682629</v>
      </c>
      <c r="F10" s="1282"/>
      <c r="H10" s="1162"/>
      <c r="I10" s="1148"/>
      <c r="K10" s="1163"/>
      <c r="L10" s="1163"/>
      <c r="M10" s="1163"/>
      <c r="N10" s="1163"/>
      <c r="O10" s="1163"/>
      <c r="P10" s="1163"/>
    </row>
    <row r="11" spans="1:16" ht="76.900000000000006" customHeight="1">
      <c r="A11" s="1156">
        <v>3</v>
      </c>
      <c r="B11" s="13" t="s">
        <v>1146</v>
      </c>
      <c r="C11" s="1164">
        <f>5690427/12*5</f>
        <v>2371011.25</v>
      </c>
      <c r="D11" s="1141"/>
      <c r="E11" s="1165">
        <v>0</v>
      </c>
      <c r="F11" s="1166"/>
      <c r="H11" s="1148"/>
      <c r="I11" s="1148"/>
      <c r="K11" s="1167"/>
      <c r="L11" s="1167"/>
      <c r="M11" s="1167"/>
      <c r="N11" s="1167"/>
      <c r="O11" s="1167"/>
      <c r="P11" s="1167"/>
    </row>
    <row r="12" spans="1:16">
      <c r="A12" s="1156">
        <v>4</v>
      </c>
      <c r="B12" s="13" t="s">
        <v>1015</v>
      </c>
      <c r="C12" s="1157">
        <f>+C9+C10+C11</f>
        <v>9590868.3399999999</v>
      </c>
      <c r="D12" s="1141"/>
      <c r="E12" s="1159">
        <f>SUM(E9:E11)</f>
        <v>4237081</v>
      </c>
      <c r="F12" s="1159"/>
      <c r="H12" s="1148"/>
      <c r="I12" s="1148"/>
      <c r="K12" s="1168"/>
      <c r="L12" s="1168"/>
      <c r="M12" s="1168"/>
      <c r="N12" s="1168"/>
      <c r="O12" s="1168"/>
      <c r="P12" s="1168"/>
    </row>
    <row r="13" spans="1:16" ht="18.75">
      <c r="A13" s="1156">
        <v>5</v>
      </c>
      <c r="B13" s="13" t="s">
        <v>2091</v>
      </c>
      <c r="C13" s="1169">
        <v>10</v>
      </c>
      <c r="D13" s="1141"/>
      <c r="E13" s="1159">
        <v>10</v>
      </c>
      <c r="F13" s="1159"/>
      <c r="H13" s="1148"/>
      <c r="I13" s="1148"/>
      <c r="K13" s="1168"/>
      <c r="L13" s="1168"/>
      <c r="M13" s="1168"/>
      <c r="N13" s="1168"/>
      <c r="O13" s="1168"/>
      <c r="P13" s="1168"/>
    </row>
    <row r="14" spans="1:16" ht="42.6" customHeight="1" thickBot="1">
      <c r="A14" s="1156">
        <v>6</v>
      </c>
      <c r="B14" s="13" t="s">
        <v>1016</v>
      </c>
      <c r="C14" s="1170">
        <f>+C12/C13</f>
        <v>959086.83400000003</v>
      </c>
      <c r="D14" s="1171"/>
      <c r="E14" s="1172">
        <f>+E12/E13</f>
        <v>423708.1</v>
      </c>
      <c r="F14" s="1173"/>
      <c r="H14" s="1148"/>
      <c r="I14" s="1148"/>
      <c r="K14" s="1174"/>
      <c r="L14" s="1174"/>
      <c r="M14" s="1174"/>
      <c r="N14" s="1174"/>
      <c r="O14" s="1174"/>
      <c r="P14" s="1174"/>
    </row>
    <row r="15" spans="1:16" ht="16.5" thickTop="1">
      <c r="A15" s="408"/>
      <c r="B15" s="13"/>
      <c r="C15" s="1147"/>
      <c r="D15" s="1141"/>
      <c r="E15" s="1141"/>
      <c r="F15" s="1148"/>
      <c r="G15" s="1148"/>
      <c r="H15" s="1148"/>
      <c r="I15" s="1148"/>
      <c r="J15" s="1148"/>
      <c r="K15" s="1175"/>
      <c r="L15" s="1175"/>
      <c r="M15" s="1175"/>
      <c r="N15" s="1175"/>
      <c r="O15" s="1175"/>
      <c r="P15" s="1175"/>
    </row>
    <row r="16" spans="1:16">
      <c r="A16" s="408"/>
      <c r="B16" s="13"/>
      <c r="C16" s="1147"/>
      <c r="E16" s="1148"/>
      <c r="F16" s="1148"/>
      <c r="G16" s="1148"/>
      <c r="H16" s="1148"/>
      <c r="I16" s="1148"/>
      <c r="J16" s="1148"/>
      <c r="K16" s="1175"/>
      <c r="L16" s="1175"/>
      <c r="M16" s="1175"/>
      <c r="N16" s="1175"/>
      <c r="O16" s="1175"/>
      <c r="P16" s="1175"/>
    </row>
    <row r="17" spans="1:16" ht="18.75">
      <c r="A17" s="408" t="s">
        <v>2092</v>
      </c>
      <c r="B17" s="13"/>
      <c r="C17" s="1147"/>
      <c r="E17" s="1148"/>
    </row>
    <row r="18" spans="1:16">
      <c r="A18" s="408" t="s">
        <v>1587</v>
      </c>
      <c r="B18" s="13"/>
      <c r="C18" s="1147"/>
      <c r="J18" s="104"/>
      <c r="K18" s="1176"/>
      <c r="L18" s="1176"/>
      <c r="M18" s="1176"/>
      <c r="N18" s="1176"/>
      <c r="O18" s="1176"/>
      <c r="P18" s="1176"/>
    </row>
    <row r="19" spans="1:16" ht="16.5" thickBot="1">
      <c r="A19" s="1177" t="s">
        <v>2030</v>
      </c>
      <c r="B19" s="589" t="s">
        <v>2042</v>
      </c>
      <c r="C19" s="1178"/>
    </row>
    <row r="21" spans="1:16">
      <c r="J21" s="16"/>
    </row>
  </sheetData>
  <mergeCells count="6">
    <mergeCell ref="A6:B6"/>
    <mergeCell ref="A1:B1"/>
    <mergeCell ref="A2:B2"/>
    <mergeCell ref="A3:B3"/>
    <mergeCell ref="A4:B4"/>
    <mergeCell ref="A5:B5"/>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activeCell="A3" sqref="A3:M3"/>
    </sheetView>
  </sheetViews>
  <sheetFormatPr defaultColWidth="11.42578125" defaultRowHeight="15.75"/>
  <cols>
    <col min="1" max="1" width="9.28515625" style="5" bestFit="1" customWidth="1"/>
    <col min="2" max="2" width="25" style="5" bestFit="1" customWidth="1"/>
    <col min="3" max="3" width="12.5703125" style="5" customWidth="1"/>
    <col min="4" max="4" width="5.85546875" style="5" customWidth="1"/>
    <col min="5" max="5" width="12.28515625" style="5" bestFit="1" customWidth="1"/>
    <col min="6" max="6" width="5.42578125" style="5" customWidth="1"/>
    <col min="7" max="7" width="10.28515625" style="5" bestFit="1" customWidth="1"/>
    <col min="8" max="8" width="4.85546875" style="5" customWidth="1"/>
    <col min="9" max="9" width="9.85546875" style="5" bestFit="1" customWidth="1"/>
    <col min="10" max="10" width="4.7109375" style="5" customWidth="1"/>
    <col min="11" max="11" width="9.85546875" style="5" bestFit="1" customWidth="1"/>
    <col min="12" max="12" width="3.28515625" style="5" customWidth="1"/>
    <col min="13" max="13" width="11" style="5" bestFit="1" customWidth="1"/>
    <col min="14" max="14" width="3.5703125" style="5" customWidth="1"/>
    <col min="15" max="15" width="11.85546875" style="5" customWidth="1"/>
    <col min="16" max="16384" width="11.42578125" style="5"/>
  </cols>
  <sheetData>
    <row r="1" spans="1:15">
      <c r="B1" s="1287" t="s">
        <v>56</v>
      </c>
      <c r="C1" s="1287"/>
      <c r="D1" s="1287"/>
      <c r="E1" s="1287"/>
      <c r="F1" s="1287"/>
      <c r="G1" s="1287"/>
      <c r="H1" s="1287"/>
      <c r="I1" s="1287"/>
      <c r="J1" s="1287"/>
      <c r="K1" s="1287"/>
      <c r="L1" s="1287"/>
      <c r="M1" s="1287"/>
    </row>
    <row r="2" spans="1:15">
      <c r="B2" s="1287" t="s">
        <v>1609</v>
      </c>
      <c r="C2" s="1287"/>
      <c r="D2" s="1287"/>
      <c r="E2" s="1287"/>
      <c r="F2" s="1287"/>
      <c r="G2" s="1287"/>
      <c r="H2" s="1287"/>
      <c r="I2" s="1287"/>
      <c r="J2" s="1287"/>
      <c r="K2" s="1287"/>
      <c r="L2" s="1287"/>
      <c r="M2" s="1287"/>
    </row>
    <row r="3" spans="1:15">
      <c r="B3" s="1287"/>
      <c r="C3" s="1287"/>
      <c r="D3" s="1287"/>
      <c r="E3" s="1287"/>
      <c r="F3" s="1287"/>
      <c r="G3" s="1287"/>
      <c r="H3" s="1287"/>
      <c r="I3" s="1287"/>
      <c r="J3" s="1287"/>
      <c r="K3" s="1287"/>
      <c r="L3" s="1287"/>
      <c r="M3" s="1287"/>
    </row>
    <row r="4" spans="1:15">
      <c r="B4" s="1287" t="s">
        <v>1021</v>
      </c>
      <c r="C4" s="1287"/>
      <c r="D4" s="1287"/>
      <c r="E4" s="1287"/>
      <c r="F4" s="1287"/>
      <c r="G4" s="1287"/>
      <c r="H4" s="1287"/>
      <c r="I4" s="1287"/>
      <c r="J4" s="1287"/>
      <c r="K4" s="1287"/>
      <c r="L4" s="1287"/>
      <c r="M4" s="1287"/>
    </row>
    <row r="5" spans="1:15">
      <c r="B5" s="1287" t="s">
        <v>980</v>
      </c>
      <c r="C5" s="1287"/>
      <c r="D5" s="1287"/>
      <c r="E5" s="1287"/>
      <c r="F5" s="1287"/>
      <c r="G5" s="1287"/>
      <c r="H5" s="1287"/>
      <c r="I5" s="1287"/>
      <c r="J5" s="1287"/>
      <c r="K5" s="1287"/>
      <c r="L5" s="1287"/>
      <c r="M5" s="1287"/>
    </row>
    <row r="7" spans="1:15" s="7" customFormat="1">
      <c r="B7" s="7" t="s">
        <v>1623</v>
      </c>
      <c r="C7" s="7" t="s">
        <v>1621</v>
      </c>
      <c r="E7" s="7" t="s">
        <v>1622</v>
      </c>
      <c r="G7" s="7" t="s">
        <v>1625</v>
      </c>
      <c r="I7" s="7" t="s">
        <v>1626</v>
      </c>
      <c r="K7" s="7" t="s">
        <v>1635</v>
      </c>
      <c r="M7" s="7" t="s">
        <v>1636</v>
      </c>
      <c r="O7" s="7" t="s">
        <v>1637</v>
      </c>
    </row>
    <row r="8" spans="1:15" ht="78.75">
      <c r="A8" s="620" t="s">
        <v>886</v>
      </c>
      <c r="B8" s="620" t="s">
        <v>1022</v>
      </c>
      <c r="C8" s="621" t="s">
        <v>2038</v>
      </c>
      <c r="D8" s="620"/>
      <c r="E8" s="621" t="s">
        <v>2039</v>
      </c>
      <c r="F8" s="620"/>
      <c r="G8" s="622" t="s">
        <v>1029</v>
      </c>
      <c r="H8" s="9"/>
      <c r="I8" s="621" t="s">
        <v>2040</v>
      </c>
      <c r="J8" s="621"/>
      <c r="K8" s="621" t="s">
        <v>1028</v>
      </c>
      <c r="L8" s="9"/>
      <c r="M8" s="621" t="s">
        <v>1023</v>
      </c>
      <c r="O8" s="621" t="s">
        <v>1652</v>
      </c>
    </row>
    <row r="9" spans="1:15">
      <c r="B9" s="623"/>
      <c r="C9" s="623"/>
      <c r="D9" s="623"/>
      <c r="E9" s="624"/>
      <c r="F9" s="623"/>
      <c r="G9" s="620"/>
      <c r="H9" s="620"/>
      <c r="I9" s="620"/>
      <c r="J9" s="620"/>
      <c r="K9" s="620"/>
      <c r="L9" s="620"/>
      <c r="M9" s="620"/>
    </row>
    <row r="10" spans="1:15">
      <c r="A10" s="7">
        <v>1</v>
      </c>
      <c r="B10" s="625" t="s">
        <v>1880</v>
      </c>
      <c r="C10" s="626">
        <v>10</v>
      </c>
      <c r="D10" s="625"/>
      <c r="E10" s="627">
        <v>1297</v>
      </c>
      <c r="F10" s="625"/>
      <c r="G10" s="628">
        <f t="shared" ref="G10:G15" si="0">+C10*E10</f>
        <v>12970</v>
      </c>
      <c r="H10" s="629"/>
      <c r="I10" s="630">
        <v>12</v>
      </c>
      <c r="J10" s="631"/>
      <c r="K10" s="631">
        <f t="shared" ref="K10:K15" si="1">+I10*E10</f>
        <v>15564</v>
      </c>
      <c r="L10" s="629"/>
      <c r="M10" s="628">
        <f t="shared" ref="M10:M15" si="2">+K10-G10</f>
        <v>2594</v>
      </c>
      <c r="N10" s="629"/>
      <c r="O10" s="632">
        <f>(I10-C10)/C10</f>
        <v>0.2</v>
      </c>
    </row>
    <row r="11" spans="1:15">
      <c r="A11" s="7">
        <v>2</v>
      </c>
      <c r="B11" s="633" t="s">
        <v>1881</v>
      </c>
      <c r="C11" s="634">
        <v>18</v>
      </c>
      <c r="D11" s="633"/>
      <c r="E11" s="11">
        <v>4059</v>
      </c>
      <c r="F11" s="633"/>
      <c r="G11" s="635">
        <f t="shared" si="0"/>
        <v>73062</v>
      </c>
      <c r="H11" s="633"/>
      <c r="I11" s="636">
        <v>21</v>
      </c>
      <c r="J11" s="637"/>
      <c r="K11" s="637">
        <f t="shared" si="1"/>
        <v>85239</v>
      </c>
      <c r="L11" s="633"/>
      <c r="M11" s="638">
        <f t="shared" si="2"/>
        <v>12177</v>
      </c>
      <c r="O11" s="639">
        <f t="shared" ref="O11:O15" si="3">(I11-C11)/C11</f>
        <v>0.16666666666666666</v>
      </c>
    </row>
    <row r="12" spans="1:15">
      <c r="A12" s="7">
        <v>3</v>
      </c>
      <c r="B12" s="625" t="s">
        <v>1024</v>
      </c>
      <c r="C12" s="626">
        <v>20</v>
      </c>
      <c r="D12" s="625"/>
      <c r="E12" s="627">
        <v>271</v>
      </c>
      <c r="F12" s="625"/>
      <c r="G12" s="640">
        <f t="shared" si="0"/>
        <v>5420</v>
      </c>
      <c r="H12" s="625"/>
      <c r="I12" s="641">
        <v>24</v>
      </c>
      <c r="J12" s="642"/>
      <c r="K12" s="642">
        <f t="shared" si="1"/>
        <v>6504</v>
      </c>
      <c r="L12" s="625"/>
      <c r="M12" s="643">
        <f t="shared" si="2"/>
        <v>1084</v>
      </c>
      <c r="N12" s="643"/>
      <c r="O12" s="644">
        <f t="shared" si="3"/>
        <v>0.2</v>
      </c>
    </row>
    <row r="13" spans="1:15">
      <c r="A13" s="7">
        <v>4</v>
      </c>
      <c r="B13" s="633" t="s">
        <v>1025</v>
      </c>
      <c r="C13" s="634">
        <v>45</v>
      </c>
      <c r="D13" s="633"/>
      <c r="E13" s="11">
        <v>2916</v>
      </c>
      <c r="F13" s="633"/>
      <c r="G13" s="645">
        <f t="shared" si="0"/>
        <v>131220</v>
      </c>
      <c r="H13" s="633"/>
      <c r="I13" s="636">
        <v>0</v>
      </c>
      <c r="J13" s="637"/>
      <c r="K13" s="637">
        <f t="shared" si="1"/>
        <v>0</v>
      </c>
      <c r="L13" s="633"/>
      <c r="M13" s="638">
        <f t="shared" si="2"/>
        <v>-131220</v>
      </c>
      <c r="O13" s="646">
        <f t="shared" si="3"/>
        <v>-1</v>
      </c>
    </row>
    <row r="14" spans="1:15">
      <c r="A14" s="7">
        <v>5</v>
      </c>
      <c r="B14" s="625" t="s">
        <v>1026</v>
      </c>
      <c r="C14" s="626">
        <v>24</v>
      </c>
      <c r="D14" s="625"/>
      <c r="E14" s="627">
        <v>1865</v>
      </c>
      <c r="F14" s="625"/>
      <c r="G14" s="640">
        <f t="shared" si="0"/>
        <v>44760</v>
      </c>
      <c r="H14" s="625"/>
      <c r="I14" s="641">
        <v>28</v>
      </c>
      <c r="J14" s="642"/>
      <c r="K14" s="642">
        <f t="shared" si="1"/>
        <v>52220</v>
      </c>
      <c r="L14" s="625"/>
      <c r="M14" s="643">
        <f t="shared" si="2"/>
        <v>7460</v>
      </c>
      <c r="N14" s="643"/>
      <c r="O14" s="644">
        <f t="shared" si="3"/>
        <v>0.16666666666666666</v>
      </c>
    </row>
    <row r="15" spans="1:15">
      <c r="A15" s="7">
        <v>6</v>
      </c>
      <c r="B15" s="633" t="s">
        <v>1027</v>
      </c>
      <c r="C15" s="634">
        <v>60</v>
      </c>
      <c r="D15" s="633"/>
      <c r="E15" s="11">
        <v>626</v>
      </c>
      <c r="F15" s="633"/>
      <c r="G15" s="635">
        <f t="shared" si="0"/>
        <v>37560</v>
      </c>
      <c r="H15" s="633"/>
      <c r="I15" s="636">
        <v>70</v>
      </c>
      <c r="J15" s="637"/>
      <c r="K15" s="637">
        <f t="shared" si="1"/>
        <v>43820</v>
      </c>
      <c r="L15" s="633"/>
      <c r="M15" s="637">
        <f t="shared" si="2"/>
        <v>6260</v>
      </c>
      <c r="O15" s="639">
        <f t="shared" si="3"/>
        <v>0.16666666666666666</v>
      </c>
    </row>
    <row r="16" spans="1:15">
      <c r="B16" s="9"/>
      <c r="C16" s="9"/>
      <c r="D16" s="9"/>
      <c r="E16" s="9"/>
      <c r="F16" s="9"/>
      <c r="G16" s="9"/>
      <c r="H16" s="9"/>
      <c r="I16" s="9"/>
      <c r="J16" s="9"/>
      <c r="K16" s="9"/>
      <c r="L16" s="9"/>
      <c r="M16" s="635">
        <f>SUM(M10:M15)</f>
        <v>-101645</v>
      </c>
    </row>
    <row r="17" spans="1:13">
      <c r="B17" s="1353" t="s">
        <v>1952</v>
      </c>
      <c r="C17" s="1353"/>
      <c r="D17" s="1353"/>
      <c r="E17" s="1353"/>
      <c r="F17" s="1353"/>
      <c r="G17" s="1353"/>
      <c r="H17" s="1353"/>
      <c r="I17" s="1353"/>
      <c r="J17" s="1353"/>
      <c r="K17" s="1353"/>
      <c r="L17" s="1353"/>
      <c r="M17" s="9"/>
    </row>
    <row r="18" spans="1:13">
      <c r="B18" s="1353"/>
      <c r="C18" s="1353"/>
      <c r="D18" s="1353"/>
      <c r="E18" s="1353"/>
      <c r="F18" s="1353"/>
      <c r="G18" s="1353"/>
      <c r="H18" s="1353"/>
      <c r="I18" s="1353"/>
      <c r="J18" s="1353"/>
      <c r="K18" s="1353"/>
      <c r="L18" s="1353"/>
    </row>
    <row r="20" spans="1:13">
      <c r="A20" s="5" t="s">
        <v>1587</v>
      </c>
    </row>
    <row r="21" spans="1:13">
      <c r="A21" s="7" t="s">
        <v>2030</v>
      </c>
      <c r="B21" s="5" t="s">
        <v>2036</v>
      </c>
    </row>
    <row r="22" spans="1:13">
      <c r="A22" s="7" t="s">
        <v>2028</v>
      </c>
      <c r="B22" s="5" t="s">
        <v>2037</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zoomScaleNormal="100" workbookViewId="0">
      <selection activeCell="F24" sqref="F24:F25"/>
    </sheetView>
  </sheetViews>
  <sheetFormatPr defaultColWidth="9.140625" defaultRowHeight="15.75"/>
  <cols>
    <col min="1" max="1" width="10.140625" style="568" customWidth="1"/>
    <col min="2" max="2" width="61.85546875" style="132" bestFit="1" customWidth="1"/>
    <col min="3" max="3" width="18" style="132" bestFit="1" customWidth="1"/>
    <col min="4" max="4" width="12.7109375" style="132" bestFit="1" customWidth="1"/>
    <col min="5" max="16384" width="9.140625" style="132"/>
  </cols>
  <sheetData>
    <row r="1" spans="1:12">
      <c r="A1" s="1287" t="s">
        <v>56</v>
      </c>
      <c r="B1" s="1287"/>
      <c r="C1" s="1287"/>
      <c r="D1" s="1287"/>
      <c r="E1" s="1287"/>
      <c r="F1" s="4"/>
      <c r="G1" s="4"/>
      <c r="H1" s="4"/>
      <c r="I1" s="4"/>
      <c r="J1" s="4"/>
      <c r="K1" s="4"/>
      <c r="L1" s="4"/>
    </row>
    <row r="2" spans="1:12">
      <c r="A2" s="1287" t="s">
        <v>1609</v>
      </c>
      <c r="B2" s="1287"/>
      <c r="C2" s="1287"/>
      <c r="D2" s="1287"/>
      <c r="E2" s="1287"/>
      <c r="F2" s="4"/>
      <c r="G2" s="4"/>
      <c r="H2" s="4"/>
      <c r="I2" s="4"/>
      <c r="J2" s="4"/>
      <c r="K2" s="4"/>
      <c r="L2" s="4"/>
    </row>
    <row r="3" spans="1:12">
      <c r="A3" s="1287"/>
      <c r="B3" s="1287"/>
      <c r="C3" s="1287"/>
      <c r="D3" s="1287"/>
      <c r="E3" s="1287"/>
      <c r="F3" s="4"/>
      <c r="G3" s="4"/>
      <c r="H3" s="4"/>
      <c r="I3" s="4"/>
      <c r="J3" s="4"/>
      <c r="K3" s="4"/>
      <c r="L3" s="4"/>
    </row>
    <row r="4" spans="1:12">
      <c r="A4" s="1287" t="s">
        <v>1616</v>
      </c>
      <c r="B4" s="1287"/>
      <c r="C4" s="1287"/>
      <c r="D4" s="1287"/>
      <c r="E4" s="1287"/>
      <c r="F4" s="4"/>
      <c r="G4" s="4"/>
      <c r="H4" s="4"/>
      <c r="I4" s="4"/>
      <c r="J4" s="4"/>
      <c r="K4" s="4"/>
      <c r="L4" s="4"/>
    </row>
    <row r="5" spans="1:12">
      <c r="A5" s="1287" t="s">
        <v>980</v>
      </c>
      <c r="B5" s="1287"/>
      <c r="C5" s="1287"/>
      <c r="D5" s="1287"/>
      <c r="E5" s="1287"/>
      <c r="F5" s="4"/>
      <c r="G5" s="4"/>
      <c r="H5" s="4"/>
      <c r="I5" s="4"/>
      <c r="J5" s="4"/>
      <c r="K5" s="4"/>
      <c r="L5" s="4"/>
    </row>
    <row r="8" spans="1:12" s="568" customFormat="1">
      <c r="A8" s="618" t="s">
        <v>886</v>
      </c>
      <c r="B8" s="568" t="s">
        <v>1623</v>
      </c>
      <c r="C8" s="568" t="s">
        <v>1621</v>
      </c>
      <c r="D8" s="568" t="s">
        <v>1622</v>
      </c>
      <c r="E8" s="568" t="s">
        <v>1625</v>
      </c>
    </row>
    <row r="9" spans="1:12">
      <c r="A9" s="568">
        <v>1</v>
      </c>
      <c r="B9" s="132" t="s">
        <v>1358</v>
      </c>
      <c r="C9" s="647"/>
      <c r="D9" s="647">
        <v>14908023</v>
      </c>
    </row>
    <row r="10" spans="1:12" ht="16.5" thickBot="1">
      <c r="A10" s="568">
        <v>2</v>
      </c>
      <c r="B10" s="132" t="s">
        <v>1359</v>
      </c>
      <c r="C10" s="647"/>
      <c r="D10" s="648">
        <f>+'CRM Adjustment (b)'!AA79</f>
        <v>11884345.086249998</v>
      </c>
    </row>
    <row r="11" spans="1:12">
      <c r="A11" s="568">
        <v>3</v>
      </c>
      <c r="B11" s="132" t="s">
        <v>1360</v>
      </c>
      <c r="C11" s="647"/>
      <c r="D11" s="649">
        <f>+D9-D10</f>
        <v>3023677.9137500022</v>
      </c>
    </row>
    <row r="12" spans="1:12">
      <c r="C12" s="647"/>
      <c r="D12" s="647"/>
    </row>
    <row r="13" spans="1:12">
      <c r="C13" s="647"/>
      <c r="D13" s="647"/>
    </row>
    <row r="14" spans="1:12">
      <c r="A14" s="568">
        <v>4</v>
      </c>
      <c r="B14" s="132" t="s">
        <v>882</v>
      </c>
      <c r="C14" s="649">
        <f>+D11</f>
        <v>3023677.9137500022</v>
      </c>
      <c r="D14" s="647"/>
    </row>
    <row r="15" spans="1:12">
      <c r="C15" s="647"/>
      <c r="D15" s="647"/>
      <c r="E15" s="619" t="s">
        <v>1879</v>
      </c>
    </row>
    <row r="16" spans="1:12">
      <c r="A16" s="568">
        <v>5</v>
      </c>
      <c r="B16" s="132" t="s">
        <v>895</v>
      </c>
      <c r="C16" s="647">
        <f>+C14*0.0258</f>
        <v>78010.890174750049</v>
      </c>
      <c r="D16" s="647"/>
      <c r="E16" s="619">
        <f>+C16</f>
        <v>78010.890174750049</v>
      </c>
    </row>
    <row r="17" spans="1:6">
      <c r="A17" s="568">
        <v>6</v>
      </c>
      <c r="B17" s="132" t="s">
        <v>896</v>
      </c>
      <c r="C17" s="649">
        <f>+C16/2</f>
        <v>39005.445087375025</v>
      </c>
      <c r="D17" s="647"/>
      <c r="E17" s="619"/>
      <c r="F17" s="619"/>
    </row>
    <row r="18" spans="1:6">
      <c r="A18" s="568">
        <v>7</v>
      </c>
      <c r="B18" s="132" t="s">
        <v>897</v>
      </c>
      <c r="C18" s="647">
        <f>+C14*0.0375</f>
        <v>113387.92176562508</v>
      </c>
      <c r="D18" s="647"/>
      <c r="E18" s="619"/>
      <c r="F18" s="619"/>
    </row>
    <row r="19" spans="1:6" ht="16.5" thickBot="1">
      <c r="A19" s="568">
        <v>8</v>
      </c>
      <c r="B19" s="132" t="s">
        <v>101</v>
      </c>
      <c r="C19" s="647">
        <f>(+C18-C16)*0.35</f>
        <v>12381.961056806262</v>
      </c>
      <c r="D19" s="647"/>
      <c r="E19" s="619"/>
      <c r="F19" s="619"/>
    </row>
    <row r="20" spans="1:6" ht="16.5" thickBot="1">
      <c r="A20" s="568">
        <v>9</v>
      </c>
      <c r="B20" s="132" t="s">
        <v>898</v>
      </c>
      <c r="C20" s="649">
        <f>+C19/2</f>
        <v>6190.9805284031308</v>
      </c>
      <c r="D20" s="1057"/>
      <c r="E20" s="619"/>
      <c r="F20" s="619"/>
    </row>
    <row r="21" spans="1:6">
      <c r="C21" s="647"/>
      <c r="D21" s="647"/>
      <c r="E21" s="619"/>
      <c r="F21" s="619"/>
    </row>
    <row r="22" spans="1:6">
      <c r="C22" s="647"/>
      <c r="D22" s="647"/>
      <c r="E22" s="619"/>
      <c r="F22" s="619"/>
    </row>
    <row r="23" spans="1:6">
      <c r="A23" s="568">
        <v>10</v>
      </c>
      <c r="B23" s="132" t="s">
        <v>900</v>
      </c>
      <c r="C23" s="650">
        <f>+C14-C17-C20</f>
        <v>2978481.488134224</v>
      </c>
      <c r="D23" s="647"/>
      <c r="E23" s="619"/>
    </row>
    <row r="24" spans="1:6">
      <c r="C24" s="647"/>
      <c r="D24" s="647"/>
    </row>
    <row r="25" spans="1:6">
      <c r="C25" s="647"/>
      <c r="D25" s="647"/>
      <c r="F25" s="651"/>
    </row>
    <row r="26" spans="1:6">
      <c r="C26" s="651"/>
      <c r="D26" s="651"/>
      <c r="E26" s="651"/>
      <c r="F26" s="651"/>
    </row>
    <row r="27" spans="1:6">
      <c r="C27" s="651"/>
      <c r="D27" s="651"/>
      <c r="E27" s="651"/>
    </row>
    <row r="28" spans="1:6">
      <c r="F28" s="652"/>
    </row>
    <row r="29" spans="1:6">
      <c r="C29" s="652"/>
      <c r="E29" s="652"/>
      <c r="F29" s="651"/>
    </row>
    <row r="30" spans="1:6">
      <c r="C30" s="652"/>
      <c r="E30" s="652"/>
      <c r="F30" s="651"/>
    </row>
    <row r="31" spans="1:6">
      <c r="E31" s="652"/>
    </row>
    <row r="32" spans="1:6">
      <c r="C32" s="652"/>
      <c r="E32" s="652"/>
    </row>
    <row r="33" spans="3:5">
      <c r="C33" s="652"/>
      <c r="E33" s="652"/>
    </row>
    <row r="34" spans="3:5">
      <c r="C34" s="652"/>
      <c r="E34" s="652"/>
    </row>
    <row r="35" spans="3:5">
      <c r="C35" s="652"/>
      <c r="E35" s="652"/>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view="pageBreakPreview" zoomScaleNormal="100" zoomScaleSheetLayoutView="100" workbookViewId="0">
      <selection activeCell="A81" sqref="A81"/>
    </sheetView>
  </sheetViews>
  <sheetFormatPr defaultColWidth="9.140625" defaultRowHeight="15.75"/>
  <cols>
    <col min="1" max="1" width="12.140625" style="20" bestFit="1" customWidth="1"/>
    <col min="2" max="2" width="12.7109375" style="5" bestFit="1" customWidth="1"/>
    <col min="3" max="3" width="17.5703125" style="5" bestFit="1" customWidth="1"/>
    <col min="4" max="4" width="61.85546875" style="5" bestFit="1" customWidth="1"/>
    <col min="5" max="5" width="14" style="5" bestFit="1" customWidth="1"/>
    <col min="6" max="6" width="16.140625" style="5" bestFit="1" customWidth="1"/>
    <col min="7" max="7" width="9.42578125" style="5" bestFit="1" customWidth="1"/>
    <col min="8" max="8" width="9.28515625" style="5" bestFit="1" customWidth="1"/>
    <col min="9" max="9" width="13" style="5" bestFit="1" customWidth="1"/>
    <col min="10" max="10" width="12.28515625" style="5" customWidth="1"/>
    <col min="11" max="11" width="16.140625" style="5" bestFit="1" customWidth="1"/>
    <col min="12" max="12" width="18.28515625" style="5" bestFit="1" customWidth="1"/>
    <col min="13" max="13" width="17.7109375" style="5" bestFit="1" customWidth="1"/>
    <col min="14" max="15" width="17.28515625" style="5" bestFit="1" customWidth="1"/>
    <col min="16" max="19" width="18.28515625" style="5" bestFit="1" customWidth="1"/>
    <col min="20" max="20" width="18.7109375" style="5" bestFit="1" customWidth="1"/>
    <col min="21" max="22" width="18.28515625" style="5" bestFit="1" customWidth="1"/>
    <col min="23" max="25" width="19.140625" style="5" bestFit="1" customWidth="1"/>
    <col min="26" max="26" width="18.7109375" style="5" bestFit="1" customWidth="1"/>
    <col min="27" max="27" width="19.140625" style="5" bestFit="1" customWidth="1"/>
    <col min="28" max="28" width="6.5703125" style="5" customWidth="1"/>
    <col min="29" max="29" width="19.140625" style="5" bestFit="1" customWidth="1"/>
    <col min="30" max="16384" width="9.140625" style="5"/>
  </cols>
  <sheetData>
    <row r="1" spans="2:29">
      <c r="B1" s="1287" t="s">
        <v>56</v>
      </c>
      <c r="C1" s="1287"/>
      <c r="D1" s="1287"/>
      <c r="E1" s="1287"/>
      <c r="F1" s="1287"/>
      <c r="G1" s="1287"/>
      <c r="H1" s="1287"/>
      <c r="M1" s="4"/>
      <c r="N1" s="1287" t="s">
        <v>56</v>
      </c>
      <c r="O1" s="1287"/>
      <c r="P1" s="1287"/>
      <c r="Q1" s="1287"/>
      <c r="R1" s="4"/>
      <c r="X1" s="1287" t="s">
        <v>56</v>
      </c>
      <c r="Y1" s="1287"/>
      <c r="Z1" s="1287"/>
      <c r="AA1" s="4"/>
      <c r="AB1" s="4"/>
    </row>
    <row r="2" spans="2:29">
      <c r="B2" s="1287" t="s">
        <v>1609</v>
      </c>
      <c r="C2" s="1287"/>
      <c r="D2" s="1287"/>
      <c r="E2" s="1287"/>
      <c r="F2" s="1287"/>
      <c r="G2" s="1287"/>
      <c r="H2" s="1287"/>
      <c r="M2" s="4"/>
      <c r="N2" s="1287" t="s">
        <v>1609</v>
      </c>
      <c r="O2" s="1287"/>
      <c r="P2" s="1287"/>
      <c r="Q2" s="1287"/>
      <c r="R2" s="4"/>
      <c r="X2" s="1287" t="s">
        <v>1609</v>
      </c>
      <c r="Y2" s="1287"/>
      <c r="Z2" s="1287"/>
      <c r="AA2" s="4"/>
      <c r="AB2" s="4"/>
    </row>
    <row r="3" spans="2:29">
      <c r="B3" s="1287"/>
      <c r="C3" s="1287"/>
      <c r="D3" s="1287"/>
      <c r="E3" s="1287"/>
      <c r="F3" s="1287"/>
      <c r="G3" s="1287"/>
      <c r="H3" s="1287"/>
      <c r="M3" s="4"/>
      <c r="N3" s="1287"/>
      <c r="O3" s="1287"/>
      <c r="P3" s="1287"/>
      <c r="Q3" s="1287"/>
      <c r="R3" s="4"/>
      <c r="X3" s="1287"/>
      <c r="Y3" s="1287"/>
      <c r="Z3" s="1287"/>
      <c r="AA3" s="4"/>
      <c r="AB3" s="4"/>
    </row>
    <row r="4" spans="2:29">
      <c r="B4" s="1287" t="s">
        <v>1617</v>
      </c>
      <c r="C4" s="1287"/>
      <c r="D4" s="1287"/>
      <c r="E4" s="1287"/>
      <c r="F4" s="1287"/>
      <c r="G4" s="1287"/>
      <c r="H4" s="1287"/>
      <c r="M4" s="4"/>
      <c r="N4" s="1287" t="s">
        <v>1617</v>
      </c>
      <c r="O4" s="1287"/>
      <c r="P4" s="1287"/>
      <c r="Q4" s="1287"/>
      <c r="R4" s="4"/>
      <c r="X4" s="1287" t="s">
        <v>1617</v>
      </c>
      <c r="Y4" s="1287"/>
      <c r="Z4" s="1287"/>
      <c r="AA4" s="4"/>
      <c r="AB4" s="4"/>
    </row>
    <row r="5" spans="2:29">
      <c r="B5" s="1287" t="s">
        <v>980</v>
      </c>
      <c r="C5" s="1287"/>
      <c r="D5" s="1287"/>
      <c r="E5" s="1287"/>
      <c r="F5" s="1287"/>
      <c r="G5" s="1287"/>
      <c r="H5" s="1287"/>
      <c r="M5" s="4"/>
      <c r="N5" s="1287" t="s">
        <v>980</v>
      </c>
      <c r="O5" s="1287"/>
      <c r="P5" s="1287"/>
      <c r="Q5" s="1287"/>
      <c r="R5" s="4"/>
      <c r="X5" s="1287" t="s">
        <v>980</v>
      </c>
      <c r="Y5" s="1287"/>
      <c r="Z5" s="1287"/>
      <c r="AA5" s="4"/>
      <c r="AB5" s="4"/>
    </row>
    <row r="6" spans="2:29">
      <c r="B6" s="19"/>
      <c r="C6" s="19"/>
      <c r="D6" s="19"/>
      <c r="E6" s="19"/>
      <c r="F6" s="19"/>
      <c r="G6" s="19"/>
      <c r="H6" s="19"/>
    </row>
    <row r="7" spans="2:29" s="20" customFormat="1">
      <c r="B7" s="20" t="s">
        <v>1623</v>
      </c>
      <c r="C7" s="20" t="s">
        <v>1621</v>
      </c>
      <c r="D7" s="20" t="s">
        <v>1622</v>
      </c>
      <c r="E7" s="20" t="s">
        <v>1625</v>
      </c>
      <c r="F7" s="20" t="s">
        <v>1635</v>
      </c>
      <c r="G7" s="20" t="s">
        <v>1636</v>
      </c>
      <c r="H7" s="20" t="s">
        <v>1637</v>
      </c>
      <c r="I7" s="20" t="s">
        <v>1638</v>
      </c>
      <c r="J7" s="20" t="s">
        <v>1639</v>
      </c>
      <c r="K7" s="20" t="s">
        <v>1640</v>
      </c>
      <c r="L7" s="20" t="s">
        <v>1641</v>
      </c>
      <c r="M7" s="20" t="s">
        <v>1642</v>
      </c>
      <c r="N7" s="20" t="s">
        <v>1643</v>
      </c>
      <c r="O7" s="20" t="s">
        <v>1644</v>
      </c>
      <c r="P7" s="20" t="s">
        <v>1918</v>
      </c>
      <c r="Q7" s="20" t="s">
        <v>1919</v>
      </c>
      <c r="R7" s="20" t="s">
        <v>1920</v>
      </c>
      <c r="S7" s="20" t="s">
        <v>1921</v>
      </c>
      <c r="T7" s="20" t="s">
        <v>1922</v>
      </c>
      <c r="U7" s="20" t="s">
        <v>1923</v>
      </c>
      <c r="V7" s="20" t="s">
        <v>1924</v>
      </c>
      <c r="W7" s="20" t="s">
        <v>1925</v>
      </c>
      <c r="X7" s="20" t="s">
        <v>1926</v>
      </c>
      <c r="Y7" s="20" t="s">
        <v>1927</v>
      </c>
      <c r="Z7" s="20" t="s">
        <v>1928</v>
      </c>
      <c r="AA7" s="20" t="s">
        <v>1176</v>
      </c>
      <c r="AC7" s="20" t="s">
        <v>1929</v>
      </c>
    </row>
    <row r="8" spans="2:29">
      <c r="B8" s="19"/>
      <c r="C8" s="19"/>
      <c r="D8" s="19"/>
      <c r="E8" s="19"/>
      <c r="F8" s="19"/>
      <c r="G8" s="19"/>
      <c r="H8" s="19"/>
    </row>
    <row r="9" spans="2:29">
      <c r="I9" s="401" t="s">
        <v>1176</v>
      </c>
      <c r="J9" s="401" t="s">
        <v>1176</v>
      </c>
      <c r="K9" s="401" t="s">
        <v>1176</v>
      </c>
      <c r="L9" s="401" t="s">
        <v>1176</v>
      </c>
      <c r="M9" s="401" t="s">
        <v>1176</v>
      </c>
      <c r="N9" s="401" t="s">
        <v>1176</v>
      </c>
      <c r="O9" s="401" t="s">
        <v>1176</v>
      </c>
      <c r="P9" s="401" t="s">
        <v>1176</v>
      </c>
      <c r="Q9" s="401" t="s">
        <v>1176</v>
      </c>
      <c r="R9" s="401" t="s">
        <v>1176</v>
      </c>
      <c r="S9" s="401" t="s">
        <v>1176</v>
      </c>
      <c r="T9" s="401" t="s">
        <v>1176</v>
      </c>
      <c r="U9" s="401" t="s">
        <v>1176</v>
      </c>
      <c r="V9" s="401" t="s">
        <v>1176</v>
      </c>
      <c r="W9" s="401" t="s">
        <v>1176</v>
      </c>
      <c r="X9" s="401" t="s">
        <v>54</v>
      </c>
      <c r="Y9" s="401" t="s">
        <v>1176</v>
      </c>
      <c r="Z9" s="401" t="s">
        <v>1176</v>
      </c>
      <c r="AA9" s="401" t="s">
        <v>1176</v>
      </c>
      <c r="AC9" s="403"/>
    </row>
    <row r="10" spans="2:29">
      <c r="I10" s="653">
        <v>2015</v>
      </c>
      <c r="J10" s="653">
        <v>2015</v>
      </c>
      <c r="K10" s="653">
        <v>2015</v>
      </c>
      <c r="L10" s="653">
        <v>2015</v>
      </c>
      <c r="M10" s="653">
        <v>2015</v>
      </c>
      <c r="N10" s="653">
        <v>2015</v>
      </c>
      <c r="O10" s="653">
        <v>2016</v>
      </c>
      <c r="P10" s="653">
        <v>2016</v>
      </c>
      <c r="Q10" s="653">
        <v>2016</v>
      </c>
      <c r="R10" s="653">
        <v>2016</v>
      </c>
      <c r="S10" s="653">
        <v>2016</v>
      </c>
      <c r="T10" s="653">
        <v>2016</v>
      </c>
      <c r="U10" s="653">
        <v>2016</v>
      </c>
      <c r="V10" s="653">
        <v>2016</v>
      </c>
      <c r="W10" s="653">
        <v>2016</v>
      </c>
      <c r="X10" s="653" t="s">
        <v>1904</v>
      </c>
      <c r="Y10" s="653">
        <v>2016</v>
      </c>
      <c r="Z10" s="653">
        <v>2016</v>
      </c>
      <c r="AA10" s="653">
        <v>2016</v>
      </c>
      <c r="AC10" s="654"/>
    </row>
    <row r="11" spans="2:29">
      <c r="B11" s="7"/>
      <c r="C11" s="17"/>
      <c r="E11" s="7"/>
      <c r="G11" s="655"/>
      <c r="H11" s="656"/>
      <c r="I11" s="401" t="s">
        <v>1177</v>
      </c>
      <c r="J11" s="401" t="s">
        <v>1177</v>
      </c>
      <c r="K11" s="401" t="s">
        <v>1177</v>
      </c>
      <c r="L11" s="401" t="s">
        <v>1177</v>
      </c>
      <c r="M11" s="401" t="s">
        <v>1177</v>
      </c>
      <c r="N11" s="401" t="s">
        <v>1177</v>
      </c>
      <c r="O11" s="401" t="s">
        <v>1177</v>
      </c>
      <c r="P11" s="401" t="s">
        <v>1177</v>
      </c>
      <c r="Q11" s="401" t="s">
        <v>1177</v>
      </c>
      <c r="R11" s="401" t="s">
        <v>1177</v>
      </c>
      <c r="S11" s="401" t="s">
        <v>1177</v>
      </c>
      <c r="T11" s="401" t="s">
        <v>1177</v>
      </c>
      <c r="U11" s="401" t="s">
        <v>1177</v>
      </c>
      <c r="V11" s="401" t="s">
        <v>1177</v>
      </c>
      <c r="W11" s="401" t="s">
        <v>1178</v>
      </c>
      <c r="X11" s="401" t="s">
        <v>1905</v>
      </c>
      <c r="Y11" s="401" t="s">
        <v>1178</v>
      </c>
      <c r="Z11" s="401" t="s">
        <v>1178</v>
      </c>
      <c r="AA11" s="401" t="s">
        <v>1178</v>
      </c>
      <c r="AC11" s="403"/>
    </row>
    <row r="12" spans="2:29">
      <c r="B12" s="7"/>
      <c r="C12" s="17"/>
      <c r="E12" s="7"/>
      <c r="G12" s="655"/>
      <c r="H12" s="656"/>
      <c r="I12" s="653" t="s">
        <v>1375</v>
      </c>
      <c r="J12" s="653" t="s">
        <v>1376</v>
      </c>
      <c r="K12" s="653" t="s">
        <v>1900</v>
      </c>
      <c r="L12" s="653" t="s">
        <v>1901</v>
      </c>
      <c r="M12" s="653" t="s">
        <v>1902</v>
      </c>
      <c r="N12" s="653" t="s">
        <v>1903</v>
      </c>
      <c r="O12" s="653" t="s">
        <v>1123</v>
      </c>
      <c r="P12" s="653" t="s">
        <v>1124</v>
      </c>
      <c r="Q12" s="653" t="s">
        <v>1125</v>
      </c>
      <c r="R12" s="653" t="s">
        <v>1126</v>
      </c>
      <c r="S12" s="653" t="s">
        <v>1127</v>
      </c>
      <c r="T12" s="653" t="s">
        <v>1128</v>
      </c>
      <c r="U12" s="653" t="s">
        <v>1129</v>
      </c>
      <c r="V12" s="653" t="s">
        <v>1130</v>
      </c>
      <c r="W12" s="653" t="s">
        <v>1900</v>
      </c>
      <c r="X12" s="653" t="s">
        <v>1906</v>
      </c>
      <c r="Y12" s="653" t="s">
        <v>1901</v>
      </c>
      <c r="Z12" s="653" t="s">
        <v>1902</v>
      </c>
      <c r="AA12" s="653" t="s">
        <v>1903</v>
      </c>
      <c r="AC12" s="654"/>
    </row>
    <row r="13" spans="2:29">
      <c r="B13" s="7"/>
      <c r="C13" s="17"/>
      <c r="E13" s="7"/>
      <c r="G13" s="655"/>
      <c r="H13" s="656"/>
      <c r="I13" s="401" t="s">
        <v>987</v>
      </c>
      <c r="J13" s="401" t="s">
        <v>987</v>
      </c>
      <c r="K13" s="401" t="s">
        <v>987</v>
      </c>
      <c r="L13" s="401" t="s">
        <v>987</v>
      </c>
      <c r="M13" s="401" t="s">
        <v>987</v>
      </c>
      <c r="N13" s="401" t="s">
        <v>987</v>
      </c>
      <c r="O13" s="401" t="s">
        <v>987</v>
      </c>
      <c r="P13" s="401" t="s">
        <v>987</v>
      </c>
      <c r="Q13" s="401" t="s">
        <v>987</v>
      </c>
      <c r="R13" s="401" t="s">
        <v>987</v>
      </c>
      <c r="S13" s="401" t="s">
        <v>987</v>
      </c>
      <c r="T13" s="401" t="s">
        <v>987</v>
      </c>
      <c r="U13" s="401" t="s">
        <v>987</v>
      </c>
      <c r="V13" s="401" t="s">
        <v>987</v>
      </c>
      <c r="W13" s="401" t="s">
        <v>987</v>
      </c>
      <c r="X13" s="401" t="s">
        <v>1907</v>
      </c>
      <c r="Y13" s="401" t="s">
        <v>987</v>
      </c>
      <c r="Z13" s="401" t="s">
        <v>987</v>
      </c>
      <c r="AA13" s="401" t="s">
        <v>987</v>
      </c>
      <c r="AC13" s="403"/>
    </row>
    <row r="14" spans="2:29">
      <c r="B14" s="7"/>
      <c r="C14" s="17"/>
      <c r="E14" s="7"/>
      <c r="G14" s="655"/>
      <c r="H14" s="656"/>
      <c r="I14" s="401" t="s">
        <v>1179</v>
      </c>
      <c r="J14" s="401" t="s">
        <v>1179</v>
      </c>
      <c r="K14" s="401" t="s">
        <v>1179</v>
      </c>
      <c r="L14" s="401" t="s">
        <v>1179</v>
      </c>
      <c r="M14" s="401" t="s">
        <v>1179</v>
      </c>
      <c r="N14" s="401" t="s">
        <v>1179</v>
      </c>
      <c r="O14" s="401" t="s">
        <v>1179</v>
      </c>
      <c r="P14" s="401" t="s">
        <v>1179</v>
      </c>
      <c r="Q14" s="401" t="s">
        <v>1179</v>
      </c>
      <c r="R14" s="401" t="s">
        <v>1179</v>
      </c>
      <c r="S14" s="401" t="s">
        <v>1179</v>
      </c>
      <c r="T14" s="401" t="s">
        <v>1179</v>
      </c>
      <c r="U14" s="401" t="s">
        <v>1179</v>
      </c>
      <c r="V14" s="401" t="s">
        <v>1179</v>
      </c>
      <c r="W14" s="401" t="s">
        <v>1179</v>
      </c>
      <c r="X14" s="401" t="s">
        <v>1908</v>
      </c>
      <c r="Y14" s="401" t="s">
        <v>1179</v>
      </c>
      <c r="Z14" s="401" t="s">
        <v>1179</v>
      </c>
      <c r="AA14" s="401" t="s">
        <v>1179</v>
      </c>
      <c r="AC14" s="403"/>
    </row>
    <row r="15" spans="2:29">
      <c r="B15" s="7"/>
      <c r="C15" s="17"/>
      <c r="E15" s="7"/>
      <c r="G15" s="655"/>
      <c r="H15" s="656"/>
      <c r="I15" s="401" t="s">
        <v>405</v>
      </c>
      <c r="J15" s="401" t="s">
        <v>405</v>
      </c>
      <c r="K15" s="401" t="s">
        <v>405</v>
      </c>
      <c r="L15" s="401" t="s">
        <v>405</v>
      </c>
      <c r="M15" s="401" t="s">
        <v>405</v>
      </c>
      <c r="N15" s="401" t="s">
        <v>405</v>
      </c>
      <c r="O15" s="401" t="s">
        <v>405</v>
      </c>
      <c r="P15" s="401" t="s">
        <v>405</v>
      </c>
      <c r="Q15" s="401" t="s">
        <v>405</v>
      </c>
      <c r="R15" s="401" t="s">
        <v>405</v>
      </c>
      <c r="S15" s="401" t="s">
        <v>405</v>
      </c>
      <c r="T15" s="401" t="s">
        <v>405</v>
      </c>
      <c r="U15" s="401" t="s">
        <v>405</v>
      </c>
      <c r="V15" s="401" t="s">
        <v>405</v>
      </c>
      <c r="W15" s="401" t="s">
        <v>405</v>
      </c>
      <c r="X15" s="401"/>
      <c r="Y15" s="401" t="s">
        <v>405</v>
      </c>
      <c r="Z15" s="401" t="s">
        <v>405</v>
      </c>
      <c r="AA15" s="401" t="s">
        <v>405</v>
      </c>
      <c r="AC15" s="403"/>
    </row>
    <row r="16" spans="2:29">
      <c r="B16" s="7"/>
      <c r="C16" s="17"/>
      <c r="E16" s="7"/>
      <c r="G16" s="657"/>
      <c r="H16" s="658"/>
      <c r="I16" s="409"/>
      <c r="J16" s="409"/>
      <c r="K16" s="409"/>
      <c r="L16" s="409"/>
      <c r="M16" s="409"/>
      <c r="N16" s="409"/>
      <c r="O16" s="409"/>
      <c r="P16" s="409"/>
      <c r="Q16" s="409"/>
      <c r="R16" s="409"/>
      <c r="S16" s="409"/>
      <c r="T16" s="409"/>
      <c r="U16" s="409"/>
      <c r="V16" s="409"/>
      <c r="W16" s="409"/>
      <c r="X16" s="409"/>
      <c r="Y16" s="409"/>
      <c r="Z16" s="409"/>
      <c r="AA16" s="409"/>
      <c r="AC16" s="409"/>
    </row>
    <row r="17" spans="1:29">
      <c r="A17" s="20" t="s">
        <v>886</v>
      </c>
      <c r="B17" s="17" t="s">
        <v>1180</v>
      </c>
      <c r="C17" s="17" t="s">
        <v>1181</v>
      </c>
      <c r="D17" s="17" t="s">
        <v>1182</v>
      </c>
      <c r="E17" s="17" t="s">
        <v>1183</v>
      </c>
      <c r="F17" s="7" t="s">
        <v>1184</v>
      </c>
      <c r="G17" s="655" t="s">
        <v>969</v>
      </c>
      <c r="H17" s="659" t="s">
        <v>1185</v>
      </c>
      <c r="I17" s="12"/>
      <c r="J17" s="12"/>
      <c r="K17" s="12"/>
      <c r="L17" s="12"/>
      <c r="M17" s="12"/>
      <c r="N17" s="12"/>
      <c r="O17" s="12"/>
      <c r="P17" s="12"/>
      <c r="Q17" s="12"/>
      <c r="R17" s="12"/>
      <c r="S17" s="12"/>
      <c r="T17" s="12"/>
      <c r="U17" s="12"/>
      <c r="V17" s="12"/>
      <c r="W17" s="12"/>
      <c r="X17" s="12"/>
      <c r="Y17" s="12"/>
      <c r="Z17" s="12"/>
      <c r="AA17" s="12"/>
      <c r="AB17" s="7"/>
      <c r="AC17" s="482" t="s">
        <v>881</v>
      </c>
    </row>
    <row r="18" spans="1:29">
      <c r="A18" s="20">
        <v>1</v>
      </c>
      <c r="B18" s="660"/>
      <c r="C18" s="660" t="s">
        <v>1186</v>
      </c>
      <c r="D18" s="661" t="s">
        <v>1187</v>
      </c>
      <c r="E18" s="662"/>
      <c r="F18" s="663"/>
      <c r="G18" s="660"/>
      <c r="H18" s="664"/>
      <c r="I18" s="665"/>
      <c r="J18" s="665"/>
      <c r="K18" s="665"/>
      <c r="L18" s="665"/>
      <c r="M18" s="665"/>
      <c r="N18" s="665"/>
      <c r="O18" s="665"/>
      <c r="P18" s="665"/>
      <c r="Q18" s="665"/>
      <c r="R18" s="665"/>
      <c r="S18" s="665"/>
      <c r="T18" s="665"/>
      <c r="U18" s="665"/>
      <c r="V18" s="665"/>
      <c r="W18" s="665"/>
      <c r="X18" s="665"/>
      <c r="Y18" s="665"/>
      <c r="Z18" s="665"/>
      <c r="AA18" s="665"/>
      <c r="AB18" s="13"/>
      <c r="AC18" s="666"/>
    </row>
    <row r="19" spans="1:29">
      <c r="A19" s="20">
        <v>2</v>
      </c>
      <c r="B19" s="401" t="s">
        <v>1188</v>
      </c>
      <c r="C19" s="401" t="s">
        <v>1186</v>
      </c>
      <c r="D19" s="83" t="s">
        <v>1189</v>
      </c>
      <c r="E19" s="551" t="s">
        <v>1190</v>
      </c>
      <c r="F19" s="83" t="s">
        <v>1191</v>
      </c>
      <c r="G19" s="401" t="s">
        <v>1192</v>
      </c>
      <c r="H19" s="667">
        <v>4.1300000000000003E-2</v>
      </c>
      <c r="I19" s="668"/>
      <c r="J19" s="668"/>
      <c r="K19" s="668"/>
      <c r="L19" s="668">
        <v>0</v>
      </c>
      <c r="M19" s="668">
        <v>0</v>
      </c>
      <c r="N19" s="668">
        <v>0</v>
      </c>
      <c r="O19" s="668">
        <v>0</v>
      </c>
      <c r="P19" s="668">
        <v>0</v>
      </c>
      <c r="Q19" s="668">
        <v>0</v>
      </c>
      <c r="R19" s="668">
        <v>-47.47</v>
      </c>
      <c r="S19" s="668">
        <v>0</v>
      </c>
      <c r="T19" s="668">
        <v>0</v>
      </c>
      <c r="U19" s="668">
        <v>0</v>
      </c>
      <c r="V19" s="668">
        <v>0</v>
      </c>
      <c r="W19" s="668">
        <v>0</v>
      </c>
      <c r="X19" s="668">
        <f>SUM(I19:W19)</f>
        <v>-47.47</v>
      </c>
      <c r="Y19" s="668">
        <v>0</v>
      </c>
      <c r="Z19" s="668">
        <v>0</v>
      </c>
      <c r="AA19" s="668">
        <v>0</v>
      </c>
      <c r="AB19" s="13"/>
      <c r="AC19" s="669">
        <f t="shared" ref="AC19:AC30" si="0">SUM(I19:AB19)-X19</f>
        <v>-47.47</v>
      </c>
    </row>
    <row r="20" spans="1:29">
      <c r="A20" s="20">
        <v>3</v>
      </c>
      <c r="B20" s="401" t="s">
        <v>1193</v>
      </c>
      <c r="C20" s="401" t="s">
        <v>1186</v>
      </c>
      <c r="D20" s="83" t="s">
        <v>1194</v>
      </c>
      <c r="E20" s="551" t="s">
        <v>1195</v>
      </c>
      <c r="F20" s="83" t="s">
        <v>1191</v>
      </c>
      <c r="G20" s="401" t="s">
        <v>1196</v>
      </c>
      <c r="H20" s="667">
        <v>3.3300000000000003E-2</v>
      </c>
      <c r="I20" s="668"/>
      <c r="J20" s="668"/>
      <c r="K20" s="668"/>
      <c r="L20" s="668">
        <v>0</v>
      </c>
      <c r="M20" s="668">
        <v>0</v>
      </c>
      <c r="N20" s="668">
        <v>0</v>
      </c>
      <c r="O20" s="668">
        <v>0</v>
      </c>
      <c r="P20" s="668">
        <v>0</v>
      </c>
      <c r="Q20" s="668">
        <v>0</v>
      </c>
      <c r="R20" s="668">
        <v>0</v>
      </c>
      <c r="S20" s="668">
        <v>0</v>
      </c>
      <c r="T20" s="668">
        <v>0</v>
      </c>
      <c r="U20" s="668">
        <v>0</v>
      </c>
      <c r="V20" s="668">
        <v>0</v>
      </c>
      <c r="W20" s="668">
        <v>0</v>
      </c>
      <c r="X20" s="668">
        <f t="shared" ref="X20:X71" si="1">SUM(I20:W20)</f>
        <v>0</v>
      </c>
      <c r="Y20" s="668">
        <v>0</v>
      </c>
      <c r="Z20" s="668">
        <v>0</v>
      </c>
      <c r="AA20" s="668">
        <v>0</v>
      </c>
      <c r="AB20" s="13"/>
      <c r="AC20" s="669">
        <f t="shared" si="0"/>
        <v>0</v>
      </c>
    </row>
    <row r="21" spans="1:29">
      <c r="A21" s="20">
        <v>4</v>
      </c>
      <c r="B21" s="401" t="s">
        <v>1197</v>
      </c>
      <c r="C21" s="401" t="s">
        <v>1186</v>
      </c>
      <c r="D21" s="83" t="s">
        <v>1194</v>
      </c>
      <c r="E21" s="551" t="s">
        <v>1198</v>
      </c>
      <c r="F21" s="83" t="s">
        <v>1191</v>
      </c>
      <c r="G21" s="401" t="s">
        <v>1196</v>
      </c>
      <c r="H21" s="667">
        <v>3.3300000000000003E-2</v>
      </c>
      <c r="I21" s="668"/>
      <c r="J21" s="668"/>
      <c r="K21" s="668"/>
      <c r="L21" s="668">
        <v>0</v>
      </c>
      <c r="M21" s="668">
        <v>0</v>
      </c>
      <c r="N21" s="668">
        <v>0</v>
      </c>
      <c r="O21" s="668">
        <v>0</v>
      </c>
      <c r="P21" s="668">
        <v>0</v>
      </c>
      <c r="Q21" s="668">
        <v>0</v>
      </c>
      <c r="R21" s="668">
        <v>0</v>
      </c>
      <c r="S21" s="668">
        <v>0</v>
      </c>
      <c r="T21" s="668">
        <v>0</v>
      </c>
      <c r="U21" s="668">
        <v>0</v>
      </c>
      <c r="V21" s="668">
        <v>0</v>
      </c>
      <c r="W21" s="668">
        <v>0</v>
      </c>
      <c r="X21" s="668">
        <f t="shared" si="1"/>
        <v>0</v>
      </c>
      <c r="Y21" s="668">
        <v>0</v>
      </c>
      <c r="Z21" s="668">
        <v>0</v>
      </c>
      <c r="AA21" s="668">
        <v>0</v>
      </c>
      <c r="AB21" s="13"/>
      <c r="AC21" s="669">
        <f t="shared" si="0"/>
        <v>0</v>
      </c>
    </row>
    <row r="22" spans="1:29">
      <c r="A22" s="20">
        <v>5</v>
      </c>
      <c r="B22" s="401" t="s">
        <v>1199</v>
      </c>
      <c r="C22" s="401" t="s">
        <v>1186</v>
      </c>
      <c r="D22" s="83" t="s">
        <v>1200</v>
      </c>
      <c r="E22" s="551" t="s">
        <v>1201</v>
      </c>
      <c r="F22" s="83" t="s">
        <v>1191</v>
      </c>
      <c r="G22" s="401" t="s">
        <v>1196</v>
      </c>
      <c r="H22" s="667">
        <v>3.3300000000000003E-2</v>
      </c>
      <c r="I22" s="668"/>
      <c r="J22" s="668"/>
      <c r="K22" s="668"/>
      <c r="L22" s="668">
        <v>0</v>
      </c>
      <c r="M22" s="668">
        <v>0</v>
      </c>
      <c r="N22" s="668">
        <v>0</v>
      </c>
      <c r="O22" s="668">
        <v>0</v>
      </c>
      <c r="P22" s="668">
        <v>0</v>
      </c>
      <c r="Q22" s="668">
        <v>0</v>
      </c>
      <c r="R22" s="668">
        <v>47.47</v>
      </c>
      <c r="S22" s="668">
        <v>0</v>
      </c>
      <c r="T22" s="668">
        <v>0</v>
      </c>
      <c r="U22" s="668">
        <v>0</v>
      </c>
      <c r="V22" s="668">
        <v>0</v>
      </c>
      <c r="W22" s="668">
        <v>0</v>
      </c>
      <c r="X22" s="668">
        <f t="shared" si="1"/>
        <v>47.47</v>
      </c>
      <c r="Y22" s="668">
        <v>0</v>
      </c>
      <c r="Z22" s="668">
        <v>0</v>
      </c>
      <c r="AA22" s="668">
        <v>0</v>
      </c>
      <c r="AB22" s="13"/>
      <c r="AC22" s="669">
        <f t="shared" si="0"/>
        <v>47.47</v>
      </c>
    </row>
    <row r="23" spans="1:29">
      <c r="A23" s="20">
        <v>6</v>
      </c>
      <c r="B23" s="401" t="s">
        <v>1202</v>
      </c>
      <c r="C23" s="401" t="s">
        <v>1186</v>
      </c>
      <c r="D23" s="83" t="s">
        <v>1203</v>
      </c>
      <c r="E23" s="551" t="s">
        <v>1204</v>
      </c>
      <c r="F23" s="83" t="s">
        <v>1191</v>
      </c>
      <c r="G23" s="401" t="s">
        <v>1196</v>
      </c>
      <c r="H23" s="667">
        <v>1.2500000000000001E-2</v>
      </c>
      <c r="I23" s="668"/>
      <c r="J23" s="668"/>
      <c r="K23" s="668"/>
      <c r="L23" s="668">
        <v>496358.98</v>
      </c>
      <c r="M23" s="668">
        <v>107295.45</v>
      </c>
      <c r="N23" s="668">
        <v>0</v>
      </c>
      <c r="O23" s="668">
        <v>784.15</v>
      </c>
      <c r="P23" s="668">
        <v>692.25</v>
      </c>
      <c r="Q23" s="668">
        <v>0</v>
      </c>
      <c r="R23" s="668">
        <v>3780.9</v>
      </c>
      <c r="S23" s="668">
        <v>6007.19</v>
      </c>
      <c r="T23" s="668">
        <v>0</v>
      </c>
      <c r="U23" s="668">
        <v>321.2</v>
      </c>
      <c r="V23" s="668">
        <v>0</v>
      </c>
      <c r="W23" s="668">
        <v>0</v>
      </c>
      <c r="X23" s="668">
        <f t="shared" si="1"/>
        <v>615240.11999999988</v>
      </c>
      <c r="Y23" s="668">
        <v>0</v>
      </c>
      <c r="Z23" s="668">
        <v>0</v>
      </c>
      <c r="AA23" s="668">
        <v>0</v>
      </c>
      <c r="AB23" s="13"/>
      <c r="AC23" s="669">
        <f t="shared" si="0"/>
        <v>615240.11999999988</v>
      </c>
    </row>
    <row r="24" spans="1:29">
      <c r="A24" s="20">
        <v>7</v>
      </c>
      <c r="B24" s="401" t="s">
        <v>1205</v>
      </c>
      <c r="C24" s="401" t="s">
        <v>1186</v>
      </c>
      <c r="D24" s="83" t="s">
        <v>1206</v>
      </c>
      <c r="E24" s="551" t="s">
        <v>1207</v>
      </c>
      <c r="F24" s="83" t="s">
        <v>1191</v>
      </c>
      <c r="G24" s="401" t="s">
        <v>1192</v>
      </c>
      <c r="H24" s="667">
        <v>4.1300000000000003E-2</v>
      </c>
      <c r="I24" s="668"/>
      <c r="J24" s="668"/>
      <c r="K24" s="668"/>
      <c r="L24" s="668">
        <v>19344.52</v>
      </c>
      <c r="M24" s="668">
        <v>17842.55</v>
      </c>
      <c r="N24" s="668">
        <v>919.46</v>
      </c>
      <c r="O24" s="668">
        <v>111681.13</v>
      </c>
      <c r="P24" s="668">
        <v>17571.3</v>
      </c>
      <c r="Q24" s="668">
        <v>3957.35</v>
      </c>
      <c r="R24" s="668">
        <v>3756.31</v>
      </c>
      <c r="S24" s="668">
        <v>75505.39</v>
      </c>
      <c r="T24" s="668">
        <v>0</v>
      </c>
      <c r="U24" s="668">
        <v>0</v>
      </c>
      <c r="V24" s="668">
        <v>0</v>
      </c>
      <c r="W24" s="668">
        <v>0</v>
      </c>
      <c r="X24" s="668">
        <f t="shared" si="1"/>
        <v>250578.01</v>
      </c>
      <c r="Y24" s="668">
        <v>0</v>
      </c>
      <c r="Z24" s="668">
        <v>0</v>
      </c>
      <c r="AA24" s="668">
        <v>0</v>
      </c>
      <c r="AB24" s="13"/>
      <c r="AC24" s="669">
        <f t="shared" si="0"/>
        <v>250578.01</v>
      </c>
    </row>
    <row r="25" spans="1:29">
      <c r="A25" s="20">
        <v>8</v>
      </c>
      <c r="B25" s="401" t="s">
        <v>1208</v>
      </c>
      <c r="C25" s="401" t="s">
        <v>1186</v>
      </c>
      <c r="D25" s="83" t="s">
        <v>1209</v>
      </c>
      <c r="E25" s="551" t="s">
        <v>1210</v>
      </c>
      <c r="F25" s="83" t="s">
        <v>1191</v>
      </c>
      <c r="G25" s="401" t="s">
        <v>1192</v>
      </c>
      <c r="H25" s="667">
        <v>4.1300000000000003E-2</v>
      </c>
      <c r="I25" s="668"/>
      <c r="J25" s="668"/>
      <c r="K25" s="668"/>
      <c r="L25" s="668">
        <v>137632.98000000001</v>
      </c>
      <c r="M25" s="668">
        <v>0</v>
      </c>
      <c r="N25" s="668">
        <v>2091.09</v>
      </c>
      <c r="O25" s="668">
        <v>572.14</v>
      </c>
      <c r="P25" s="668">
        <v>2191.7800000000002</v>
      </c>
      <c r="Q25" s="668">
        <v>1446.56</v>
      </c>
      <c r="R25" s="668">
        <v>856.26</v>
      </c>
      <c r="S25" s="668">
        <v>10426.48</v>
      </c>
      <c r="T25" s="668">
        <v>0</v>
      </c>
      <c r="U25" s="668">
        <v>0</v>
      </c>
      <c r="V25" s="668">
        <v>0</v>
      </c>
      <c r="W25" s="668">
        <v>0</v>
      </c>
      <c r="X25" s="668">
        <f t="shared" si="1"/>
        <v>155217.29000000004</v>
      </c>
      <c r="Y25" s="668">
        <v>0</v>
      </c>
      <c r="Z25" s="668">
        <v>0</v>
      </c>
      <c r="AA25" s="668">
        <v>0</v>
      </c>
      <c r="AB25" s="13"/>
      <c r="AC25" s="669">
        <f t="shared" si="0"/>
        <v>155217.29000000004</v>
      </c>
    </row>
    <row r="26" spans="1:29">
      <c r="A26" s="20">
        <v>9</v>
      </c>
      <c r="B26" s="401" t="s">
        <v>1211</v>
      </c>
      <c r="C26" s="401" t="s">
        <v>1186</v>
      </c>
      <c r="D26" s="83" t="s">
        <v>1212</v>
      </c>
      <c r="E26" s="551" t="s">
        <v>1213</v>
      </c>
      <c r="F26" s="83" t="s">
        <v>1191</v>
      </c>
      <c r="G26" s="401" t="s">
        <v>1192</v>
      </c>
      <c r="H26" s="667">
        <v>4.1300000000000003E-2</v>
      </c>
      <c r="I26" s="668"/>
      <c r="J26" s="668"/>
      <c r="K26" s="668"/>
      <c r="L26" s="668">
        <v>87559.86</v>
      </c>
      <c r="M26" s="668">
        <v>100089.63</v>
      </c>
      <c r="N26" s="668">
        <v>63297.49</v>
      </c>
      <c r="O26" s="668">
        <v>29531.54</v>
      </c>
      <c r="P26" s="668">
        <v>14359.95</v>
      </c>
      <c r="Q26" s="668">
        <v>735.72</v>
      </c>
      <c r="R26" s="668">
        <v>1071.99</v>
      </c>
      <c r="S26" s="668">
        <v>54404.55</v>
      </c>
      <c r="T26" s="668">
        <v>0</v>
      </c>
      <c r="U26" s="668">
        <v>0</v>
      </c>
      <c r="V26" s="668">
        <v>0</v>
      </c>
      <c r="W26" s="668">
        <v>0</v>
      </c>
      <c r="X26" s="668">
        <f t="shared" si="1"/>
        <v>351050.72999999992</v>
      </c>
      <c r="Y26" s="668">
        <v>0</v>
      </c>
      <c r="Z26" s="668">
        <v>0</v>
      </c>
      <c r="AA26" s="668">
        <v>0</v>
      </c>
      <c r="AB26" s="13"/>
      <c r="AC26" s="669">
        <f t="shared" si="0"/>
        <v>351050.72999999992</v>
      </c>
    </row>
    <row r="27" spans="1:29">
      <c r="A27" s="20">
        <v>10</v>
      </c>
      <c r="B27" s="401" t="s">
        <v>1214</v>
      </c>
      <c r="C27" s="401" t="s">
        <v>1186</v>
      </c>
      <c r="D27" s="83" t="s">
        <v>1215</v>
      </c>
      <c r="E27" s="551" t="s">
        <v>1216</v>
      </c>
      <c r="F27" s="83" t="s">
        <v>1191</v>
      </c>
      <c r="G27" s="401" t="s">
        <v>1192</v>
      </c>
      <c r="H27" s="667">
        <v>4.1300000000000003E-2</v>
      </c>
      <c r="I27" s="668"/>
      <c r="J27" s="668"/>
      <c r="K27" s="668"/>
      <c r="L27" s="668">
        <v>37813.14</v>
      </c>
      <c r="M27" s="668">
        <v>22981.22</v>
      </c>
      <c r="N27" s="668">
        <v>366999.34</v>
      </c>
      <c r="O27" s="668">
        <v>2520.9499999999998</v>
      </c>
      <c r="P27" s="668">
        <v>22261.99</v>
      </c>
      <c r="Q27" s="668">
        <v>9451.68</v>
      </c>
      <c r="R27" s="668">
        <v>10116.379999999999</v>
      </c>
      <c r="S27" s="668">
        <v>81627.14</v>
      </c>
      <c r="T27" s="668">
        <v>0</v>
      </c>
      <c r="U27" s="668">
        <v>0</v>
      </c>
      <c r="V27" s="668">
        <v>0</v>
      </c>
      <c r="W27" s="668">
        <v>0</v>
      </c>
      <c r="X27" s="668">
        <f t="shared" si="1"/>
        <v>553771.84</v>
      </c>
      <c r="Y27" s="668">
        <v>0</v>
      </c>
      <c r="Z27" s="668">
        <v>0</v>
      </c>
      <c r="AA27" s="668">
        <v>0</v>
      </c>
      <c r="AB27" s="13"/>
      <c r="AC27" s="669">
        <f t="shared" si="0"/>
        <v>553771.84</v>
      </c>
    </row>
    <row r="28" spans="1:29">
      <c r="A28" s="20">
        <v>11</v>
      </c>
      <c r="B28" s="401" t="s">
        <v>1217</v>
      </c>
      <c r="C28" s="401" t="s">
        <v>1186</v>
      </c>
      <c r="D28" s="83" t="s">
        <v>1218</v>
      </c>
      <c r="E28" s="551" t="s">
        <v>1219</v>
      </c>
      <c r="F28" s="83" t="s">
        <v>1191</v>
      </c>
      <c r="G28" s="401" t="s">
        <v>1192</v>
      </c>
      <c r="H28" s="667">
        <v>4.1300000000000003E-2</v>
      </c>
      <c r="I28" s="668"/>
      <c r="J28" s="668"/>
      <c r="K28" s="668"/>
      <c r="L28" s="668">
        <v>56461.45</v>
      </c>
      <c r="M28" s="668">
        <v>8360.2000000000007</v>
      </c>
      <c r="N28" s="668">
        <v>8252.6200000000008</v>
      </c>
      <c r="O28" s="668">
        <v>0</v>
      </c>
      <c r="P28" s="668">
        <v>0</v>
      </c>
      <c r="Q28" s="668">
        <v>0</v>
      </c>
      <c r="R28" s="668">
        <v>0</v>
      </c>
      <c r="S28" s="668">
        <v>37231.06</v>
      </c>
      <c r="T28" s="668">
        <v>0</v>
      </c>
      <c r="U28" s="668">
        <v>0</v>
      </c>
      <c r="V28" s="668">
        <v>0</v>
      </c>
      <c r="W28" s="668">
        <v>0</v>
      </c>
      <c r="X28" s="668">
        <f t="shared" si="1"/>
        <v>110305.32999999999</v>
      </c>
      <c r="Y28" s="668">
        <v>0</v>
      </c>
      <c r="Z28" s="668">
        <v>0</v>
      </c>
      <c r="AA28" s="668">
        <v>0</v>
      </c>
      <c r="AB28" s="13"/>
      <c r="AC28" s="669">
        <f t="shared" si="0"/>
        <v>110305.32999999999</v>
      </c>
    </row>
    <row r="29" spans="1:29">
      <c r="A29" s="20">
        <v>12</v>
      </c>
      <c r="B29" s="670" t="s">
        <v>1220</v>
      </c>
      <c r="C29" s="671" t="s">
        <v>1186</v>
      </c>
      <c r="D29" s="672" t="s">
        <v>1221</v>
      </c>
      <c r="E29" s="673" t="s">
        <v>1222</v>
      </c>
      <c r="F29" s="672" t="s">
        <v>1191</v>
      </c>
      <c r="G29" s="671" t="s">
        <v>1192</v>
      </c>
      <c r="H29" s="667">
        <v>4.1300000000000003E-2</v>
      </c>
      <c r="I29" s="668"/>
      <c r="J29" s="668"/>
      <c r="K29" s="668"/>
      <c r="L29" s="668">
        <v>0</v>
      </c>
      <c r="M29" s="668">
        <v>0</v>
      </c>
      <c r="N29" s="668">
        <v>0</v>
      </c>
      <c r="O29" s="668">
        <v>0</v>
      </c>
      <c r="P29" s="668">
        <v>0</v>
      </c>
      <c r="Q29" s="668">
        <v>0</v>
      </c>
      <c r="R29" s="668">
        <v>0</v>
      </c>
      <c r="S29" s="668">
        <v>143.84</v>
      </c>
      <c r="T29" s="668">
        <v>1678.71</v>
      </c>
      <c r="U29" s="668">
        <v>45350.63</v>
      </c>
      <c r="V29" s="668">
        <v>17059.03</v>
      </c>
      <c r="W29" s="668">
        <v>10396.68</v>
      </c>
      <c r="X29" s="668">
        <f t="shared" si="1"/>
        <v>74628.89</v>
      </c>
      <c r="Y29" s="668">
        <v>491494.78</v>
      </c>
      <c r="Z29" s="668">
        <v>378425.64</v>
      </c>
      <c r="AA29" s="668">
        <v>1349738.71</v>
      </c>
      <c r="AB29" s="13"/>
      <c r="AC29" s="669">
        <f t="shared" si="0"/>
        <v>2294288.02</v>
      </c>
    </row>
    <row r="30" spans="1:29">
      <c r="A30" s="20">
        <v>13</v>
      </c>
      <c r="B30" s="660" t="s">
        <v>1223</v>
      </c>
      <c r="C30" s="660" t="s">
        <v>1224</v>
      </c>
      <c r="D30" s="663" t="s">
        <v>1225</v>
      </c>
      <c r="E30" s="674" t="s">
        <v>1222</v>
      </c>
      <c r="F30" s="663" t="s">
        <v>1191</v>
      </c>
      <c r="G30" s="660" t="s">
        <v>1226</v>
      </c>
      <c r="H30" s="664">
        <v>1.2500000000000001E-2</v>
      </c>
      <c r="I30" s="665">
        <v>0</v>
      </c>
      <c r="J30" s="665">
        <v>0</v>
      </c>
      <c r="K30" s="665">
        <v>0</v>
      </c>
      <c r="L30" s="665">
        <v>0</v>
      </c>
      <c r="M30" s="665">
        <v>0</v>
      </c>
      <c r="N30" s="665">
        <v>0</v>
      </c>
      <c r="O30" s="665">
        <v>0</v>
      </c>
      <c r="P30" s="665">
        <v>0</v>
      </c>
      <c r="Q30" s="665">
        <v>0</v>
      </c>
      <c r="R30" s="665">
        <v>34057.68</v>
      </c>
      <c r="S30" s="665">
        <v>16919.71</v>
      </c>
      <c r="T30" s="665">
        <v>57710.06</v>
      </c>
      <c r="U30" s="665">
        <v>16298.62</v>
      </c>
      <c r="V30" s="665">
        <v>159971.60999999999</v>
      </c>
      <c r="W30" s="665">
        <v>2178.64</v>
      </c>
      <c r="X30" s="668">
        <f t="shared" si="1"/>
        <v>287136.32</v>
      </c>
      <c r="Y30" s="665">
        <v>140721.99</v>
      </c>
      <c r="Z30" s="665">
        <v>2111.88</v>
      </c>
      <c r="AA30" s="665">
        <v>53927.27</v>
      </c>
      <c r="AB30" s="13"/>
      <c r="AC30" s="675">
        <f t="shared" si="0"/>
        <v>483897.46</v>
      </c>
    </row>
    <row r="31" spans="1:29">
      <c r="A31" s="20">
        <v>14</v>
      </c>
      <c r="B31" s="660"/>
      <c r="C31" s="660" t="s">
        <v>1227</v>
      </c>
      <c r="D31" s="661" t="s">
        <v>1228</v>
      </c>
      <c r="E31" s="662"/>
      <c r="F31" s="663"/>
      <c r="G31" s="660"/>
      <c r="H31" s="664"/>
      <c r="I31" s="665">
        <v>0</v>
      </c>
      <c r="J31" s="665">
        <v>0</v>
      </c>
      <c r="K31" s="665">
        <v>0</v>
      </c>
      <c r="L31" s="665">
        <v>0</v>
      </c>
      <c r="M31" s="665">
        <v>0</v>
      </c>
      <c r="N31" s="665">
        <v>0</v>
      </c>
      <c r="O31" s="665">
        <v>0</v>
      </c>
      <c r="P31" s="665">
        <v>0</v>
      </c>
      <c r="Q31" s="665">
        <v>0</v>
      </c>
      <c r="R31" s="665">
        <v>0</v>
      </c>
      <c r="S31" s="665">
        <v>0</v>
      </c>
      <c r="T31" s="665">
        <v>0</v>
      </c>
      <c r="U31" s="665">
        <v>0</v>
      </c>
      <c r="V31" s="665">
        <v>0</v>
      </c>
      <c r="W31" s="665">
        <v>0</v>
      </c>
      <c r="X31" s="668">
        <f t="shared" si="1"/>
        <v>0</v>
      </c>
      <c r="Y31" s="665">
        <v>0</v>
      </c>
      <c r="Z31" s="665">
        <v>0</v>
      </c>
      <c r="AA31" s="665">
        <v>0</v>
      </c>
      <c r="AB31" s="13"/>
      <c r="AC31" s="669"/>
    </row>
    <row r="32" spans="1:29">
      <c r="A32" s="20">
        <v>15</v>
      </c>
      <c r="B32" s="401" t="s">
        <v>1229</v>
      </c>
      <c r="C32" s="401" t="s">
        <v>1227</v>
      </c>
      <c r="D32" s="83" t="s">
        <v>1230</v>
      </c>
      <c r="E32" s="551" t="s">
        <v>1222</v>
      </c>
      <c r="F32" s="83" t="s">
        <v>1231</v>
      </c>
      <c r="G32" s="401" t="s">
        <v>1232</v>
      </c>
      <c r="H32" s="667">
        <v>1.9199999999999998E-2</v>
      </c>
      <c r="I32" s="668">
        <v>0</v>
      </c>
      <c r="J32" s="668">
        <v>0</v>
      </c>
      <c r="K32" s="668">
        <v>577.02</v>
      </c>
      <c r="L32" s="668">
        <v>3.24</v>
      </c>
      <c r="M32" s="668">
        <v>2952.26</v>
      </c>
      <c r="N32" s="668">
        <v>918.6</v>
      </c>
      <c r="O32" s="668">
        <v>13201.96</v>
      </c>
      <c r="P32" s="668">
        <v>9068.6299999999992</v>
      </c>
      <c r="Q32" s="668">
        <v>137.9</v>
      </c>
      <c r="R32" s="668">
        <v>84.77</v>
      </c>
      <c r="S32" s="668">
        <v>192.36</v>
      </c>
      <c r="T32" s="668">
        <v>130.05000000000001</v>
      </c>
      <c r="U32" s="668">
        <v>123.06</v>
      </c>
      <c r="V32" s="668">
        <v>144.04</v>
      </c>
      <c r="W32" s="668">
        <v>210.51</v>
      </c>
      <c r="X32" s="668">
        <f t="shared" si="1"/>
        <v>27744.400000000001</v>
      </c>
      <c r="Y32" s="668">
        <v>151.09</v>
      </c>
      <c r="Z32" s="668">
        <v>-62.45</v>
      </c>
      <c r="AA32" s="668">
        <v>136.83000000000001</v>
      </c>
      <c r="AB32" s="83"/>
      <c r="AC32" s="669">
        <f t="shared" ref="AC32:AC39" si="2">SUM(I32:AB32)-X32</f>
        <v>27969.870000000003</v>
      </c>
    </row>
    <row r="33" spans="1:29">
      <c r="A33" s="20">
        <v>16</v>
      </c>
      <c r="B33" s="401" t="s">
        <v>1233</v>
      </c>
      <c r="C33" s="401" t="s">
        <v>1227</v>
      </c>
      <c r="D33" s="676" t="s">
        <v>1234</v>
      </c>
      <c r="E33" s="401" t="s">
        <v>1222</v>
      </c>
      <c r="F33" s="676" t="s">
        <v>1231</v>
      </c>
      <c r="G33" s="401" t="s">
        <v>1235</v>
      </c>
      <c r="H33" s="667">
        <v>1.8200000000000001E-2</v>
      </c>
      <c r="I33" s="668">
        <v>0</v>
      </c>
      <c r="J33" s="668">
        <v>0</v>
      </c>
      <c r="K33" s="668">
        <v>0</v>
      </c>
      <c r="L33" s="668">
        <v>0</v>
      </c>
      <c r="M33" s="668">
        <v>0</v>
      </c>
      <c r="N33" s="668">
        <v>1056.42</v>
      </c>
      <c r="O33" s="668">
        <v>-1235.98</v>
      </c>
      <c r="P33" s="668">
        <v>0</v>
      </c>
      <c r="Q33" s="668">
        <v>0</v>
      </c>
      <c r="R33" s="668">
        <v>0</v>
      </c>
      <c r="S33" s="668">
        <v>0</v>
      </c>
      <c r="T33" s="668">
        <v>0</v>
      </c>
      <c r="U33" s="668">
        <v>0</v>
      </c>
      <c r="V33" s="668">
        <v>0</v>
      </c>
      <c r="W33" s="668">
        <v>0</v>
      </c>
      <c r="X33" s="668">
        <f t="shared" si="1"/>
        <v>-179.55999999999995</v>
      </c>
      <c r="Y33" s="668">
        <v>0</v>
      </c>
      <c r="Z33" s="668">
        <v>0</v>
      </c>
      <c r="AA33" s="668">
        <v>0</v>
      </c>
      <c r="AB33" s="13"/>
      <c r="AC33" s="669">
        <f t="shared" si="2"/>
        <v>-179.55999999999995</v>
      </c>
    </row>
    <row r="34" spans="1:29">
      <c r="A34" s="20">
        <v>17</v>
      </c>
      <c r="B34" s="401" t="s">
        <v>1236</v>
      </c>
      <c r="C34" s="401" t="s">
        <v>1227</v>
      </c>
      <c r="D34" s="676" t="s">
        <v>1237</v>
      </c>
      <c r="E34" s="401" t="s">
        <v>1238</v>
      </c>
      <c r="F34" s="676" t="s">
        <v>1231</v>
      </c>
      <c r="G34" s="401" t="s">
        <v>1235</v>
      </c>
      <c r="H34" s="667">
        <v>1.8200000000000001E-2</v>
      </c>
      <c r="I34" s="668">
        <v>0</v>
      </c>
      <c r="J34" s="668">
        <v>0</v>
      </c>
      <c r="K34" s="668">
        <v>0</v>
      </c>
      <c r="L34" s="668">
        <v>0</v>
      </c>
      <c r="M34" s="668">
        <v>2283.4</v>
      </c>
      <c r="N34" s="668">
        <v>102941.2</v>
      </c>
      <c r="O34" s="668">
        <v>28654.240000000002</v>
      </c>
      <c r="P34" s="668">
        <v>40385.589999999997</v>
      </c>
      <c r="Q34" s="668">
        <v>140584.06</v>
      </c>
      <c r="R34" s="668">
        <v>14479.45</v>
      </c>
      <c r="S34" s="668">
        <v>14623.13</v>
      </c>
      <c r="T34" s="668">
        <v>0</v>
      </c>
      <c r="U34" s="668">
        <v>0</v>
      </c>
      <c r="V34" s="668">
        <v>0</v>
      </c>
      <c r="W34" s="668">
        <v>0</v>
      </c>
      <c r="X34" s="668">
        <f t="shared" si="1"/>
        <v>343951.07</v>
      </c>
      <c r="Y34" s="668">
        <v>0</v>
      </c>
      <c r="Z34" s="668">
        <v>0</v>
      </c>
      <c r="AA34" s="668">
        <v>0</v>
      </c>
      <c r="AB34" s="13"/>
      <c r="AC34" s="669">
        <f t="shared" si="2"/>
        <v>343951.07</v>
      </c>
    </row>
    <row r="35" spans="1:29">
      <c r="A35" s="20">
        <v>18</v>
      </c>
      <c r="B35" s="671" t="s">
        <v>1239</v>
      </c>
      <c r="C35" s="401" t="s">
        <v>1227</v>
      </c>
      <c r="D35" s="672" t="s">
        <v>1240</v>
      </c>
      <c r="E35" s="551" t="s">
        <v>1241</v>
      </c>
      <c r="F35" s="676" t="s">
        <v>1231</v>
      </c>
      <c r="G35" s="671" t="s">
        <v>1226</v>
      </c>
      <c r="H35" s="677">
        <v>1.2500000000000001E-2</v>
      </c>
      <c r="I35" s="678">
        <v>0</v>
      </c>
      <c r="J35" s="678">
        <v>0</v>
      </c>
      <c r="K35" s="678">
        <v>0</v>
      </c>
      <c r="L35" s="678">
        <v>0</v>
      </c>
      <c r="M35" s="678">
        <v>0</v>
      </c>
      <c r="N35" s="678">
        <v>19581.27</v>
      </c>
      <c r="O35" s="678">
        <v>15841.61</v>
      </c>
      <c r="P35" s="678">
        <v>7001.95</v>
      </c>
      <c r="Q35" s="678">
        <v>0</v>
      </c>
      <c r="R35" s="678">
        <v>0</v>
      </c>
      <c r="S35" s="678">
        <v>921.69</v>
      </c>
      <c r="T35" s="678">
        <v>0</v>
      </c>
      <c r="U35" s="678">
        <v>0</v>
      </c>
      <c r="V35" s="678">
        <v>0</v>
      </c>
      <c r="W35" s="678">
        <v>0</v>
      </c>
      <c r="X35" s="668">
        <f t="shared" si="1"/>
        <v>43346.520000000004</v>
      </c>
      <c r="Y35" s="678">
        <v>0</v>
      </c>
      <c r="Z35" s="678">
        <v>0</v>
      </c>
      <c r="AA35" s="678">
        <v>0</v>
      </c>
      <c r="AB35" s="13"/>
      <c r="AC35" s="669">
        <f t="shared" si="2"/>
        <v>43346.520000000004</v>
      </c>
    </row>
    <row r="36" spans="1:29">
      <c r="A36" s="20">
        <v>19</v>
      </c>
      <c r="B36" s="679" t="s">
        <v>1242</v>
      </c>
      <c r="C36" s="679" t="s">
        <v>1243</v>
      </c>
      <c r="D36" s="680" t="s">
        <v>1244</v>
      </c>
      <c r="E36" s="681" t="s">
        <v>1245</v>
      </c>
      <c r="F36" s="680" t="s">
        <v>1246</v>
      </c>
      <c r="G36" s="682" t="s">
        <v>1226</v>
      </c>
      <c r="H36" s="683">
        <v>1.2500000000000001E-2</v>
      </c>
      <c r="I36" s="684">
        <v>936.32</v>
      </c>
      <c r="J36" s="684">
        <v>269.57</v>
      </c>
      <c r="K36" s="684">
        <v>16480.060000000001</v>
      </c>
      <c r="L36" s="684">
        <v>11692.24</v>
      </c>
      <c r="M36" s="684">
        <v>753238.6</v>
      </c>
      <c r="N36" s="684">
        <v>475027.76</v>
      </c>
      <c r="O36" s="684">
        <v>2852.36</v>
      </c>
      <c r="P36" s="684">
        <v>20.93</v>
      </c>
      <c r="Q36" s="684">
        <v>0</v>
      </c>
      <c r="R36" s="684">
        <v>0</v>
      </c>
      <c r="S36" s="684">
        <v>0</v>
      </c>
      <c r="T36" s="684">
        <v>-417.25</v>
      </c>
      <c r="U36" s="684">
        <v>0</v>
      </c>
      <c r="V36" s="684">
        <v>0</v>
      </c>
      <c r="W36" s="684">
        <v>0</v>
      </c>
      <c r="X36" s="668">
        <f t="shared" si="1"/>
        <v>1260100.5900000001</v>
      </c>
      <c r="Y36" s="684">
        <v>0</v>
      </c>
      <c r="Z36" s="684">
        <v>0</v>
      </c>
      <c r="AA36" s="684">
        <v>0</v>
      </c>
      <c r="AB36" s="13"/>
      <c r="AC36" s="675">
        <f t="shared" si="2"/>
        <v>1260100.5900000001</v>
      </c>
    </row>
    <row r="37" spans="1:29">
      <c r="A37" s="20">
        <v>20</v>
      </c>
      <c r="B37" s="685" t="s">
        <v>1247</v>
      </c>
      <c r="C37" s="685" t="s">
        <v>1248</v>
      </c>
      <c r="D37" s="663" t="s">
        <v>1249</v>
      </c>
      <c r="E37" s="674" t="s">
        <v>1250</v>
      </c>
      <c r="F37" s="663" t="s">
        <v>1251</v>
      </c>
      <c r="G37" s="660" t="s">
        <v>1226</v>
      </c>
      <c r="H37" s="686">
        <v>1.2500000000000001E-2</v>
      </c>
      <c r="I37" s="665">
        <v>0</v>
      </c>
      <c r="J37" s="665">
        <v>42746</v>
      </c>
      <c r="K37" s="665">
        <v>646272.68000000005</v>
      </c>
      <c r="L37" s="665">
        <v>646741.66</v>
      </c>
      <c r="M37" s="665">
        <v>389376.8</v>
      </c>
      <c r="N37" s="665">
        <v>96345.52</v>
      </c>
      <c r="O37" s="665">
        <v>7803.93</v>
      </c>
      <c r="P37" s="665">
        <v>112.47</v>
      </c>
      <c r="Q37" s="665">
        <v>62.62</v>
      </c>
      <c r="R37" s="665">
        <v>912.03</v>
      </c>
      <c r="S37" s="665">
        <v>300.18</v>
      </c>
      <c r="T37" s="665">
        <v>0</v>
      </c>
      <c r="U37" s="665">
        <v>0</v>
      </c>
      <c r="V37" s="665">
        <v>0</v>
      </c>
      <c r="W37" s="665">
        <v>0</v>
      </c>
      <c r="X37" s="668">
        <f t="shared" si="1"/>
        <v>1830673.8900000001</v>
      </c>
      <c r="Y37" s="665">
        <v>0</v>
      </c>
      <c r="Z37" s="665">
        <v>0</v>
      </c>
      <c r="AA37" s="665">
        <v>0</v>
      </c>
      <c r="AB37" s="13"/>
      <c r="AC37" s="675">
        <f t="shared" si="2"/>
        <v>1830673.8900000001</v>
      </c>
    </row>
    <row r="38" spans="1:29">
      <c r="A38" s="20">
        <v>21</v>
      </c>
      <c r="B38" s="679" t="s">
        <v>1252</v>
      </c>
      <c r="C38" s="679" t="s">
        <v>1253</v>
      </c>
      <c r="D38" s="680" t="s">
        <v>1254</v>
      </c>
      <c r="E38" s="681" t="s">
        <v>1255</v>
      </c>
      <c r="F38" s="680" t="s">
        <v>1231</v>
      </c>
      <c r="G38" s="682" t="s">
        <v>1226</v>
      </c>
      <c r="H38" s="683">
        <v>1.2500000000000001E-2</v>
      </c>
      <c r="I38" s="665">
        <v>0</v>
      </c>
      <c r="J38" s="665">
        <v>0</v>
      </c>
      <c r="K38" s="665">
        <v>0</v>
      </c>
      <c r="L38" s="665">
        <v>0</v>
      </c>
      <c r="M38" s="665">
        <v>32262.57</v>
      </c>
      <c r="N38" s="665">
        <v>0</v>
      </c>
      <c r="O38" s="665">
        <v>0</v>
      </c>
      <c r="P38" s="665">
        <v>0</v>
      </c>
      <c r="Q38" s="665">
        <v>0</v>
      </c>
      <c r="R38" s="665">
        <v>0</v>
      </c>
      <c r="S38" s="665">
        <v>0</v>
      </c>
      <c r="T38" s="665">
        <v>0</v>
      </c>
      <c r="U38" s="665">
        <v>0</v>
      </c>
      <c r="V38" s="665">
        <v>0</v>
      </c>
      <c r="W38" s="665">
        <v>0</v>
      </c>
      <c r="X38" s="668">
        <f t="shared" si="1"/>
        <v>32262.57</v>
      </c>
      <c r="Y38" s="665">
        <v>0</v>
      </c>
      <c r="Z38" s="665">
        <v>0</v>
      </c>
      <c r="AA38" s="665">
        <v>0</v>
      </c>
      <c r="AB38" s="13"/>
      <c r="AC38" s="675">
        <f t="shared" si="2"/>
        <v>32262.57</v>
      </c>
    </row>
    <row r="39" spans="1:29">
      <c r="A39" s="20">
        <v>22</v>
      </c>
      <c r="B39" s="685" t="s">
        <v>1256</v>
      </c>
      <c r="C39" s="685" t="s">
        <v>1257</v>
      </c>
      <c r="D39" s="663" t="s">
        <v>1258</v>
      </c>
      <c r="E39" s="674" t="s">
        <v>1259</v>
      </c>
      <c r="F39" s="663" t="s">
        <v>1251</v>
      </c>
      <c r="G39" s="660"/>
      <c r="H39" s="686">
        <v>2.1999999999999999E-2</v>
      </c>
      <c r="I39" s="665">
        <v>0</v>
      </c>
      <c r="J39" s="665">
        <v>0</v>
      </c>
      <c r="K39" s="665">
        <v>0</v>
      </c>
      <c r="L39" s="665">
        <v>3917.49</v>
      </c>
      <c r="M39" s="665">
        <v>14511.94</v>
      </c>
      <c r="N39" s="665">
        <v>61616.03</v>
      </c>
      <c r="O39" s="665">
        <v>503.21</v>
      </c>
      <c r="P39" s="665">
        <v>466.24</v>
      </c>
      <c r="Q39" s="665">
        <v>11529.23</v>
      </c>
      <c r="R39" s="665">
        <v>0</v>
      </c>
      <c r="S39" s="665">
        <v>0</v>
      </c>
      <c r="T39" s="665">
        <v>0</v>
      </c>
      <c r="U39" s="665">
        <v>0</v>
      </c>
      <c r="V39" s="665">
        <v>0</v>
      </c>
      <c r="W39" s="665">
        <v>0</v>
      </c>
      <c r="X39" s="668">
        <f t="shared" si="1"/>
        <v>92544.14</v>
      </c>
      <c r="Y39" s="665">
        <v>0</v>
      </c>
      <c r="Z39" s="665">
        <v>0</v>
      </c>
      <c r="AA39" s="665">
        <v>0</v>
      </c>
      <c r="AB39" s="13"/>
      <c r="AC39" s="675">
        <f t="shared" si="2"/>
        <v>92544.14</v>
      </c>
    </row>
    <row r="40" spans="1:29">
      <c r="A40" s="20">
        <v>23</v>
      </c>
      <c r="B40" s="685"/>
      <c r="C40" s="685" t="s">
        <v>1260</v>
      </c>
      <c r="D40" s="661" t="s">
        <v>1261</v>
      </c>
      <c r="E40" s="662"/>
      <c r="F40" s="663" t="s">
        <v>1262</v>
      </c>
      <c r="G40" s="660"/>
      <c r="H40" s="686"/>
      <c r="I40" s="665">
        <v>0</v>
      </c>
      <c r="J40" s="665">
        <v>0</v>
      </c>
      <c r="K40" s="665">
        <v>0</v>
      </c>
      <c r="L40" s="665">
        <v>0</v>
      </c>
      <c r="M40" s="665">
        <v>0</v>
      </c>
      <c r="N40" s="665">
        <v>0</v>
      </c>
      <c r="O40" s="665">
        <v>0</v>
      </c>
      <c r="P40" s="665">
        <v>0</v>
      </c>
      <c r="Q40" s="665">
        <v>0</v>
      </c>
      <c r="R40" s="665">
        <v>0</v>
      </c>
      <c r="S40" s="665">
        <v>0</v>
      </c>
      <c r="T40" s="665">
        <v>0</v>
      </c>
      <c r="U40" s="665">
        <v>0</v>
      </c>
      <c r="V40" s="665">
        <v>0</v>
      </c>
      <c r="W40" s="665">
        <v>0</v>
      </c>
      <c r="X40" s="668">
        <f t="shared" si="1"/>
        <v>0</v>
      </c>
      <c r="Y40" s="665">
        <v>0</v>
      </c>
      <c r="Z40" s="665">
        <v>0</v>
      </c>
      <c r="AA40" s="665">
        <v>0</v>
      </c>
      <c r="AB40" s="13"/>
      <c r="AC40" s="666"/>
    </row>
    <row r="41" spans="1:29">
      <c r="A41" s="20">
        <v>24</v>
      </c>
      <c r="B41" s="401" t="s">
        <v>1263</v>
      </c>
      <c r="C41" s="687" t="s">
        <v>1260</v>
      </c>
      <c r="D41" s="83" t="s">
        <v>1264</v>
      </c>
      <c r="E41" s="551" t="s">
        <v>1265</v>
      </c>
      <c r="F41" s="83" t="s">
        <v>1262</v>
      </c>
      <c r="G41" s="401" t="s">
        <v>1266</v>
      </c>
      <c r="H41" s="688"/>
      <c r="I41" s="668"/>
      <c r="J41" s="668"/>
      <c r="K41" s="668"/>
      <c r="L41" s="668">
        <v>0</v>
      </c>
      <c r="M41" s="668">
        <v>0</v>
      </c>
      <c r="N41" s="668">
        <v>0</v>
      </c>
      <c r="O41" s="668">
        <v>0</v>
      </c>
      <c r="P41" s="668">
        <v>0</v>
      </c>
      <c r="Q41" s="668">
        <v>0</v>
      </c>
      <c r="R41" s="668">
        <v>0</v>
      </c>
      <c r="S41" s="668">
        <v>0</v>
      </c>
      <c r="T41" s="668">
        <v>0</v>
      </c>
      <c r="U41" s="668">
        <v>0</v>
      </c>
      <c r="V41" s="668">
        <v>0</v>
      </c>
      <c r="W41" s="668">
        <v>0</v>
      </c>
      <c r="X41" s="668">
        <f t="shared" si="1"/>
        <v>0</v>
      </c>
      <c r="Y41" s="668">
        <v>0</v>
      </c>
      <c r="Z41" s="668">
        <v>0</v>
      </c>
      <c r="AA41" s="668">
        <v>0</v>
      </c>
      <c r="AB41" s="13"/>
      <c r="AC41" s="669">
        <f t="shared" ref="AC41:AC54" si="3">SUM(I41:AB41)-X41</f>
        <v>0</v>
      </c>
    </row>
    <row r="42" spans="1:29">
      <c r="A42" s="20">
        <v>25</v>
      </c>
      <c r="B42" s="687" t="s">
        <v>1267</v>
      </c>
      <c r="C42" s="687" t="s">
        <v>1260</v>
      </c>
      <c r="D42" s="83" t="s">
        <v>1268</v>
      </c>
      <c r="E42" s="551" t="s">
        <v>1269</v>
      </c>
      <c r="F42" s="83" t="s">
        <v>1262</v>
      </c>
      <c r="G42" s="401" t="s">
        <v>1266</v>
      </c>
      <c r="H42" s="688"/>
      <c r="I42" s="668"/>
      <c r="J42" s="668"/>
      <c r="K42" s="668"/>
      <c r="L42" s="668">
        <v>0</v>
      </c>
      <c r="M42" s="668">
        <v>0</v>
      </c>
      <c r="N42" s="668">
        <v>194.57</v>
      </c>
      <c r="O42" s="668">
        <v>0</v>
      </c>
      <c r="P42" s="668">
        <v>0</v>
      </c>
      <c r="Q42" s="668">
        <v>0</v>
      </c>
      <c r="R42" s="668">
        <v>0</v>
      </c>
      <c r="S42" s="668">
        <v>0</v>
      </c>
      <c r="T42" s="668">
        <v>0</v>
      </c>
      <c r="U42" s="668">
        <v>0</v>
      </c>
      <c r="V42" s="668">
        <v>0</v>
      </c>
      <c r="W42" s="668">
        <v>0</v>
      </c>
      <c r="X42" s="668">
        <f t="shared" si="1"/>
        <v>194.57</v>
      </c>
      <c r="Y42" s="668">
        <v>0</v>
      </c>
      <c r="Z42" s="668">
        <v>0</v>
      </c>
      <c r="AA42" s="668">
        <v>0</v>
      </c>
      <c r="AB42" s="13"/>
      <c r="AC42" s="669">
        <f t="shared" si="3"/>
        <v>194.57</v>
      </c>
    </row>
    <row r="43" spans="1:29">
      <c r="A43" s="20">
        <v>26</v>
      </c>
      <c r="B43" s="687"/>
      <c r="C43" s="687"/>
      <c r="D43" s="83" t="s">
        <v>1270</v>
      </c>
      <c r="E43" s="551"/>
      <c r="F43" s="83" t="s">
        <v>1262</v>
      </c>
      <c r="G43" s="401"/>
      <c r="H43" s="688"/>
      <c r="I43" s="668"/>
      <c r="J43" s="668"/>
      <c r="K43" s="668"/>
      <c r="L43" s="668">
        <v>0</v>
      </c>
      <c r="M43" s="668">
        <v>0</v>
      </c>
      <c r="N43" s="668">
        <v>0</v>
      </c>
      <c r="O43" s="668">
        <v>0</v>
      </c>
      <c r="P43" s="668">
        <v>0</v>
      </c>
      <c r="Q43" s="668">
        <v>0</v>
      </c>
      <c r="R43" s="668">
        <v>0</v>
      </c>
      <c r="S43" s="668">
        <v>0</v>
      </c>
      <c r="T43" s="668">
        <v>0</v>
      </c>
      <c r="U43" s="668">
        <v>0</v>
      </c>
      <c r="V43" s="668">
        <v>0</v>
      </c>
      <c r="W43" s="668">
        <v>0</v>
      </c>
      <c r="X43" s="668">
        <f t="shared" si="1"/>
        <v>0</v>
      </c>
      <c r="Y43" s="668">
        <v>0</v>
      </c>
      <c r="Z43" s="668">
        <v>0</v>
      </c>
      <c r="AA43" s="668">
        <v>0</v>
      </c>
      <c r="AB43" s="13"/>
      <c r="AC43" s="669">
        <f t="shared" si="3"/>
        <v>0</v>
      </c>
    </row>
    <row r="44" spans="1:29">
      <c r="A44" s="20">
        <v>27</v>
      </c>
      <c r="B44" s="687" t="s">
        <v>1271</v>
      </c>
      <c r="C44" s="687" t="s">
        <v>1260</v>
      </c>
      <c r="D44" s="676" t="s">
        <v>1272</v>
      </c>
      <c r="E44" s="551" t="s">
        <v>1273</v>
      </c>
      <c r="F44" s="83" t="s">
        <v>1262</v>
      </c>
      <c r="G44" s="401" t="s">
        <v>1266</v>
      </c>
      <c r="H44" s="688"/>
      <c r="I44" s="668"/>
      <c r="J44" s="668"/>
      <c r="K44" s="668"/>
      <c r="L44" s="668">
        <v>371622.84</v>
      </c>
      <c r="M44" s="668">
        <v>246610.39</v>
      </c>
      <c r="N44" s="668">
        <v>351686</v>
      </c>
      <c r="O44" s="668">
        <v>29234.19</v>
      </c>
      <c r="P44" s="668">
        <v>-55401.67</v>
      </c>
      <c r="Q44" s="668">
        <v>541161.93999999994</v>
      </c>
      <c r="R44" s="668">
        <v>2472.11</v>
      </c>
      <c r="S44" s="668">
        <v>288929.71999999997</v>
      </c>
      <c r="T44" s="668">
        <v>24466.59</v>
      </c>
      <c r="U44" s="668">
        <v>343</v>
      </c>
      <c r="V44" s="668">
        <v>0</v>
      </c>
      <c r="W44" s="668">
        <v>0</v>
      </c>
      <c r="X44" s="668">
        <f t="shared" si="1"/>
        <v>1801125.11</v>
      </c>
      <c r="Y44" s="668">
        <v>0</v>
      </c>
      <c r="Z44" s="668">
        <v>0</v>
      </c>
      <c r="AA44" s="668">
        <v>0</v>
      </c>
      <c r="AB44" s="13"/>
      <c r="AC44" s="669">
        <f t="shared" si="3"/>
        <v>1801125.11</v>
      </c>
    </row>
    <row r="45" spans="1:29">
      <c r="A45" s="20">
        <v>28</v>
      </c>
      <c r="B45" s="687" t="s">
        <v>1274</v>
      </c>
      <c r="C45" s="687" t="s">
        <v>1260</v>
      </c>
      <c r="D45" s="676" t="s">
        <v>1275</v>
      </c>
      <c r="E45" s="551" t="s">
        <v>1276</v>
      </c>
      <c r="F45" s="83" t="s">
        <v>1262</v>
      </c>
      <c r="G45" s="401" t="s">
        <v>1266</v>
      </c>
      <c r="H45" s="688"/>
      <c r="I45" s="668"/>
      <c r="J45" s="668"/>
      <c r="K45" s="668"/>
      <c r="L45" s="668">
        <v>0</v>
      </c>
      <c r="M45" s="668">
        <v>0</v>
      </c>
      <c r="N45" s="668">
        <v>0</v>
      </c>
      <c r="O45" s="668">
        <v>0</v>
      </c>
      <c r="P45" s="668">
        <v>0</v>
      </c>
      <c r="Q45" s="668">
        <v>0</v>
      </c>
      <c r="R45" s="668">
        <v>0</v>
      </c>
      <c r="S45" s="668">
        <v>17270.02</v>
      </c>
      <c r="T45" s="668">
        <v>461824.13</v>
      </c>
      <c r="U45" s="668">
        <v>58403.35</v>
      </c>
      <c r="V45" s="668">
        <v>244032.88</v>
      </c>
      <c r="W45" s="668">
        <v>179.58</v>
      </c>
      <c r="X45" s="668">
        <f t="shared" si="1"/>
        <v>781709.96</v>
      </c>
      <c r="Y45" s="668">
        <v>4494.07</v>
      </c>
      <c r="Z45" s="668">
        <v>4656.17</v>
      </c>
      <c r="AA45" s="668">
        <v>0</v>
      </c>
      <c r="AB45" s="13"/>
      <c r="AC45" s="669">
        <f t="shared" si="3"/>
        <v>790860.2</v>
      </c>
    </row>
    <row r="46" spans="1:29">
      <c r="A46" s="20">
        <v>29</v>
      </c>
      <c r="B46" s="687" t="s">
        <v>1277</v>
      </c>
      <c r="C46" s="687" t="s">
        <v>1260</v>
      </c>
      <c r="D46" s="676" t="s">
        <v>1278</v>
      </c>
      <c r="E46" s="551" t="s">
        <v>1279</v>
      </c>
      <c r="F46" s="83" t="s">
        <v>1262</v>
      </c>
      <c r="G46" s="401" t="s">
        <v>1266</v>
      </c>
      <c r="H46" s="688"/>
      <c r="I46" s="668"/>
      <c r="J46" s="668"/>
      <c r="K46" s="668"/>
      <c r="L46" s="668">
        <v>88470.05</v>
      </c>
      <c r="M46" s="668">
        <v>40560.379999999997</v>
      </c>
      <c r="N46" s="668">
        <v>499.53</v>
      </c>
      <c r="O46" s="668">
        <v>63.06</v>
      </c>
      <c r="P46" s="668">
        <v>2087.1799999999998</v>
      </c>
      <c r="Q46" s="668">
        <v>31042.17</v>
      </c>
      <c r="R46" s="668">
        <v>2330.23</v>
      </c>
      <c r="S46" s="668">
        <v>-59787.75</v>
      </c>
      <c r="T46" s="668">
        <v>0</v>
      </c>
      <c r="U46" s="668">
        <v>544.46</v>
      </c>
      <c r="V46" s="668">
        <v>0</v>
      </c>
      <c r="W46" s="668">
        <v>0</v>
      </c>
      <c r="X46" s="668">
        <f t="shared" si="1"/>
        <v>105809.31000000001</v>
      </c>
      <c r="Y46" s="668">
        <v>0</v>
      </c>
      <c r="Z46" s="668">
        <v>0</v>
      </c>
      <c r="AA46" s="668">
        <v>0</v>
      </c>
      <c r="AB46" s="13"/>
      <c r="AC46" s="669">
        <f t="shared" si="3"/>
        <v>105809.31000000001</v>
      </c>
    </row>
    <row r="47" spans="1:29">
      <c r="A47" s="20">
        <v>30</v>
      </c>
      <c r="B47" s="687" t="s">
        <v>1280</v>
      </c>
      <c r="C47" s="687" t="s">
        <v>1260</v>
      </c>
      <c r="D47" s="676" t="s">
        <v>1281</v>
      </c>
      <c r="E47" s="551" t="s">
        <v>1282</v>
      </c>
      <c r="F47" s="83" t="s">
        <v>1262</v>
      </c>
      <c r="G47" s="401" t="s">
        <v>1266</v>
      </c>
      <c r="H47" s="688"/>
      <c r="I47" s="668"/>
      <c r="J47" s="668"/>
      <c r="K47" s="668"/>
      <c r="L47" s="668">
        <v>1023.95</v>
      </c>
      <c r="M47" s="668">
        <v>8647.7000000000007</v>
      </c>
      <c r="N47" s="668">
        <v>939.63</v>
      </c>
      <c r="O47" s="668">
        <v>5016.34</v>
      </c>
      <c r="P47" s="668">
        <v>171.58</v>
      </c>
      <c r="Q47" s="668">
        <v>7496.11</v>
      </c>
      <c r="R47" s="668">
        <v>112.23</v>
      </c>
      <c r="S47" s="668">
        <v>0</v>
      </c>
      <c r="T47" s="668">
        <v>0</v>
      </c>
      <c r="U47" s="668">
        <v>0</v>
      </c>
      <c r="V47" s="668">
        <v>0</v>
      </c>
      <c r="W47" s="668">
        <v>0</v>
      </c>
      <c r="X47" s="668">
        <f t="shared" si="1"/>
        <v>23407.54</v>
      </c>
      <c r="Y47" s="668">
        <v>0</v>
      </c>
      <c r="Z47" s="668">
        <v>0</v>
      </c>
      <c r="AA47" s="668">
        <v>0</v>
      </c>
      <c r="AB47" s="13"/>
      <c r="AC47" s="669">
        <f t="shared" si="3"/>
        <v>23407.54</v>
      </c>
    </row>
    <row r="48" spans="1:29">
      <c r="A48" s="20">
        <v>31</v>
      </c>
      <c r="B48" s="687" t="s">
        <v>1283</v>
      </c>
      <c r="C48" s="687" t="s">
        <v>1260</v>
      </c>
      <c r="D48" s="676" t="s">
        <v>1272</v>
      </c>
      <c r="E48" s="551" t="s">
        <v>1284</v>
      </c>
      <c r="F48" s="83" t="s">
        <v>1262</v>
      </c>
      <c r="G48" s="401" t="s">
        <v>1266</v>
      </c>
      <c r="H48" s="688"/>
      <c r="I48" s="668"/>
      <c r="J48" s="668"/>
      <c r="K48" s="668"/>
      <c r="L48" s="668">
        <v>0</v>
      </c>
      <c r="M48" s="668">
        <v>0</v>
      </c>
      <c r="N48" s="668">
        <v>0</v>
      </c>
      <c r="O48" s="668">
        <v>0</v>
      </c>
      <c r="P48" s="668">
        <v>0</v>
      </c>
      <c r="Q48" s="668">
        <v>2962.67</v>
      </c>
      <c r="R48" s="668">
        <v>9.35</v>
      </c>
      <c r="S48" s="668">
        <v>2525.69</v>
      </c>
      <c r="T48" s="668">
        <v>8728.11</v>
      </c>
      <c r="U48" s="668">
        <v>75935.210000000006</v>
      </c>
      <c r="V48" s="668">
        <v>15718.82</v>
      </c>
      <c r="W48" s="668">
        <v>529749.19999999995</v>
      </c>
      <c r="X48" s="668">
        <f t="shared" si="1"/>
        <v>635629.04999999993</v>
      </c>
      <c r="Y48" s="668">
        <v>381778.59</v>
      </c>
      <c r="Z48" s="668">
        <v>110441.86</v>
      </c>
      <c r="AA48" s="668">
        <v>7167.46</v>
      </c>
      <c r="AB48" s="13"/>
      <c r="AC48" s="669">
        <f t="shared" si="3"/>
        <v>1135016.96</v>
      </c>
    </row>
    <row r="49" spans="1:29">
      <c r="A49" s="20">
        <v>32</v>
      </c>
      <c r="B49" s="687" t="s">
        <v>1285</v>
      </c>
      <c r="C49" s="687" t="s">
        <v>1260</v>
      </c>
      <c r="D49" s="676" t="s">
        <v>1275</v>
      </c>
      <c r="E49" s="551" t="s">
        <v>1286</v>
      </c>
      <c r="F49" s="83" t="s">
        <v>1262</v>
      </c>
      <c r="G49" s="401" t="s">
        <v>1266</v>
      </c>
      <c r="H49" s="688"/>
      <c r="I49" s="668"/>
      <c r="J49" s="668"/>
      <c r="K49" s="668"/>
      <c r="L49" s="668">
        <v>0</v>
      </c>
      <c r="M49" s="668">
        <v>0</v>
      </c>
      <c r="N49" s="668">
        <v>0</v>
      </c>
      <c r="O49" s="668">
        <v>0</v>
      </c>
      <c r="P49" s="668">
        <v>0</v>
      </c>
      <c r="Q49" s="668">
        <v>0</v>
      </c>
      <c r="R49" s="668">
        <v>0</v>
      </c>
      <c r="S49" s="668">
        <v>0</v>
      </c>
      <c r="T49" s="668">
        <v>0</v>
      </c>
      <c r="U49" s="668">
        <v>35.909999999999997</v>
      </c>
      <c r="V49" s="668">
        <v>0.19</v>
      </c>
      <c r="W49" s="668">
        <v>0.28000000000000003</v>
      </c>
      <c r="X49" s="668">
        <f t="shared" si="1"/>
        <v>36.379999999999995</v>
      </c>
      <c r="Y49" s="668">
        <v>256635.69</v>
      </c>
      <c r="Z49" s="668">
        <v>131442.23000000001</v>
      </c>
      <c r="AA49" s="668">
        <v>23357.8</v>
      </c>
      <c r="AB49" s="13"/>
      <c r="AC49" s="669">
        <f t="shared" si="3"/>
        <v>411472.10000000003</v>
      </c>
    </row>
    <row r="50" spans="1:29">
      <c r="A50" s="20">
        <v>33</v>
      </c>
      <c r="B50" s="687" t="s">
        <v>1287</v>
      </c>
      <c r="C50" s="687" t="s">
        <v>1260</v>
      </c>
      <c r="D50" s="676" t="s">
        <v>1278</v>
      </c>
      <c r="E50" s="551" t="s">
        <v>1288</v>
      </c>
      <c r="F50" s="83" t="s">
        <v>1262</v>
      </c>
      <c r="G50" s="401" t="s">
        <v>1266</v>
      </c>
      <c r="H50" s="688"/>
      <c r="I50" s="668"/>
      <c r="J50" s="668"/>
      <c r="K50" s="668"/>
      <c r="L50" s="668">
        <v>0</v>
      </c>
      <c r="M50" s="668">
        <v>0</v>
      </c>
      <c r="N50" s="668">
        <v>0</v>
      </c>
      <c r="O50" s="668">
        <v>0</v>
      </c>
      <c r="P50" s="668">
        <v>0</v>
      </c>
      <c r="Q50" s="668">
        <v>0</v>
      </c>
      <c r="R50" s="668">
        <v>0</v>
      </c>
      <c r="S50" s="668">
        <v>0</v>
      </c>
      <c r="T50" s="668">
        <v>0</v>
      </c>
      <c r="U50" s="668">
        <v>915.2</v>
      </c>
      <c r="V50" s="668">
        <v>4.8</v>
      </c>
      <c r="W50" s="668">
        <v>75831.44</v>
      </c>
      <c r="X50" s="668">
        <f t="shared" si="1"/>
        <v>76751.44</v>
      </c>
      <c r="Y50" s="668">
        <v>528141.15</v>
      </c>
      <c r="Z50" s="668">
        <v>38419.31</v>
      </c>
      <c r="AA50" s="668">
        <v>8714.77</v>
      </c>
      <c r="AB50" s="13"/>
      <c r="AC50" s="669">
        <f t="shared" si="3"/>
        <v>652026.67000000016</v>
      </c>
    </row>
    <row r="51" spans="1:29">
      <c r="A51" s="20">
        <v>34</v>
      </c>
      <c r="B51" s="687" t="s">
        <v>1289</v>
      </c>
      <c r="C51" s="687" t="s">
        <v>1260</v>
      </c>
      <c r="D51" s="676" t="s">
        <v>1281</v>
      </c>
      <c r="E51" s="551" t="s">
        <v>1288</v>
      </c>
      <c r="F51" s="83" t="s">
        <v>1262</v>
      </c>
      <c r="G51" s="401" t="s">
        <v>1266</v>
      </c>
      <c r="H51" s="688"/>
      <c r="I51" s="668"/>
      <c r="J51" s="668"/>
      <c r="K51" s="668"/>
      <c r="L51" s="668">
        <v>0</v>
      </c>
      <c r="M51" s="668">
        <v>0</v>
      </c>
      <c r="N51" s="668">
        <v>0</v>
      </c>
      <c r="O51" s="668">
        <v>0</v>
      </c>
      <c r="P51" s="668">
        <v>0</v>
      </c>
      <c r="Q51" s="668">
        <v>0</v>
      </c>
      <c r="R51" s="668">
        <v>0</v>
      </c>
      <c r="S51" s="668">
        <v>0</v>
      </c>
      <c r="T51" s="668">
        <v>0</v>
      </c>
      <c r="U51" s="668">
        <v>509.38</v>
      </c>
      <c r="V51" s="668">
        <v>969.02</v>
      </c>
      <c r="W51" s="668">
        <v>122182.59</v>
      </c>
      <c r="X51" s="668">
        <f t="shared" si="1"/>
        <v>123660.98999999999</v>
      </c>
      <c r="Y51" s="668">
        <v>170420.55</v>
      </c>
      <c r="Z51" s="668">
        <v>64640.17</v>
      </c>
      <c r="AA51" s="668">
        <v>3653.56</v>
      </c>
      <c r="AB51" s="13"/>
      <c r="AC51" s="669">
        <f t="shared" si="3"/>
        <v>362375.26999999996</v>
      </c>
    </row>
    <row r="52" spans="1:29">
      <c r="A52" s="20">
        <v>35</v>
      </c>
      <c r="B52" s="685" t="s">
        <v>1290</v>
      </c>
      <c r="C52" s="685" t="s">
        <v>1291</v>
      </c>
      <c r="D52" s="663" t="s">
        <v>1292</v>
      </c>
      <c r="E52" s="674" t="s">
        <v>1293</v>
      </c>
      <c r="F52" s="663" t="s">
        <v>1262</v>
      </c>
      <c r="G52" s="660" t="s">
        <v>1235</v>
      </c>
      <c r="H52" s="686">
        <v>1.8200000000000001E-2</v>
      </c>
      <c r="I52" s="665">
        <v>0</v>
      </c>
      <c r="J52" s="665">
        <v>0</v>
      </c>
      <c r="K52" s="665">
        <v>0</v>
      </c>
      <c r="L52" s="665">
        <v>32.72</v>
      </c>
      <c r="M52" s="665">
        <v>0.18</v>
      </c>
      <c r="N52" s="665">
        <v>325875.51</v>
      </c>
      <c r="O52" s="665">
        <v>-172058.38</v>
      </c>
      <c r="P52" s="665">
        <v>19451.61</v>
      </c>
      <c r="Q52" s="665">
        <v>0</v>
      </c>
      <c r="R52" s="665">
        <v>0</v>
      </c>
      <c r="S52" s="665">
        <v>0</v>
      </c>
      <c r="T52" s="665">
        <v>0</v>
      </c>
      <c r="U52" s="665">
        <v>0</v>
      </c>
      <c r="V52" s="665">
        <v>0</v>
      </c>
      <c r="W52" s="665">
        <v>0</v>
      </c>
      <c r="X52" s="668">
        <f t="shared" si="1"/>
        <v>173301.64</v>
      </c>
      <c r="Y52" s="665">
        <v>0</v>
      </c>
      <c r="Z52" s="665">
        <v>0</v>
      </c>
      <c r="AA52" s="665">
        <v>0</v>
      </c>
      <c r="AB52" s="13"/>
      <c r="AC52" s="675">
        <f t="shared" si="3"/>
        <v>173301.64</v>
      </c>
    </row>
    <row r="53" spans="1:29">
      <c r="A53" s="20">
        <v>36</v>
      </c>
      <c r="B53" s="685" t="s">
        <v>1294</v>
      </c>
      <c r="C53" s="685" t="s">
        <v>1295</v>
      </c>
      <c r="D53" s="663" t="s">
        <v>1296</v>
      </c>
      <c r="E53" s="674" t="s">
        <v>1222</v>
      </c>
      <c r="F53" s="663" t="s">
        <v>1262</v>
      </c>
      <c r="G53" s="660" t="s">
        <v>1235</v>
      </c>
      <c r="H53" s="686">
        <v>1.8200000000000001E-2</v>
      </c>
      <c r="I53" s="665">
        <v>539.79</v>
      </c>
      <c r="J53" s="665">
        <v>199.99</v>
      </c>
      <c r="K53" s="665">
        <v>193.6</v>
      </c>
      <c r="L53" s="665">
        <v>223.26</v>
      </c>
      <c r="M53" s="665">
        <v>189.63</v>
      </c>
      <c r="N53" s="665">
        <v>869.97</v>
      </c>
      <c r="O53" s="665">
        <v>185.13</v>
      </c>
      <c r="P53" s="665">
        <v>6302.55</v>
      </c>
      <c r="Q53" s="665">
        <v>11256.46</v>
      </c>
      <c r="R53" s="665">
        <v>4007.87</v>
      </c>
      <c r="S53" s="665">
        <v>406.81</v>
      </c>
      <c r="T53" s="665">
        <v>275.04000000000002</v>
      </c>
      <c r="U53" s="665">
        <v>1235.31</v>
      </c>
      <c r="V53" s="665">
        <v>1200.93</v>
      </c>
      <c r="W53" s="665">
        <v>459.48</v>
      </c>
      <c r="X53" s="668">
        <f t="shared" si="1"/>
        <v>27545.82</v>
      </c>
      <c r="Y53" s="665">
        <v>14974.03</v>
      </c>
      <c r="Z53" s="665">
        <v>818.31</v>
      </c>
      <c r="AA53" s="665">
        <v>3641.05</v>
      </c>
      <c r="AB53" s="13"/>
      <c r="AC53" s="675">
        <f t="shared" si="3"/>
        <v>46979.21</v>
      </c>
    </row>
    <row r="54" spans="1:29">
      <c r="A54" s="20">
        <v>37</v>
      </c>
      <c r="B54" s="685" t="s">
        <v>1297</v>
      </c>
      <c r="C54" s="685" t="s">
        <v>1298</v>
      </c>
      <c r="D54" s="663" t="s">
        <v>1299</v>
      </c>
      <c r="E54" s="674" t="s">
        <v>1300</v>
      </c>
      <c r="F54" s="663" t="s">
        <v>1301</v>
      </c>
      <c r="G54" s="660" t="s">
        <v>1226</v>
      </c>
      <c r="H54" s="686">
        <v>1.2500000000000001E-2</v>
      </c>
      <c r="I54" s="665">
        <v>0</v>
      </c>
      <c r="J54" s="665"/>
      <c r="K54" s="665"/>
      <c r="L54" s="665">
        <v>3398.4</v>
      </c>
      <c r="M54" s="665">
        <v>1108.17</v>
      </c>
      <c r="N54" s="665">
        <v>-242.74</v>
      </c>
      <c r="O54" s="665">
        <v>0</v>
      </c>
      <c r="P54" s="665">
        <v>0</v>
      </c>
      <c r="Q54" s="665">
        <v>0</v>
      </c>
      <c r="R54" s="665">
        <v>0</v>
      </c>
      <c r="S54" s="665">
        <v>0</v>
      </c>
      <c r="T54" s="665">
        <v>0</v>
      </c>
      <c r="U54" s="665">
        <v>0</v>
      </c>
      <c r="V54" s="665">
        <v>0</v>
      </c>
      <c r="W54" s="665">
        <v>0</v>
      </c>
      <c r="X54" s="668">
        <f t="shared" si="1"/>
        <v>4263.83</v>
      </c>
      <c r="Y54" s="665">
        <v>0</v>
      </c>
      <c r="Z54" s="665">
        <v>0</v>
      </c>
      <c r="AA54" s="665">
        <v>0</v>
      </c>
      <c r="AB54" s="13"/>
      <c r="AC54" s="675">
        <f t="shared" si="3"/>
        <v>4263.83</v>
      </c>
    </row>
    <row r="55" spans="1:29">
      <c r="A55" s="20">
        <v>38</v>
      </c>
      <c r="B55" s="685"/>
      <c r="C55" s="685" t="s">
        <v>1302</v>
      </c>
      <c r="D55" s="661" t="s">
        <v>1303</v>
      </c>
      <c r="E55" s="662"/>
      <c r="F55" s="663"/>
      <c r="G55" s="660"/>
      <c r="H55" s="686"/>
      <c r="I55" s="665">
        <v>0</v>
      </c>
      <c r="J55" s="665">
        <v>0</v>
      </c>
      <c r="K55" s="665">
        <v>0</v>
      </c>
      <c r="L55" s="665">
        <v>0</v>
      </c>
      <c r="M55" s="665">
        <v>0</v>
      </c>
      <c r="N55" s="665">
        <v>0</v>
      </c>
      <c r="O55" s="665">
        <v>0</v>
      </c>
      <c r="P55" s="665">
        <v>0</v>
      </c>
      <c r="Q55" s="665">
        <v>0</v>
      </c>
      <c r="R55" s="665">
        <v>0</v>
      </c>
      <c r="S55" s="665">
        <v>0</v>
      </c>
      <c r="T55" s="665">
        <v>0</v>
      </c>
      <c r="U55" s="665">
        <v>0</v>
      </c>
      <c r="V55" s="665">
        <v>0</v>
      </c>
      <c r="W55" s="665">
        <v>0</v>
      </c>
      <c r="X55" s="668">
        <f t="shared" si="1"/>
        <v>0</v>
      </c>
      <c r="Y55" s="665">
        <v>0</v>
      </c>
      <c r="Z55" s="665">
        <v>0</v>
      </c>
      <c r="AA55" s="665">
        <v>0</v>
      </c>
      <c r="AB55" s="13"/>
      <c r="AC55" s="666"/>
    </row>
    <row r="56" spans="1:29">
      <c r="A56" s="20">
        <v>39</v>
      </c>
      <c r="B56" s="687" t="s">
        <v>1304</v>
      </c>
      <c r="C56" s="687" t="s">
        <v>1302</v>
      </c>
      <c r="D56" s="83" t="s">
        <v>1303</v>
      </c>
      <c r="E56" s="551" t="s">
        <v>1305</v>
      </c>
      <c r="F56" s="83" t="s">
        <v>1306</v>
      </c>
      <c r="G56" s="401" t="s">
        <v>1226</v>
      </c>
      <c r="H56" s="688">
        <v>1.2500000000000001E-2</v>
      </c>
      <c r="I56" s="668">
        <v>66.92</v>
      </c>
      <c r="J56" s="668">
        <v>71.430000000000007</v>
      </c>
      <c r="K56" s="668">
        <v>69.11</v>
      </c>
      <c r="L56" s="668">
        <v>68.03</v>
      </c>
      <c r="M56" s="668">
        <v>67.66</v>
      </c>
      <c r="N56" s="668">
        <v>74.25</v>
      </c>
      <c r="O56" s="668">
        <v>64.81</v>
      </c>
      <c r="P56" s="668">
        <v>39341.33</v>
      </c>
      <c r="Q56" s="668">
        <v>129811.98</v>
      </c>
      <c r="R56" s="668">
        <v>17072.509999999998</v>
      </c>
      <c r="S56" s="668">
        <v>41156.53</v>
      </c>
      <c r="T56" s="668">
        <v>1685393.66</v>
      </c>
      <c r="U56" s="668">
        <v>127739.12</v>
      </c>
      <c r="V56" s="668">
        <v>7210.71</v>
      </c>
      <c r="W56" s="668">
        <v>162.74</v>
      </c>
      <c r="X56" s="668">
        <f t="shared" si="1"/>
        <v>2048370.7899999998</v>
      </c>
      <c r="Y56" s="668">
        <v>0</v>
      </c>
      <c r="Z56" s="668">
        <v>0</v>
      </c>
      <c r="AA56" s="668">
        <v>0</v>
      </c>
      <c r="AB56" s="13"/>
      <c r="AC56" s="669">
        <f>SUM(I56:AB56)-X56</f>
        <v>2048370.7899999998</v>
      </c>
    </row>
    <row r="57" spans="1:29">
      <c r="A57" s="20">
        <v>40</v>
      </c>
      <c r="B57" s="687" t="s">
        <v>1307</v>
      </c>
      <c r="C57" s="689" t="s">
        <v>1302</v>
      </c>
      <c r="D57" s="672" t="s">
        <v>1303</v>
      </c>
      <c r="E57" s="551" t="s">
        <v>1222</v>
      </c>
      <c r="F57" s="672" t="s">
        <v>1306</v>
      </c>
      <c r="G57" s="671" t="s">
        <v>1226</v>
      </c>
      <c r="H57" s="690">
        <v>1.2500000000000001E-2</v>
      </c>
      <c r="I57" s="668">
        <v>0</v>
      </c>
      <c r="J57" s="668">
        <v>0</v>
      </c>
      <c r="K57" s="668">
        <v>5863.38</v>
      </c>
      <c r="L57" s="668">
        <v>0</v>
      </c>
      <c r="M57" s="668">
        <v>0</v>
      </c>
      <c r="N57" s="668">
        <v>0</v>
      </c>
      <c r="O57" s="668">
        <v>0</v>
      </c>
      <c r="P57" s="668">
        <v>0</v>
      </c>
      <c r="Q57" s="668">
        <v>0</v>
      </c>
      <c r="R57" s="668">
        <v>0</v>
      </c>
      <c r="S57" s="668">
        <v>0</v>
      </c>
      <c r="T57" s="668">
        <v>0</v>
      </c>
      <c r="U57" s="668">
        <v>0</v>
      </c>
      <c r="V57" s="668">
        <v>0</v>
      </c>
      <c r="W57" s="668">
        <v>0</v>
      </c>
      <c r="X57" s="668">
        <f t="shared" si="1"/>
        <v>5863.38</v>
      </c>
      <c r="Y57" s="668">
        <v>0</v>
      </c>
      <c r="Z57" s="668">
        <v>0</v>
      </c>
      <c r="AA57" s="668">
        <v>0</v>
      </c>
      <c r="AB57" s="13"/>
      <c r="AC57" s="669">
        <f>SUM(I57:AB57)-X57</f>
        <v>5863.38</v>
      </c>
    </row>
    <row r="58" spans="1:29">
      <c r="A58" s="20">
        <v>41</v>
      </c>
      <c r="B58" s="685"/>
      <c r="C58" s="685" t="s">
        <v>1308</v>
      </c>
      <c r="D58" s="661" t="s">
        <v>1309</v>
      </c>
      <c r="E58" s="662"/>
      <c r="F58" s="663"/>
      <c r="G58" s="660"/>
      <c r="H58" s="686"/>
      <c r="I58" s="665">
        <v>0</v>
      </c>
      <c r="J58" s="665">
        <v>0</v>
      </c>
      <c r="K58" s="665">
        <v>0</v>
      </c>
      <c r="L58" s="665">
        <v>0</v>
      </c>
      <c r="M58" s="665">
        <v>0</v>
      </c>
      <c r="N58" s="665">
        <v>0</v>
      </c>
      <c r="O58" s="665">
        <v>0</v>
      </c>
      <c r="P58" s="665">
        <v>0</v>
      </c>
      <c r="Q58" s="665">
        <v>0</v>
      </c>
      <c r="R58" s="665">
        <v>0</v>
      </c>
      <c r="S58" s="665">
        <v>0</v>
      </c>
      <c r="T58" s="665">
        <v>0</v>
      </c>
      <c r="U58" s="665">
        <v>0</v>
      </c>
      <c r="V58" s="665">
        <v>0</v>
      </c>
      <c r="W58" s="665">
        <v>0</v>
      </c>
      <c r="X58" s="668">
        <f t="shared" si="1"/>
        <v>0</v>
      </c>
      <c r="Y58" s="665">
        <v>0</v>
      </c>
      <c r="Z58" s="665">
        <v>0</v>
      </c>
      <c r="AA58" s="665">
        <v>0</v>
      </c>
      <c r="AB58" s="13"/>
      <c r="AC58" s="666"/>
    </row>
    <row r="59" spans="1:29">
      <c r="A59" s="20">
        <v>42</v>
      </c>
      <c r="B59" s="687" t="s">
        <v>1310</v>
      </c>
      <c r="C59" s="687" t="s">
        <v>1308</v>
      </c>
      <c r="D59" s="83" t="s">
        <v>1309</v>
      </c>
      <c r="E59" s="551" t="s">
        <v>1311</v>
      </c>
      <c r="F59" s="83" t="s">
        <v>1306</v>
      </c>
      <c r="G59" s="401" t="s">
        <v>1235</v>
      </c>
      <c r="H59" s="688">
        <v>1.8200000000000001E-2</v>
      </c>
      <c r="I59" s="668"/>
      <c r="J59" s="668"/>
      <c r="K59" s="668"/>
      <c r="L59" s="668">
        <v>468670.37</v>
      </c>
      <c r="M59" s="668">
        <v>187096.71</v>
      </c>
      <c r="N59" s="668">
        <v>12381.81</v>
      </c>
      <c r="O59" s="668">
        <v>0</v>
      </c>
      <c r="P59" s="668">
        <v>269.22000000000003</v>
      </c>
      <c r="Q59" s="668">
        <v>32822.75</v>
      </c>
      <c r="R59" s="668">
        <v>204.53</v>
      </c>
      <c r="S59" s="668">
        <v>2895.95</v>
      </c>
      <c r="T59" s="668">
        <v>0</v>
      </c>
      <c r="U59" s="668">
        <v>0</v>
      </c>
      <c r="V59" s="668">
        <v>0</v>
      </c>
      <c r="W59" s="668">
        <v>0</v>
      </c>
      <c r="X59" s="668">
        <f t="shared" si="1"/>
        <v>704341.34</v>
      </c>
      <c r="Y59" s="668">
        <v>0</v>
      </c>
      <c r="Z59" s="668">
        <v>0</v>
      </c>
      <c r="AA59" s="668">
        <v>0</v>
      </c>
      <c r="AB59" s="13"/>
      <c r="AC59" s="669">
        <f>SUM(I59:AB59)-X59</f>
        <v>704341.34</v>
      </c>
    </row>
    <row r="60" spans="1:29">
      <c r="A60" s="20">
        <v>43</v>
      </c>
      <c r="B60" s="687" t="s">
        <v>1312</v>
      </c>
      <c r="C60" s="689" t="s">
        <v>1308</v>
      </c>
      <c r="D60" s="672" t="s">
        <v>1309</v>
      </c>
      <c r="E60" s="551" t="s">
        <v>1313</v>
      </c>
      <c r="F60" s="672" t="s">
        <v>1306</v>
      </c>
      <c r="G60" s="671" t="s">
        <v>1235</v>
      </c>
      <c r="H60" s="690">
        <v>1.8200000000000001E-2</v>
      </c>
      <c r="I60" s="668">
        <v>0</v>
      </c>
      <c r="J60" s="668">
        <v>0</v>
      </c>
      <c r="K60" s="668">
        <v>0</v>
      </c>
      <c r="L60" s="668">
        <v>0</v>
      </c>
      <c r="M60" s="668">
        <v>0</v>
      </c>
      <c r="N60" s="668">
        <v>8013.21</v>
      </c>
      <c r="O60" s="668">
        <v>127932.66</v>
      </c>
      <c r="P60" s="668">
        <v>12763.48</v>
      </c>
      <c r="Q60" s="668">
        <v>15168.48</v>
      </c>
      <c r="R60" s="668">
        <v>51271.85</v>
      </c>
      <c r="S60" s="668">
        <v>125594.34</v>
      </c>
      <c r="T60" s="668">
        <v>409365.38</v>
      </c>
      <c r="U60" s="668">
        <v>239947.11</v>
      </c>
      <c r="V60" s="668">
        <v>272308.28999999998</v>
      </c>
      <c r="W60" s="668">
        <v>51565.26</v>
      </c>
      <c r="X60" s="668">
        <f t="shared" si="1"/>
        <v>1313930.06</v>
      </c>
      <c r="Y60" s="668">
        <v>0</v>
      </c>
      <c r="Z60" s="668">
        <v>216.65</v>
      </c>
      <c r="AA60" s="668">
        <v>529.94000000000005</v>
      </c>
      <c r="AB60" s="13"/>
      <c r="AC60" s="669">
        <f>SUM(I60:AB60)-X60</f>
        <v>1314676.6499999999</v>
      </c>
    </row>
    <row r="61" spans="1:29">
      <c r="A61" s="20">
        <v>44</v>
      </c>
      <c r="B61" s="679" t="s">
        <v>1314</v>
      </c>
      <c r="C61" s="679" t="s">
        <v>1315</v>
      </c>
      <c r="D61" s="680" t="s">
        <v>1316</v>
      </c>
      <c r="E61" s="674" t="s">
        <v>1317</v>
      </c>
      <c r="F61" s="680" t="s">
        <v>1318</v>
      </c>
      <c r="G61" s="682" t="s">
        <v>1235</v>
      </c>
      <c r="H61" s="683">
        <v>1.8200000000000001E-2</v>
      </c>
      <c r="I61" s="684">
        <v>941</v>
      </c>
      <c r="J61" s="684">
        <v>29.3</v>
      </c>
      <c r="K61" s="684">
        <v>5917.89</v>
      </c>
      <c r="L61" s="684">
        <v>11980.05</v>
      </c>
      <c r="M61" s="684">
        <v>2617.8000000000002</v>
      </c>
      <c r="N61" s="684">
        <v>142.19999999999999</v>
      </c>
      <c r="O61" s="684">
        <v>10712.37</v>
      </c>
      <c r="P61" s="684">
        <v>197.52</v>
      </c>
      <c r="Q61" s="684">
        <v>144039.29</v>
      </c>
      <c r="R61" s="684">
        <v>16280.67</v>
      </c>
      <c r="S61" s="684">
        <v>10247.120000000001</v>
      </c>
      <c r="T61" s="684">
        <v>0</v>
      </c>
      <c r="U61" s="684">
        <v>0</v>
      </c>
      <c r="V61" s="684">
        <v>0</v>
      </c>
      <c r="W61" s="684">
        <v>0</v>
      </c>
      <c r="X61" s="668">
        <f t="shared" si="1"/>
        <v>203105.21000000002</v>
      </c>
      <c r="Y61" s="684">
        <v>0</v>
      </c>
      <c r="Z61" s="684">
        <v>0</v>
      </c>
      <c r="AA61" s="684">
        <v>0</v>
      </c>
      <c r="AB61" s="13"/>
      <c r="AC61" s="675">
        <f>SUM(I61:AB61)-X61</f>
        <v>203105.21000000002</v>
      </c>
    </row>
    <row r="62" spans="1:29">
      <c r="A62" s="20">
        <v>45</v>
      </c>
      <c r="B62" s="679" t="s">
        <v>1319</v>
      </c>
      <c r="C62" s="679" t="s">
        <v>1320</v>
      </c>
      <c r="D62" s="680" t="s">
        <v>1321</v>
      </c>
      <c r="E62" s="674" t="s">
        <v>1322</v>
      </c>
      <c r="F62" s="680" t="s">
        <v>1318</v>
      </c>
      <c r="G62" s="682" t="s">
        <v>1235</v>
      </c>
      <c r="H62" s="683">
        <v>1.8200000000000001E-2</v>
      </c>
      <c r="I62" s="684">
        <v>0</v>
      </c>
      <c r="J62" s="684">
        <v>0</v>
      </c>
      <c r="K62" s="684">
        <v>0</v>
      </c>
      <c r="L62" s="684">
        <v>0</v>
      </c>
      <c r="M62" s="684">
        <v>0</v>
      </c>
      <c r="N62" s="684">
        <v>0</v>
      </c>
      <c r="O62" s="684">
        <v>0</v>
      </c>
      <c r="P62" s="684">
        <v>0</v>
      </c>
      <c r="Q62" s="684">
        <v>40697.07</v>
      </c>
      <c r="R62" s="684">
        <v>101061.64</v>
      </c>
      <c r="S62" s="684">
        <v>10209.25</v>
      </c>
      <c r="T62" s="684">
        <v>56.69</v>
      </c>
      <c r="U62" s="684">
        <v>0</v>
      </c>
      <c r="V62" s="684">
        <v>0</v>
      </c>
      <c r="W62" s="684">
        <v>0</v>
      </c>
      <c r="X62" s="668">
        <f t="shared" si="1"/>
        <v>152024.65</v>
      </c>
      <c r="Y62" s="684">
        <v>0</v>
      </c>
      <c r="Z62" s="684">
        <v>0</v>
      </c>
      <c r="AA62" s="684">
        <v>0</v>
      </c>
      <c r="AB62" s="13"/>
      <c r="AC62" s="675">
        <f>SUM(I62:AB62)-X62</f>
        <v>152024.65</v>
      </c>
    </row>
    <row r="63" spans="1:29">
      <c r="A63" s="20">
        <v>46</v>
      </c>
      <c r="B63" s="685" t="s">
        <v>1323</v>
      </c>
      <c r="C63" s="685" t="s">
        <v>1324</v>
      </c>
      <c r="D63" s="663" t="s">
        <v>1325</v>
      </c>
      <c r="E63" s="674" t="s">
        <v>1222</v>
      </c>
      <c r="F63" s="663" t="s">
        <v>1326</v>
      </c>
      <c r="G63" s="660" t="s">
        <v>1235</v>
      </c>
      <c r="H63" s="686">
        <v>1.8200000000000001E-2</v>
      </c>
      <c r="I63" s="684">
        <v>59.46</v>
      </c>
      <c r="J63" s="684">
        <v>63.47</v>
      </c>
      <c r="K63" s="684">
        <v>61.44</v>
      </c>
      <c r="L63" s="684">
        <v>60.45</v>
      </c>
      <c r="M63" s="684">
        <v>60.13</v>
      </c>
      <c r="N63" s="684">
        <v>65.97</v>
      </c>
      <c r="O63" s="684">
        <v>57.6</v>
      </c>
      <c r="P63" s="684">
        <v>4879.1099999999997</v>
      </c>
      <c r="Q63" s="684">
        <v>82.03</v>
      </c>
      <c r="R63" s="684">
        <v>50.42</v>
      </c>
      <c r="S63" s="684">
        <v>114.43</v>
      </c>
      <c r="T63" s="684">
        <v>77.38</v>
      </c>
      <c r="U63" s="684">
        <v>73.209999999999994</v>
      </c>
      <c r="V63" s="684">
        <v>85.69</v>
      </c>
      <c r="W63" s="684">
        <v>125.23</v>
      </c>
      <c r="X63" s="668">
        <f t="shared" si="1"/>
        <v>5916.0199999999986</v>
      </c>
      <c r="Y63" s="684">
        <v>89.88</v>
      </c>
      <c r="Z63" s="684">
        <v>618.11</v>
      </c>
      <c r="AA63" s="684">
        <v>85074.18</v>
      </c>
      <c r="AB63" s="13"/>
      <c r="AC63" s="675">
        <f>SUM(I63:AB63)-X63</f>
        <v>91698.189999999988</v>
      </c>
    </row>
    <row r="64" spans="1:29">
      <c r="A64" s="20">
        <v>47</v>
      </c>
      <c r="B64" s="685" t="s">
        <v>1327</v>
      </c>
      <c r="C64" s="685" t="s">
        <v>1328</v>
      </c>
      <c r="D64" s="663" t="s">
        <v>1329</v>
      </c>
      <c r="E64" s="674" t="s">
        <v>1330</v>
      </c>
      <c r="F64" s="663" t="s">
        <v>1191</v>
      </c>
      <c r="G64" s="660" t="s">
        <v>1226</v>
      </c>
      <c r="H64" s="686">
        <v>1.2500000000000001E-2</v>
      </c>
      <c r="I64" s="665">
        <v>0</v>
      </c>
      <c r="J64" s="665">
        <v>0</v>
      </c>
      <c r="K64" s="665">
        <v>0</v>
      </c>
      <c r="L64" s="665">
        <v>0</v>
      </c>
      <c r="M64" s="665">
        <v>0</v>
      </c>
      <c r="N64" s="665">
        <v>0</v>
      </c>
      <c r="O64" s="665">
        <v>0</v>
      </c>
      <c r="P64" s="665">
        <v>0</v>
      </c>
      <c r="Q64" s="665">
        <v>0</v>
      </c>
      <c r="R64" s="665">
        <v>0</v>
      </c>
      <c r="S64" s="665">
        <v>0</v>
      </c>
      <c r="T64" s="665">
        <v>0</v>
      </c>
      <c r="U64" s="665">
        <v>0</v>
      </c>
      <c r="V64" s="665">
        <v>0</v>
      </c>
      <c r="W64" s="665">
        <v>0</v>
      </c>
      <c r="X64" s="668">
        <f t="shared" si="1"/>
        <v>0</v>
      </c>
      <c r="Y64" s="665">
        <v>0</v>
      </c>
      <c r="Z64" s="665">
        <v>0</v>
      </c>
      <c r="AA64" s="665">
        <v>0</v>
      </c>
      <c r="AB64" s="13"/>
      <c r="AC64" s="666">
        <f>SUM(I64:AB64)</f>
        <v>0</v>
      </c>
    </row>
    <row r="65" spans="1:29">
      <c r="A65" s="20">
        <v>48</v>
      </c>
      <c r="B65" s="685" t="s">
        <v>1331</v>
      </c>
      <c r="C65" s="685" t="s">
        <v>1332</v>
      </c>
      <c r="D65" s="663" t="s">
        <v>1333</v>
      </c>
      <c r="E65" s="674" t="s">
        <v>1334</v>
      </c>
      <c r="F65" s="663" t="s">
        <v>1231</v>
      </c>
      <c r="G65" s="660" t="s">
        <v>1226</v>
      </c>
      <c r="H65" s="686">
        <v>1.2500000000000001E-2</v>
      </c>
      <c r="I65" s="665">
        <v>0</v>
      </c>
      <c r="J65" s="665">
        <v>0</v>
      </c>
      <c r="K65" s="665">
        <v>0</v>
      </c>
      <c r="L65" s="665">
        <v>0</v>
      </c>
      <c r="M65" s="665">
        <v>0</v>
      </c>
      <c r="N65" s="665">
        <v>0</v>
      </c>
      <c r="O65" s="665">
        <v>0</v>
      </c>
      <c r="P65" s="665">
        <v>0</v>
      </c>
      <c r="Q65" s="665">
        <v>0</v>
      </c>
      <c r="R65" s="665">
        <v>0</v>
      </c>
      <c r="S65" s="665">
        <v>0</v>
      </c>
      <c r="T65" s="665">
        <v>0</v>
      </c>
      <c r="U65" s="665">
        <v>0</v>
      </c>
      <c r="V65" s="665">
        <v>0</v>
      </c>
      <c r="W65" s="665">
        <v>0</v>
      </c>
      <c r="X65" s="668">
        <f t="shared" si="1"/>
        <v>0</v>
      </c>
      <c r="Y65" s="665">
        <v>0</v>
      </c>
      <c r="Z65" s="665">
        <v>0</v>
      </c>
      <c r="AA65" s="665">
        <v>0</v>
      </c>
      <c r="AB65" s="13"/>
      <c r="AC65" s="666">
        <f>SUM(I65:AB65)</f>
        <v>0</v>
      </c>
    </row>
    <row r="66" spans="1:29">
      <c r="A66" s="20">
        <v>49</v>
      </c>
      <c r="B66" s="679" t="s">
        <v>1335</v>
      </c>
      <c r="C66" s="679" t="s">
        <v>1336</v>
      </c>
      <c r="D66" s="680" t="s">
        <v>1337</v>
      </c>
      <c r="E66" s="674" t="s">
        <v>1338</v>
      </c>
      <c r="F66" s="680" t="s">
        <v>1191</v>
      </c>
      <c r="G66" s="682" t="s">
        <v>1226</v>
      </c>
      <c r="H66" s="683">
        <v>1.2500000000000001E-2</v>
      </c>
      <c r="I66" s="684">
        <v>0</v>
      </c>
      <c r="J66" s="684">
        <v>0</v>
      </c>
      <c r="K66" s="684">
        <v>0</v>
      </c>
      <c r="L66" s="684">
        <v>0</v>
      </c>
      <c r="M66" s="684">
        <v>0</v>
      </c>
      <c r="N66" s="684">
        <v>0</v>
      </c>
      <c r="O66" s="684">
        <v>0</v>
      </c>
      <c r="P66" s="684">
        <v>0</v>
      </c>
      <c r="Q66" s="684">
        <v>0</v>
      </c>
      <c r="R66" s="684">
        <v>0</v>
      </c>
      <c r="S66" s="684">
        <v>0</v>
      </c>
      <c r="T66" s="684">
        <v>0</v>
      </c>
      <c r="U66" s="684">
        <v>0</v>
      </c>
      <c r="V66" s="684">
        <v>0</v>
      </c>
      <c r="W66" s="684">
        <v>0</v>
      </c>
      <c r="X66" s="668">
        <f t="shared" si="1"/>
        <v>0</v>
      </c>
      <c r="Y66" s="684">
        <v>0</v>
      </c>
      <c r="Z66" s="684">
        <v>0</v>
      </c>
      <c r="AA66" s="684">
        <v>0</v>
      </c>
      <c r="AB66" s="13"/>
      <c r="AC66" s="666">
        <f>SUM(I66:AB66)</f>
        <v>0</v>
      </c>
    </row>
    <row r="67" spans="1:29">
      <c r="A67" s="20">
        <v>50</v>
      </c>
      <c r="B67" s="679" t="s">
        <v>1339</v>
      </c>
      <c r="C67" s="679" t="s">
        <v>1340</v>
      </c>
      <c r="D67" s="680" t="s">
        <v>1341</v>
      </c>
      <c r="E67" s="674" t="s">
        <v>1342</v>
      </c>
      <c r="F67" s="680" t="s">
        <v>1318</v>
      </c>
      <c r="G67" s="691" t="s">
        <v>1226</v>
      </c>
      <c r="H67" s="692">
        <v>1.2500000000000001E-2</v>
      </c>
      <c r="I67" s="684">
        <v>0</v>
      </c>
      <c r="J67" s="684">
        <v>0</v>
      </c>
      <c r="K67" s="684">
        <v>0</v>
      </c>
      <c r="L67" s="684">
        <v>0</v>
      </c>
      <c r="M67" s="684">
        <v>0</v>
      </c>
      <c r="N67" s="684">
        <v>0</v>
      </c>
      <c r="O67" s="684">
        <v>0</v>
      </c>
      <c r="P67" s="684">
        <v>0</v>
      </c>
      <c r="Q67" s="684">
        <v>0</v>
      </c>
      <c r="R67" s="684">
        <v>0</v>
      </c>
      <c r="S67" s="684">
        <v>0</v>
      </c>
      <c r="T67" s="684">
        <v>0</v>
      </c>
      <c r="U67" s="684">
        <v>0</v>
      </c>
      <c r="V67" s="684">
        <v>0</v>
      </c>
      <c r="W67" s="684">
        <v>9051.64</v>
      </c>
      <c r="X67" s="668">
        <f t="shared" si="1"/>
        <v>9051.64</v>
      </c>
      <c r="Y67" s="684">
        <v>487988.5</v>
      </c>
      <c r="Z67" s="684">
        <v>25679.63</v>
      </c>
      <c r="AA67" s="684">
        <v>2777.13</v>
      </c>
      <c r="AB67" s="13"/>
      <c r="AC67" s="669">
        <f t="shared" ref="AC67:AC72" si="4">SUM(I67:AB67)-X67</f>
        <v>525496.9</v>
      </c>
    </row>
    <row r="68" spans="1:29">
      <c r="A68" s="20">
        <v>51</v>
      </c>
      <c r="B68" s="679" t="s">
        <v>1343</v>
      </c>
      <c r="C68" s="679" t="s">
        <v>1344</v>
      </c>
      <c r="D68" s="680" t="s">
        <v>1345</v>
      </c>
      <c r="E68" s="674" t="s">
        <v>1346</v>
      </c>
      <c r="F68" s="680" t="s">
        <v>1318</v>
      </c>
      <c r="G68" s="691" t="s">
        <v>1226</v>
      </c>
      <c r="H68" s="692">
        <v>1.2500000000000001E-2</v>
      </c>
      <c r="I68" s="684">
        <v>0</v>
      </c>
      <c r="J68" s="684">
        <v>0</v>
      </c>
      <c r="K68" s="684">
        <v>0</v>
      </c>
      <c r="L68" s="684">
        <v>0</v>
      </c>
      <c r="M68" s="684">
        <v>0</v>
      </c>
      <c r="N68" s="684">
        <v>0</v>
      </c>
      <c r="O68" s="684">
        <v>0</v>
      </c>
      <c r="P68" s="684">
        <v>0</v>
      </c>
      <c r="Q68" s="684">
        <v>0</v>
      </c>
      <c r="R68" s="684">
        <v>0</v>
      </c>
      <c r="S68" s="684">
        <v>0</v>
      </c>
      <c r="T68" s="684">
        <v>0</v>
      </c>
      <c r="U68" s="684">
        <v>0</v>
      </c>
      <c r="V68" s="684">
        <v>0</v>
      </c>
      <c r="W68" s="684">
        <v>11892.46</v>
      </c>
      <c r="X68" s="668">
        <f t="shared" si="1"/>
        <v>11892.46</v>
      </c>
      <c r="Y68" s="684">
        <v>525106.31000000006</v>
      </c>
      <c r="Z68" s="684">
        <v>-14338.9</v>
      </c>
      <c r="AA68" s="684">
        <v>244.91</v>
      </c>
      <c r="AB68" s="13"/>
      <c r="AC68" s="669">
        <f t="shared" si="4"/>
        <v>522904.78000000009</v>
      </c>
    </row>
    <row r="69" spans="1:29">
      <c r="A69" s="20">
        <v>52</v>
      </c>
      <c r="B69" s="679" t="s">
        <v>1347</v>
      </c>
      <c r="C69" s="679" t="s">
        <v>1348</v>
      </c>
      <c r="D69" s="680" t="s">
        <v>1349</v>
      </c>
      <c r="E69" s="674" t="s">
        <v>1350</v>
      </c>
      <c r="F69" s="680" t="s">
        <v>1262</v>
      </c>
      <c r="G69" s="691" t="s">
        <v>1226</v>
      </c>
      <c r="H69" s="692">
        <v>1.2500000000000001E-2</v>
      </c>
      <c r="I69" s="684">
        <v>0</v>
      </c>
      <c r="J69" s="684">
        <v>0</v>
      </c>
      <c r="K69" s="684">
        <v>0</v>
      </c>
      <c r="L69" s="684">
        <v>0</v>
      </c>
      <c r="M69" s="684">
        <v>0</v>
      </c>
      <c r="N69" s="684">
        <v>0</v>
      </c>
      <c r="O69" s="684">
        <v>0</v>
      </c>
      <c r="P69" s="684">
        <v>0</v>
      </c>
      <c r="Q69" s="684">
        <v>0</v>
      </c>
      <c r="R69" s="684">
        <v>0</v>
      </c>
      <c r="S69" s="684">
        <v>0</v>
      </c>
      <c r="T69" s="684">
        <v>0</v>
      </c>
      <c r="U69" s="684">
        <v>0</v>
      </c>
      <c r="V69" s="684">
        <v>0</v>
      </c>
      <c r="W69" s="684">
        <v>0</v>
      </c>
      <c r="X69" s="668">
        <f t="shared" si="1"/>
        <v>0</v>
      </c>
      <c r="Y69" s="684">
        <v>0</v>
      </c>
      <c r="Z69" s="684">
        <v>0</v>
      </c>
      <c r="AA69" s="684">
        <v>0</v>
      </c>
      <c r="AB69" s="13"/>
      <c r="AC69" s="669">
        <f t="shared" si="4"/>
        <v>0</v>
      </c>
    </row>
    <row r="70" spans="1:29">
      <c r="A70" s="20">
        <v>53</v>
      </c>
      <c r="B70" s="679" t="s">
        <v>1351</v>
      </c>
      <c r="C70" s="679" t="s">
        <v>1352</v>
      </c>
      <c r="D70" s="680" t="s">
        <v>1353</v>
      </c>
      <c r="E70" s="674" t="s">
        <v>1222</v>
      </c>
      <c r="F70" s="680" t="s">
        <v>1251</v>
      </c>
      <c r="G70" s="691" t="s">
        <v>1235</v>
      </c>
      <c r="H70" s="692">
        <v>1.8200000000000001E-2</v>
      </c>
      <c r="I70" s="693">
        <v>0</v>
      </c>
      <c r="J70" s="693">
        <v>0</v>
      </c>
      <c r="K70" s="693">
        <v>0</v>
      </c>
      <c r="L70" s="693">
        <v>0</v>
      </c>
      <c r="M70" s="693">
        <v>0</v>
      </c>
      <c r="N70" s="693">
        <v>0</v>
      </c>
      <c r="O70" s="693">
        <v>0</v>
      </c>
      <c r="P70" s="693">
        <v>0</v>
      </c>
      <c r="Q70" s="693">
        <v>0</v>
      </c>
      <c r="R70" s="693">
        <v>0</v>
      </c>
      <c r="S70" s="693">
        <v>0</v>
      </c>
      <c r="T70" s="693">
        <v>0</v>
      </c>
      <c r="U70" s="693">
        <v>0</v>
      </c>
      <c r="V70" s="693">
        <v>0</v>
      </c>
      <c r="W70" s="693">
        <v>0</v>
      </c>
      <c r="X70" s="668">
        <f t="shared" si="1"/>
        <v>0</v>
      </c>
      <c r="Y70" s="693">
        <v>0</v>
      </c>
      <c r="Z70" s="693">
        <v>0</v>
      </c>
      <c r="AA70" s="693">
        <v>8554.0400000000009</v>
      </c>
      <c r="AB70" s="13"/>
      <c r="AC70" s="669">
        <f t="shared" si="4"/>
        <v>8554.0400000000009</v>
      </c>
    </row>
    <row r="71" spans="1:29">
      <c r="A71" s="20">
        <v>54</v>
      </c>
      <c r="B71" s="679" t="s">
        <v>1354</v>
      </c>
      <c r="C71" s="679" t="s">
        <v>1355</v>
      </c>
      <c r="D71" s="680" t="s">
        <v>1356</v>
      </c>
      <c r="E71" s="681" t="s">
        <v>1222</v>
      </c>
      <c r="F71" s="680" t="s">
        <v>1326</v>
      </c>
      <c r="G71" s="682" t="s">
        <v>1192</v>
      </c>
      <c r="H71" s="683">
        <v>1.2500000000000001E-2</v>
      </c>
      <c r="I71" s="684">
        <v>0</v>
      </c>
      <c r="J71" s="684">
        <v>0</v>
      </c>
      <c r="K71" s="684">
        <v>0</v>
      </c>
      <c r="L71" s="684">
        <v>0</v>
      </c>
      <c r="M71" s="684">
        <v>0</v>
      </c>
      <c r="N71" s="684">
        <v>0</v>
      </c>
      <c r="O71" s="684">
        <v>0</v>
      </c>
      <c r="P71" s="684">
        <v>0</v>
      </c>
      <c r="Q71" s="684">
        <v>0</v>
      </c>
      <c r="R71" s="684">
        <v>0</v>
      </c>
      <c r="S71" s="684">
        <v>0</v>
      </c>
      <c r="T71" s="684">
        <v>0</v>
      </c>
      <c r="U71" s="684">
        <v>0</v>
      </c>
      <c r="V71" s="684">
        <v>0</v>
      </c>
      <c r="W71" s="684">
        <v>0</v>
      </c>
      <c r="X71" s="668">
        <f t="shared" si="1"/>
        <v>0</v>
      </c>
      <c r="Y71" s="684">
        <v>0</v>
      </c>
      <c r="Z71" s="684">
        <v>26682.07</v>
      </c>
      <c r="AA71" s="684">
        <v>1462.08</v>
      </c>
      <c r="AB71" s="13"/>
      <c r="AC71" s="669">
        <f t="shared" si="4"/>
        <v>28144.15</v>
      </c>
    </row>
    <row r="72" spans="1:29">
      <c r="A72" s="20">
        <v>55</v>
      </c>
      <c r="B72" s="687"/>
      <c r="C72" s="687"/>
      <c r="D72" s="83" t="s">
        <v>1604</v>
      </c>
      <c r="E72" s="551"/>
      <c r="F72" s="83"/>
      <c r="G72" s="401"/>
      <c r="H72" s="688"/>
      <c r="I72" s="668"/>
      <c r="J72" s="668"/>
      <c r="K72" s="668"/>
      <c r="L72" s="668"/>
      <c r="M72" s="668"/>
      <c r="N72" s="668"/>
      <c r="O72" s="668"/>
      <c r="P72" s="668"/>
      <c r="Q72" s="668"/>
      <c r="R72" s="668"/>
      <c r="S72" s="668"/>
      <c r="T72" s="668"/>
      <c r="U72" s="668"/>
      <c r="V72" s="668"/>
      <c r="W72" s="668"/>
      <c r="X72" s="668"/>
      <c r="Y72" s="668"/>
      <c r="Z72" s="668">
        <v>15452.49</v>
      </c>
      <c r="AA72" s="668">
        <v>537465.21</v>
      </c>
      <c r="AB72" s="13"/>
      <c r="AC72" s="669">
        <f t="shared" si="4"/>
        <v>552917.69999999995</v>
      </c>
    </row>
    <row r="73" spans="1:29">
      <c r="A73" s="20">
        <v>56</v>
      </c>
      <c r="B73" s="687"/>
      <c r="C73" s="687"/>
      <c r="D73" s="83" t="s">
        <v>1357</v>
      </c>
      <c r="E73" s="551"/>
      <c r="F73" s="83"/>
      <c r="G73" s="401"/>
      <c r="H73" s="688"/>
      <c r="I73" s="668"/>
      <c r="J73" s="668"/>
      <c r="K73" s="668"/>
      <c r="L73" s="668"/>
      <c r="M73" s="668"/>
      <c r="N73" s="668"/>
      <c r="O73" s="668"/>
      <c r="P73" s="668"/>
      <c r="Q73" s="668"/>
      <c r="R73" s="668"/>
      <c r="S73" s="668"/>
      <c r="T73" s="668"/>
      <c r="U73" s="668"/>
      <c r="V73" s="668"/>
      <c r="W73" s="668"/>
      <c r="X73" s="668"/>
      <c r="Y73" s="668"/>
      <c r="Z73" s="668"/>
      <c r="AA73" s="668"/>
      <c r="AB73" s="13"/>
      <c r="AC73" s="669"/>
    </row>
    <row r="74" spans="1:29">
      <c r="B74" s="687"/>
      <c r="C74" s="687"/>
      <c r="D74" s="13"/>
      <c r="E74" s="12"/>
      <c r="F74" s="13"/>
      <c r="G74" s="403"/>
      <c r="H74" s="694"/>
      <c r="I74" s="695"/>
      <c r="J74" s="695"/>
      <c r="K74" s="695"/>
      <c r="L74" s="695"/>
      <c r="M74" s="695"/>
      <c r="N74" s="695"/>
      <c r="O74" s="695"/>
      <c r="P74" s="695"/>
      <c r="Q74" s="695"/>
      <c r="R74" s="695"/>
      <c r="S74" s="695"/>
      <c r="T74" s="695"/>
      <c r="U74" s="695"/>
      <c r="V74" s="695"/>
      <c r="W74" s="695"/>
      <c r="X74" s="695"/>
      <c r="Y74" s="695"/>
      <c r="Z74" s="695"/>
      <c r="AA74" s="695"/>
      <c r="AB74" s="13"/>
      <c r="AC74" s="696"/>
    </row>
    <row r="75" spans="1:29">
      <c r="A75" s="20">
        <v>57</v>
      </c>
      <c r="B75" s="687"/>
      <c r="C75" s="687"/>
      <c r="D75" s="13"/>
      <c r="E75" s="12"/>
      <c r="F75" s="13"/>
      <c r="G75" s="403"/>
      <c r="H75" s="694"/>
      <c r="I75" s="695">
        <f>SUM(I17:I74)</f>
        <v>2543.4900000000002</v>
      </c>
      <c r="J75" s="695">
        <f t="shared" ref="J75:AA75" si="5">SUM(J17:J74)</f>
        <v>43379.76</v>
      </c>
      <c r="K75" s="695">
        <f t="shared" si="5"/>
        <v>675435.17999999993</v>
      </c>
      <c r="L75" s="695">
        <f t="shared" si="5"/>
        <v>2443075.6799999997</v>
      </c>
      <c r="M75" s="695">
        <f t="shared" si="5"/>
        <v>1938153.3699999996</v>
      </c>
      <c r="N75" s="695">
        <f t="shared" si="5"/>
        <v>1899546.71</v>
      </c>
      <c r="O75" s="695">
        <f t="shared" si="5"/>
        <v>213919.01999999996</v>
      </c>
      <c r="P75" s="695">
        <f t="shared" si="5"/>
        <v>144194.99</v>
      </c>
      <c r="Q75" s="695">
        <f t="shared" si="5"/>
        <v>1124446.07</v>
      </c>
      <c r="R75" s="695">
        <f t="shared" si="5"/>
        <v>263989.18</v>
      </c>
      <c r="S75" s="695">
        <f t="shared" si="5"/>
        <v>737864.83</v>
      </c>
      <c r="T75" s="695">
        <f t="shared" si="5"/>
        <v>2649288.5499999998</v>
      </c>
      <c r="U75" s="695">
        <f t="shared" si="5"/>
        <v>567774.77</v>
      </c>
      <c r="V75" s="695">
        <f t="shared" si="5"/>
        <v>718706.01</v>
      </c>
      <c r="W75" s="695">
        <f t="shared" si="5"/>
        <v>813985.73</v>
      </c>
      <c r="X75" s="695">
        <f t="shared" si="5"/>
        <v>14236303.340000004</v>
      </c>
      <c r="Y75" s="695">
        <f t="shared" si="5"/>
        <v>3001996.63</v>
      </c>
      <c r="Z75" s="695">
        <f t="shared" si="5"/>
        <v>785203.16999999993</v>
      </c>
      <c r="AA75" s="695">
        <f t="shared" si="5"/>
        <v>2086444.94</v>
      </c>
      <c r="AB75" s="13"/>
      <c r="AC75" s="696">
        <f>SUM(AC17:AC74)</f>
        <v>20109948.079999994</v>
      </c>
    </row>
    <row r="76" spans="1:29" ht="27">
      <c r="B76" s="959" t="s">
        <v>2021</v>
      </c>
      <c r="C76" s="943"/>
      <c r="E76" s="7"/>
      <c r="G76" s="657"/>
      <c r="H76" s="658"/>
      <c r="I76" s="409"/>
      <c r="J76" s="409"/>
      <c r="K76" s="959" t="s">
        <v>2021</v>
      </c>
      <c r="L76" s="409"/>
      <c r="M76" s="409"/>
      <c r="N76" s="409"/>
      <c r="O76" s="409"/>
      <c r="P76" s="409"/>
      <c r="Q76" s="409"/>
      <c r="R76" s="409"/>
      <c r="S76" s="409"/>
      <c r="T76" s="409"/>
      <c r="U76" s="959" t="s">
        <v>2021</v>
      </c>
      <c r="V76" s="409"/>
      <c r="W76" s="409"/>
      <c r="X76" s="409"/>
      <c r="Y76" s="409"/>
      <c r="Z76" s="409"/>
      <c r="AA76" s="409"/>
      <c r="AC76" s="409"/>
    </row>
    <row r="77" spans="1:29">
      <c r="A77" s="20">
        <v>58</v>
      </c>
      <c r="B77" s="7"/>
      <c r="C77" s="17"/>
      <c r="E77" s="7"/>
      <c r="G77" s="657"/>
      <c r="H77" s="658"/>
      <c r="I77" s="409"/>
      <c r="J77" s="697">
        <f>+J75+I75</f>
        <v>45923.25</v>
      </c>
      <c r="K77" s="697">
        <f>+J77+K75</f>
        <v>721358.42999999993</v>
      </c>
      <c r="L77" s="697">
        <f t="shared" ref="L77:AA77" si="6">+K77+L75</f>
        <v>3164434.1099999994</v>
      </c>
      <c r="M77" s="697">
        <f t="shared" si="6"/>
        <v>5102587.4799999986</v>
      </c>
      <c r="N77" s="697">
        <f t="shared" si="6"/>
        <v>7002134.1899999985</v>
      </c>
      <c r="O77" s="697">
        <f t="shared" si="6"/>
        <v>7216053.2099999981</v>
      </c>
      <c r="P77" s="697">
        <f t="shared" si="6"/>
        <v>7360248.1999999983</v>
      </c>
      <c r="Q77" s="697">
        <f t="shared" si="6"/>
        <v>8484694.2699999977</v>
      </c>
      <c r="R77" s="697">
        <f t="shared" si="6"/>
        <v>8748683.4499999974</v>
      </c>
      <c r="S77" s="697">
        <f t="shared" si="6"/>
        <v>9486548.2799999975</v>
      </c>
      <c r="T77" s="697">
        <f t="shared" si="6"/>
        <v>12135836.829999998</v>
      </c>
      <c r="U77" s="697">
        <f t="shared" si="6"/>
        <v>12703611.599999998</v>
      </c>
      <c r="V77" s="697">
        <f t="shared" si="6"/>
        <v>13422317.609999998</v>
      </c>
      <c r="W77" s="697">
        <f t="shared" si="6"/>
        <v>14236303.339999998</v>
      </c>
      <c r="X77" s="697"/>
      <c r="Y77" s="697">
        <f>+W77+Y75</f>
        <v>17238299.969999999</v>
      </c>
      <c r="Z77" s="697">
        <f t="shared" si="6"/>
        <v>18023503.140000001</v>
      </c>
      <c r="AA77" s="697">
        <f t="shared" si="6"/>
        <v>20109948.080000002</v>
      </c>
      <c r="AC77" s="409"/>
    </row>
    <row r="78" spans="1:29">
      <c r="B78" s="7"/>
      <c r="C78" s="17"/>
      <c r="E78" s="7"/>
      <c r="G78" s="657"/>
      <c r="H78" s="658"/>
      <c r="I78" s="409"/>
      <c r="J78" s="409"/>
      <c r="K78" s="409"/>
      <c r="L78" s="409"/>
      <c r="M78" s="409"/>
      <c r="N78" s="409"/>
      <c r="O78" s="409"/>
      <c r="P78" s="409"/>
      <c r="Q78" s="409"/>
      <c r="R78" s="409"/>
      <c r="S78" s="409"/>
      <c r="T78" s="409"/>
      <c r="U78" s="409"/>
      <c r="V78" s="409"/>
      <c r="W78" s="409"/>
      <c r="X78" s="409"/>
      <c r="Y78" s="409"/>
      <c r="Z78" s="409"/>
      <c r="AA78" s="409"/>
      <c r="AC78" s="409"/>
    </row>
    <row r="79" spans="1:29">
      <c r="A79" s="20">
        <v>59</v>
      </c>
      <c r="B79" s="7"/>
      <c r="C79" s="17"/>
      <c r="D79" s="5" t="s">
        <v>1909</v>
      </c>
      <c r="E79" s="7"/>
      <c r="G79" s="657"/>
      <c r="H79" s="658"/>
      <c r="I79" s="409"/>
      <c r="J79" s="409"/>
      <c r="K79" s="409"/>
      <c r="L79" s="409"/>
      <c r="M79" s="409"/>
      <c r="N79" s="409"/>
      <c r="O79" s="409"/>
      <c r="P79" s="409"/>
      <c r="Q79" s="409"/>
      <c r="R79" s="409"/>
      <c r="S79" s="409"/>
      <c r="T79" s="409"/>
      <c r="U79" s="409"/>
      <c r="V79" s="409"/>
      <c r="W79" s="409"/>
      <c r="X79" s="409"/>
      <c r="Y79" s="409"/>
      <c r="Z79" s="409"/>
      <c r="AA79" s="698">
        <f>(((+AA77+N77)/2)+SUM(O77:Z77))/12</f>
        <v>11884345.086249998</v>
      </c>
      <c r="AC79" s="409"/>
    </row>
    <row r="80" spans="1:29">
      <c r="B80" s="7"/>
      <c r="C80" s="17"/>
      <c r="E80" s="7"/>
      <c r="G80" s="657"/>
      <c r="H80" s="658"/>
      <c r="I80" s="409"/>
      <c r="J80" s="409"/>
      <c r="K80" s="409"/>
      <c r="L80" s="409"/>
      <c r="M80" s="409"/>
      <c r="N80" s="409"/>
      <c r="O80" s="409"/>
      <c r="P80" s="409"/>
      <c r="Q80" s="409"/>
      <c r="R80" s="409"/>
      <c r="S80" s="409"/>
      <c r="T80" s="409"/>
      <c r="U80" s="409"/>
      <c r="V80" s="409"/>
      <c r="W80" s="409"/>
      <c r="X80" s="409"/>
      <c r="Y80" s="409"/>
      <c r="Z80" s="409"/>
      <c r="AA80" s="409"/>
      <c r="AC80" s="409"/>
    </row>
  </sheetData>
  <mergeCells count="15">
    <mergeCell ref="X1:Z1"/>
    <mergeCell ref="X2:Z2"/>
    <mergeCell ref="X3:Z3"/>
    <mergeCell ref="X4:Z4"/>
    <mergeCell ref="X5:Z5"/>
    <mergeCell ref="N1:Q1"/>
    <mergeCell ref="N2:Q2"/>
    <mergeCell ref="N3:Q3"/>
    <mergeCell ref="N4:Q4"/>
    <mergeCell ref="N5:Q5"/>
    <mergeCell ref="B1:H1"/>
    <mergeCell ref="B2:H2"/>
    <mergeCell ref="B3:H3"/>
    <mergeCell ref="B4:H4"/>
    <mergeCell ref="B5:H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EO66"/>
  <sheetViews>
    <sheetView topLeftCell="F17" workbookViewId="0">
      <selection activeCell="A25" sqref="A25"/>
    </sheetView>
  </sheetViews>
  <sheetFormatPr defaultColWidth="9.140625" defaultRowHeight="15.75"/>
  <cols>
    <col min="1" max="1" width="3.28515625" style="5" bestFit="1" customWidth="1"/>
    <col min="2" max="2" width="2.85546875" style="5" customWidth="1"/>
    <col min="3" max="3" width="31.140625" style="5" customWidth="1"/>
    <col min="4" max="4" width="1.7109375" style="5" customWidth="1"/>
    <col min="5" max="5" width="1.42578125" style="5" customWidth="1"/>
    <col min="6" max="6" width="1.140625" style="5" customWidth="1"/>
    <col min="7" max="7" width="13.28515625" style="5" bestFit="1" customWidth="1"/>
    <col min="8" max="8" width="11.42578125" style="5" bestFit="1" customWidth="1"/>
    <col min="9" max="9" width="12.7109375" style="5" bestFit="1" customWidth="1"/>
    <col min="10" max="10" width="12.42578125" style="5" customWidth="1"/>
    <col min="11" max="12" width="15.7109375" style="5" bestFit="1" customWidth="1"/>
    <col min="13" max="13" width="14.5703125" style="5" bestFit="1" customWidth="1"/>
    <col min="14" max="14" width="0.42578125" style="5" customWidth="1"/>
    <col min="15" max="16" width="16.140625" style="5" customWidth="1"/>
    <col min="17" max="17" width="6" style="5" customWidth="1"/>
    <col min="18" max="18" width="11.42578125" style="5" bestFit="1" customWidth="1"/>
    <col min="19" max="19" width="12" style="134" bestFit="1" customWidth="1"/>
    <col min="20" max="20" width="13.28515625" style="5" bestFit="1" customWidth="1"/>
    <col min="21" max="22" width="11" style="5" bestFit="1" customWidth="1"/>
    <col min="23" max="23" width="12" style="5" bestFit="1" customWidth="1"/>
    <col min="24" max="24" width="12.7109375" style="5" bestFit="1" customWidth="1"/>
    <col min="25" max="25" width="12.5703125" style="5" customWidth="1"/>
    <col min="26" max="26" width="12.7109375" style="5" bestFit="1" customWidth="1"/>
    <col min="27" max="27" width="12.28515625" style="5" hidden="1" customWidth="1"/>
    <col min="28" max="31" width="9.28515625" style="5" hidden="1" customWidth="1"/>
    <col min="32" max="32" width="2.140625" style="5" customWidth="1"/>
    <col min="33" max="33" width="13.7109375" style="5" bestFit="1" customWidth="1"/>
    <col min="34" max="16384" width="9.140625" style="5"/>
  </cols>
  <sheetData>
    <row r="1" spans="1:34">
      <c r="A1" s="101"/>
      <c r="B1" s="101"/>
      <c r="C1" s="101"/>
      <c r="D1" s="101"/>
      <c r="E1" s="101"/>
      <c r="F1" s="101"/>
      <c r="G1" s="101"/>
      <c r="H1" s="101"/>
      <c r="I1" s="101"/>
      <c r="J1" s="101"/>
      <c r="K1" s="101"/>
      <c r="L1" s="101"/>
      <c r="M1" s="101"/>
      <c r="N1" s="101"/>
      <c r="O1" s="101"/>
      <c r="P1" s="101"/>
      <c r="Q1" s="101"/>
      <c r="R1" s="101"/>
      <c r="S1" s="133"/>
      <c r="T1" s="101"/>
      <c r="U1" s="101"/>
      <c r="V1" s="101"/>
      <c r="W1" s="101"/>
      <c r="X1" s="101"/>
      <c r="Y1" s="101"/>
      <c r="Z1" s="101"/>
      <c r="AA1" s="101"/>
      <c r="AB1" s="101"/>
      <c r="AC1" s="101"/>
      <c r="AD1" s="101"/>
      <c r="AE1" s="101"/>
      <c r="AF1" s="101"/>
      <c r="AG1" s="101"/>
    </row>
    <row r="2" spans="1:34">
      <c r="A2" s="5" t="s">
        <v>52</v>
      </c>
    </row>
    <row r="3" spans="1:34">
      <c r="T3" s="1287"/>
      <c r="U3" s="1287"/>
      <c r="V3" s="1287"/>
      <c r="W3" s="1287"/>
      <c r="X3" s="1287"/>
      <c r="Y3" s="1287"/>
      <c r="Z3" s="1287"/>
      <c r="AA3" s="1287"/>
      <c r="AB3" s="1287"/>
      <c r="AC3" s="1287"/>
      <c r="AD3" s="1287"/>
      <c r="AE3" s="1287"/>
      <c r="AF3" s="1287"/>
      <c r="AG3" s="1287"/>
      <c r="AH3" s="1287"/>
    </row>
    <row r="4" spans="1:34">
      <c r="T4" s="1287"/>
      <c r="U4" s="1287"/>
      <c r="V4" s="1287"/>
      <c r="W4" s="1287"/>
      <c r="X4" s="1287"/>
      <c r="Y4" s="1287"/>
      <c r="Z4" s="1287"/>
      <c r="AA4" s="1287"/>
      <c r="AB4" s="1287"/>
      <c r="AC4" s="1287"/>
      <c r="AD4" s="1287"/>
      <c r="AE4" s="1287"/>
      <c r="AF4" s="1287"/>
      <c r="AG4" s="1287"/>
      <c r="AH4" s="1287"/>
    </row>
    <row r="5" spans="1:34">
      <c r="B5" s="1285" t="s">
        <v>115</v>
      </c>
      <c r="C5" s="1285"/>
      <c r="D5" s="1285"/>
      <c r="E5" s="1285"/>
      <c r="F5" s="1285"/>
      <c r="G5" s="1285"/>
      <c r="H5" s="1285"/>
      <c r="I5" s="1285"/>
      <c r="J5" s="1285"/>
      <c r="K5" s="1285"/>
      <c r="L5" s="1285"/>
      <c r="M5" s="1285"/>
      <c r="N5" s="1285"/>
      <c r="O5" s="1285"/>
      <c r="P5" s="1285"/>
      <c r="Q5" s="1285"/>
      <c r="R5" s="1285"/>
      <c r="S5" s="1285"/>
      <c r="T5" s="1286"/>
      <c r="U5" s="1286"/>
      <c r="V5" s="1286"/>
      <c r="W5" s="1286"/>
      <c r="X5" s="1286"/>
      <c r="Y5" s="1286"/>
      <c r="Z5" s="1286"/>
      <c r="AA5" s="1286"/>
      <c r="AB5" s="1286"/>
      <c r="AC5" s="1286"/>
      <c r="AD5" s="1286"/>
      <c r="AE5" s="1286"/>
      <c r="AF5" s="1286"/>
      <c r="AG5" s="1286"/>
    </row>
    <row r="6" spans="1:34">
      <c r="A6" s="13"/>
      <c r="B6" s="1285" t="s">
        <v>916</v>
      </c>
      <c r="C6" s="1285"/>
      <c r="D6" s="1285"/>
      <c r="E6" s="1285"/>
      <c r="F6" s="1285"/>
      <c r="G6" s="1285"/>
      <c r="H6" s="1285"/>
      <c r="I6" s="1285"/>
      <c r="J6" s="1285"/>
      <c r="K6" s="1285"/>
      <c r="L6" s="1285"/>
      <c r="M6" s="1285"/>
      <c r="N6" s="1285"/>
      <c r="O6" s="1285"/>
      <c r="P6" s="1285"/>
      <c r="Q6" s="1285"/>
      <c r="R6" s="1285"/>
      <c r="S6" s="1285"/>
      <c r="T6" s="1287"/>
      <c r="U6" s="1287"/>
      <c r="V6" s="1287"/>
      <c r="W6" s="1287"/>
      <c r="X6" s="1287"/>
      <c r="Y6" s="1287"/>
      <c r="Z6" s="1287"/>
      <c r="AA6" s="1287"/>
      <c r="AB6" s="1287"/>
      <c r="AC6" s="1287"/>
      <c r="AD6" s="1287"/>
      <c r="AE6" s="1287"/>
      <c r="AF6" s="1287"/>
      <c r="AG6" s="1287"/>
    </row>
    <row r="7" spans="1:34">
      <c r="A7" s="135" t="s">
        <v>52</v>
      </c>
      <c r="B7" s="1285" t="s">
        <v>980</v>
      </c>
      <c r="C7" s="1285"/>
      <c r="D7" s="1285"/>
      <c r="E7" s="1285"/>
      <c r="F7" s="1285"/>
      <c r="G7" s="1285"/>
      <c r="H7" s="1285"/>
      <c r="I7" s="1285"/>
      <c r="J7" s="1285"/>
      <c r="K7" s="1285"/>
      <c r="L7" s="1285"/>
      <c r="M7" s="1285"/>
      <c r="N7" s="1285"/>
      <c r="O7" s="1285"/>
      <c r="P7" s="1285"/>
      <c r="Q7" s="1285"/>
      <c r="R7" s="1285"/>
      <c r="S7" s="1285"/>
      <c r="T7" s="4"/>
      <c r="U7" s="4"/>
      <c r="V7" s="4"/>
      <c r="W7" s="4"/>
      <c r="X7" s="4"/>
      <c r="Y7" s="4"/>
      <c r="Z7" s="4"/>
      <c r="AA7" s="4"/>
      <c r="AB7" s="4"/>
      <c r="AC7" s="4"/>
      <c r="AD7" s="136"/>
      <c r="AE7" s="136"/>
      <c r="AF7" s="136"/>
      <c r="AG7" s="136"/>
    </row>
    <row r="8" spans="1:34">
      <c r="A8" s="135"/>
      <c r="B8" s="137"/>
      <c r="C8" s="137"/>
      <c r="D8" s="137"/>
      <c r="E8" s="137"/>
      <c r="F8" s="137"/>
      <c r="G8" s="137"/>
      <c r="H8" s="137"/>
      <c r="I8" s="137"/>
      <c r="J8" s="137"/>
      <c r="K8" s="137"/>
      <c r="L8" s="137"/>
      <c r="M8" s="137"/>
      <c r="N8" s="137"/>
      <c r="O8" s="137"/>
      <c r="P8" s="137"/>
      <c r="Q8" s="137"/>
      <c r="R8" s="137"/>
      <c r="S8" s="137"/>
      <c r="T8" s="4"/>
      <c r="U8" s="4"/>
      <c r="V8" s="4"/>
      <c r="W8" s="4"/>
      <c r="X8" s="4"/>
      <c r="Y8" s="4"/>
      <c r="Z8" s="4"/>
      <c r="AA8" s="4"/>
      <c r="AB8" s="4"/>
      <c r="AC8" s="4"/>
      <c r="AD8" s="136"/>
      <c r="AE8" s="136"/>
      <c r="AF8" s="136"/>
      <c r="AG8" s="136"/>
    </row>
    <row r="9" spans="1:34" ht="16.5" thickBot="1">
      <c r="A9" s="102"/>
      <c r="B9" s="102"/>
      <c r="C9" s="102"/>
      <c r="D9" s="102"/>
      <c r="E9" s="102"/>
      <c r="F9" s="101"/>
      <c r="G9" s="138"/>
      <c r="H9" s="101"/>
      <c r="I9" s="101"/>
      <c r="J9" s="101"/>
      <c r="K9" s="101"/>
      <c r="L9" s="101"/>
      <c r="M9" s="101"/>
      <c r="N9" s="101"/>
      <c r="O9" s="101"/>
      <c r="P9" s="101"/>
      <c r="Q9" s="101"/>
      <c r="R9" s="101"/>
      <c r="S9" s="133"/>
      <c r="T9" s="101"/>
      <c r="U9" s="101"/>
      <c r="V9" s="101"/>
      <c r="W9" s="101"/>
      <c r="X9" s="101"/>
      <c r="Y9" s="101"/>
      <c r="Z9" s="101"/>
      <c r="AA9" s="101"/>
      <c r="AB9" s="101"/>
      <c r="AC9" s="101"/>
      <c r="AD9" s="101"/>
      <c r="AE9" s="101"/>
      <c r="AF9" s="101"/>
      <c r="AG9" s="101"/>
    </row>
    <row r="10" spans="1:34">
      <c r="A10" s="139"/>
      <c r="B10" s="140"/>
      <c r="C10" s="141"/>
      <c r="D10" s="142"/>
      <c r="E10" s="143"/>
      <c r="F10" s="101"/>
      <c r="G10" s="1257" t="s">
        <v>884</v>
      </c>
      <c r="H10" s="144" t="s">
        <v>57</v>
      </c>
      <c r="I10" s="1257" t="s">
        <v>968</v>
      </c>
      <c r="J10" s="144" t="s">
        <v>1118</v>
      </c>
      <c r="K10" s="972" t="s">
        <v>2044</v>
      </c>
      <c r="L10" s="972" t="s">
        <v>2044</v>
      </c>
      <c r="M10" s="973" t="s">
        <v>2045</v>
      </c>
      <c r="N10" s="973"/>
      <c r="O10" s="974" t="s">
        <v>2044</v>
      </c>
      <c r="P10" s="972" t="s">
        <v>968</v>
      </c>
      <c r="Q10" s="144"/>
      <c r="R10" s="144" t="s">
        <v>59</v>
      </c>
      <c r="S10" s="1017" t="s">
        <v>925</v>
      </c>
      <c r="T10" s="1028" t="s">
        <v>925</v>
      </c>
      <c r="U10" s="1028" t="s">
        <v>62</v>
      </c>
      <c r="V10" s="1028" t="s">
        <v>925</v>
      </c>
      <c r="W10" s="1047" t="s">
        <v>1017</v>
      </c>
      <c r="X10" s="144" t="s">
        <v>1113</v>
      </c>
      <c r="Y10" s="144" t="s">
        <v>1142</v>
      </c>
      <c r="Z10" s="1257" t="s">
        <v>925</v>
      </c>
      <c r="AA10" s="145"/>
      <c r="AB10" s="145"/>
      <c r="AC10" s="145"/>
      <c r="AD10" s="145"/>
      <c r="AE10" s="145"/>
      <c r="AF10" s="138"/>
      <c r="AG10" s="146" t="s">
        <v>54</v>
      </c>
    </row>
    <row r="11" spans="1:34">
      <c r="A11" s="139"/>
      <c r="B11" s="147"/>
      <c r="C11" s="148"/>
      <c r="D11" s="139"/>
      <c r="E11" s="143"/>
      <c r="F11" s="101"/>
      <c r="G11" s="1271" t="s">
        <v>885</v>
      </c>
      <c r="H11" s="149" t="s">
        <v>53</v>
      </c>
      <c r="I11" s="1258" t="s">
        <v>964</v>
      </c>
      <c r="J11" s="150" t="s">
        <v>1119</v>
      </c>
      <c r="K11" s="975" t="s">
        <v>2046</v>
      </c>
      <c r="L11" s="975" t="s">
        <v>2046</v>
      </c>
      <c r="M11" s="976" t="s">
        <v>2047</v>
      </c>
      <c r="N11" s="976"/>
      <c r="O11" s="977" t="s">
        <v>2048</v>
      </c>
      <c r="P11" s="975" t="s">
        <v>2085</v>
      </c>
      <c r="Q11" s="150"/>
      <c r="R11" s="150" t="s">
        <v>60</v>
      </c>
      <c r="S11" s="1018" t="s">
        <v>929</v>
      </c>
      <c r="T11" s="1029" t="s">
        <v>969</v>
      </c>
      <c r="U11" s="1029" t="s">
        <v>63</v>
      </c>
      <c r="V11" s="1029" t="s">
        <v>1140</v>
      </c>
      <c r="W11" s="1048" t="s">
        <v>1018</v>
      </c>
      <c r="X11" s="150" t="s">
        <v>1114</v>
      </c>
      <c r="Y11" s="150" t="s">
        <v>58</v>
      </c>
      <c r="Z11" s="1258" t="s">
        <v>964</v>
      </c>
      <c r="AA11" s="151"/>
      <c r="AB11" s="151"/>
      <c r="AC11" s="151"/>
      <c r="AD11" s="151"/>
      <c r="AE11" s="151"/>
      <c r="AF11" s="138"/>
      <c r="AG11" s="152" t="s">
        <v>1</v>
      </c>
    </row>
    <row r="12" spans="1:34">
      <c r="A12" s="139"/>
      <c r="B12" s="147"/>
      <c r="C12" s="143"/>
      <c r="D12" s="139"/>
      <c r="E12" s="143"/>
      <c r="F12" s="101"/>
      <c r="G12" s="1258" t="s">
        <v>58</v>
      </c>
      <c r="H12" s="150" t="s">
        <v>58</v>
      </c>
      <c r="I12" s="1258" t="s">
        <v>58</v>
      </c>
      <c r="J12" s="150" t="s">
        <v>1120</v>
      </c>
      <c r="K12" s="975" t="s">
        <v>2049</v>
      </c>
      <c r="L12" s="975" t="s">
        <v>2050</v>
      </c>
      <c r="M12" s="976" t="s">
        <v>2051</v>
      </c>
      <c r="N12" s="976"/>
      <c r="O12" s="977" t="s">
        <v>2052</v>
      </c>
      <c r="P12" s="975" t="s">
        <v>2086</v>
      </c>
      <c r="Q12" s="150"/>
      <c r="R12" s="150" t="s">
        <v>58</v>
      </c>
      <c r="S12" s="1018" t="s">
        <v>58</v>
      </c>
      <c r="T12" s="1029" t="s">
        <v>61</v>
      </c>
      <c r="U12" s="1029"/>
      <c r="V12" s="1029" t="s">
        <v>1141</v>
      </c>
      <c r="W12" s="1048" t="s">
        <v>1019</v>
      </c>
      <c r="X12" s="150" t="s">
        <v>1115</v>
      </c>
      <c r="Y12" s="150"/>
      <c r="Z12" s="1258"/>
      <c r="AA12" s="151"/>
      <c r="AB12" s="151"/>
      <c r="AC12" s="151"/>
      <c r="AD12" s="151"/>
      <c r="AE12" s="151"/>
      <c r="AF12" s="138"/>
      <c r="AG12" s="152"/>
    </row>
    <row r="13" spans="1:34">
      <c r="A13" s="139"/>
      <c r="B13" s="147"/>
      <c r="C13" s="143"/>
      <c r="D13" s="139"/>
      <c r="E13" s="143"/>
      <c r="F13" s="101"/>
      <c r="G13" s="1258" t="s">
        <v>917</v>
      </c>
      <c r="H13" s="150" t="s">
        <v>918</v>
      </c>
      <c r="I13" s="1258" t="s">
        <v>967</v>
      </c>
      <c r="J13" s="150" t="s">
        <v>1139</v>
      </c>
      <c r="K13" s="975" t="s">
        <v>1593</v>
      </c>
      <c r="L13" s="975" t="s">
        <v>1593</v>
      </c>
      <c r="M13" s="976" t="s">
        <v>2053</v>
      </c>
      <c r="N13" s="976"/>
      <c r="O13" s="977" t="s">
        <v>1593</v>
      </c>
      <c r="P13" s="975"/>
      <c r="Q13" s="150"/>
      <c r="R13" s="150" t="s">
        <v>919</v>
      </c>
      <c r="S13" s="1018" t="s">
        <v>920</v>
      </c>
      <c r="T13" s="1029" t="s">
        <v>1143</v>
      </c>
      <c r="U13" s="1029" t="s">
        <v>921</v>
      </c>
      <c r="V13" s="1029" t="s">
        <v>922</v>
      </c>
      <c r="W13" s="1048" t="s">
        <v>923</v>
      </c>
      <c r="X13" s="150" t="s">
        <v>924</v>
      </c>
      <c r="Y13" s="150" t="s">
        <v>1144</v>
      </c>
      <c r="Z13" s="1258" t="s">
        <v>1145</v>
      </c>
      <c r="AA13" s="151"/>
      <c r="AB13" s="151"/>
      <c r="AC13" s="151"/>
      <c r="AD13" s="151"/>
      <c r="AE13" s="151"/>
      <c r="AF13" s="138"/>
      <c r="AG13" s="152"/>
    </row>
    <row r="14" spans="1:34">
      <c r="A14" s="139"/>
      <c r="B14" s="153"/>
      <c r="C14" s="154"/>
      <c r="D14" s="155"/>
      <c r="E14" s="143"/>
      <c r="F14" s="101"/>
      <c r="G14" s="1259" t="s">
        <v>2063</v>
      </c>
      <c r="H14" s="157" t="s">
        <v>2058</v>
      </c>
      <c r="I14" s="1259" t="s">
        <v>2063</v>
      </c>
      <c r="J14" s="157" t="s">
        <v>2063</v>
      </c>
      <c r="K14" s="978" t="s">
        <v>2054</v>
      </c>
      <c r="L14" s="978" t="s">
        <v>2055</v>
      </c>
      <c r="M14" s="979" t="s">
        <v>2056</v>
      </c>
      <c r="N14" s="979"/>
      <c r="O14" s="980" t="s">
        <v>2062</v>
      </c>
      <c r="P14" s="978" t="s">
        <v>2093</v>
      </c>
      <c r="Q14" s="157"/>
      <c r="R14" s="157" t="s">
        <v>2058</v>
      </c>
      <c r="S14" s="1019" t="s">
        <v>2058</v>
      </c>
      <c r="T14" s="1030" t="s">
        <v>2060</v>
      </c>
      <c r="U14" s="1030" t="s">
        <v>2060</v>
      </c>
      <c r="V14" s="1030" t="s">
        <v>2060</v>
      </c>
      <c r="W14" s="1049" t="s">
        <v>2061</v>
      </c>
      <c r="X14" s="157" t="s">
        <v>2060</v>
      </c>
      <c r="Y14" s="157" t="s">
        <v>2061</v>
      </c>
      <c r="Z14" s="1259" t="s">
        <v>2063</v>
      </c>
      <c r="AA14" s="156"/>
      <c r="AB14" s="156"/>
      <c r="AC14" s="156"/>
      <c r="AD14" s="156"/>
      <c r="AE14" s="156"/>
      <c r="AF14" s="158"/>
      <c r="AG14" s="159"/>
    </row>
    <row r="15" spans="1:34">
      <c r="A15" s="139">
        <v>1</v>
      </c>
      <c r="B15" s="143"/>
      <c r="C15" s="25" t="s">
        <v>6</v>
      </c>
      <c r="D15" s="139"/>
      <c r="E15" s="143"/>
      <c r="F15" s="101"/>
      <c r="G15" s="1272"/>
      <c r="H15" s="1040"/>
      <c r="I15" s="1275"/>
      <c r="J15" s="161"/>
      <c r="K15" s="981"/>
      <c r="L15" s="981"/>
      <c r="M15" s="982"/>
      <c r="N15" s="982"/>
      <c r="O15" s="983"/>
      <c r="P15" s="981"/>
      <c r="Q15" s="161"/>
      <c r="R15" s="1045"/>
      <c r="S15" s="1020"/>
      <c r="T15" s="1031"/>
      <c r="U15" s="1031"/>
      <c r="V15" s="1031"/>
      <c r="W15" s="1050"/>
      <c r="X15" s="1040"/>
      <c r="Y15" s="161"/>
      <c r="Z15" s="1260"/>
      <c r="AA15" s="158"/>
      <c r="AB15" s="160"/>
      <c r="AC15" s="158"/>
      <c r="AD15" s="160"/>
      <c r="AE15" s="158"/>
      <c r="AF15" s="158"/>
      <c r="AG15" s="162"/>
    </row>
    <row r="16" spans="1:34">
      <c r="A16" s="163">
        <v>2</v>
      </c>
      <c r="B16" s="102"/>
      <c r="C16" s="53" t="s">
        <v>26</v>
      </c>
      <c r="D16" s="163"/>
      <c r="E16" s="102"/>
      <c r="F16" s="164"/>
      <c r="G16" s="1261">
        <f>+'Liu Weather Normalization'!F21</f>
        <v>12463455.49</v>
      </c>
      <c r="H16" s="165"/>
      <c r="I16" s="1276">
        <f>'Liu Restate Rev WP'!M28</f>
        <v>-5477134.5345370322</v>
      </c>
      <c r="J16" s="165"/>
      <c r="K16" s="984"/>
      <c r="L16" s="984"/>
      <c r="M16" s="985"/>
      <c r="N16" s="985"/>
      <c r="O16" s="986"/>
      <c r="P16" s="984"/>
      <c r="Q16" s="165"/>
      <c r="R16" s="165"/>
      <c r="S16" s="1021"/>
      <c r="T16" s="181"/>
      <c r="U16" s="181">
        <v>0</v>
      </c>
      <c r="V16" s="181"/>
      <c r="W16" s="986"/>
      <c r="X16" s="165">
        <v>0</v>
      </c>
      <c r="Y16" s="165"/>
      <c r="Z16" s="1261">
        <f>'Liu Rev Adj WP'!G21+'Liu Rev Adj WP'!G22</f>
        <v>5181807.734831797</v>
      </c>
      <c r="AA16" s="165">
        <v>0</v>
      </c>
      <c r="AB16" s="165">
        <v>0</v>
      </c>
      <c r="AC16" s="165">
        <v>0</v>
      </c>
      <c r="AD16" s="165">
        <v>0</v>
      </c>
      <c r="AE16" s="165">
        <v>0</v>
      </c>
      <c r="AF16" s="165"/>
      <c r="AG16" s="166">
        <f>SUM(G16:AF16)</f>
        <v>12168128.690294765</v>
      </c>
    </row>
    <row r="17" spans="1:34">
      <c r="A17" s="163">
        <v>3</v>
      </c>
      <c r="B17" s="102"/>
      <c r="C17" s="53" t="s">
        <v>27</v>
      </c>
      <c r="D17" s="163"/>
      <c r="E17" s="102"/>
      <c r="F17" s="164"/>
      <c r="G17" s="1262"/>
      <c r="H17" s="168"/>
      <c r="I17" s="1262">
        <f>+'Restate Revenues'!M29</f>
        <v>-346008.79999999795</v>
      </c>
      <c r="J17" s="168"/>
      <c r="K17" s="987"/>
      <c r="L17" s="987"/>
      <c r="M17" s="988"/>
      <c r="N17" s="988"/>
      <c r="O17" s="989"/>
      <c r="P17" s="987"/>
      <c r="Q17" s="168"/>
      <c r="R17" s="168"/>
      <c r="S17" s="965"/>
      <c r="T17" s="169">
        <f>+'Panco Pro Forma Plant Additions'!E14</f>
        <v>199943.9</v>
      </c>
      <c r="U17" s="169">
        <v>0</v>
      </c>
      <c r="V17" s="169"/>
      <c r="W17" s="989"/>
      <c r="X17" s="168">
        <v>0</v>
      </c>
      <c r="Y17" s="168"/>
      <c r="Z17" s="1262">
        <f>+'Revenue Adjustment'!G23</f>
        <v>1933517</v>
      </c>
      <c r="AA17" s="167">
        <v>0</v>
      </c>
      <c r="AB17" s="167">
        <v>0</v>
      </c>
      <c r="AC17" s="167">
        <v>0</v>
      </c>
      <c r="AD17" s="167">
        <v>0</v>
      </c>
      <c r="AE17" s="167">
        <v>0</v>
      </c>
      <c r="AF17" s="168"/>
      <c r="AG17" s="168">
        <f>SUM(G17:AF17)</f>
        <v>1787452.100000002</v>
      </c>
    </row>
    <row r="18" spans="1:34">
      <c r="A18" s="163">
        <v>4</v>
      </c>
      <c r="B18" s="102"/>
      <c r="C18" s="53" t="s">
        <v>28</v>
      </c>
      <c r="D18" s="163"/>
      <c r="E18" s="102"/>
      <c r="F18" s="164"/>
      <c r="G18" s="1262"/>
      <c r="H18" s="168"/>
      <c r="I18" s="1262"/>
      <c r="J18" s="168"/>
      <c r="K18" s="987"/>
      <c r="L18" s="987"/>
      <c r="M18" s="988"/>
      <c r="N18" s="988"/>
      <c r="O18" s="989"/>
      <c r="P18" s="987"/>
      <c r="Q18" s="168"/>
      <c r="R18" s="168"/>
      <c r="S18" s="965"/>
      <c r="T18" s="169"/>
      <c r="U18" s="169">
        <v>0</v>
      </c>
      <c r="V18" s="169"/>
      <c r="W18" s="989"/>
      <c r="X18" s="168">
        <f>+'Miscellaneous Charges'!M16</f>
        <v>-101645</v>
      </c>
      <c r="Y18" s="168"/>
      <c r="Z18" s="1262">
        <v>189011</v>
      </c>
      <c r="AA18" s="167">
        <v>0</v>
      </c>
      <c r="AB18" s="167">
        <v>0</v>
      </c>
      <c r="AC18" s="167">
        <v>0</v>
      </c>
      <c r="AD18" s="167">
        <v>0</v>
      </c>
      <c r="AE18" s="167">
        <v>0</v>
      </c>
      <c r="AF18" s="168"/>
      <c r="AG18" s="168">
        <f>SUM(G18:AF18)</f>
        <v>87366</v>
      </c>
    </row>
    <row r="19" spans="1:34" ht="16.5" thickBot="1">
      <c r="A19" s="163">
        <v>5</v>
      </c>
      <c r="B19" s="170"/>
      <c r="C19" s="66" t="s">
        <v>1366</v>
      </c>
      <c r="D19" s="171"/>
      <c r="E19" s="170"/>
      <c r="F19" s="172"/>
      <c r="G19" s="1263">
        <f t="shared" ref="G19:AE19" si="0">+G16+G17+G18</f>
        <v>12463455.49</v>
      </c>
      <c r="H19" s="174">
        <f t="shared" si="0"/>
        <v>0</v>
      </c>
      <c r="I19" s="1263">
        <f>+I16+I17+I18</f>
        <v>-5823143.3345370302</v>
      </c>
      <c r="J19" s="174"/>
      <c r="K19" s="990"/>
      <c r="L19" s="990"/>
      <c r="M19" s="991"/>
      <c r="N19" s="991"/>
      <c r="O19" s="992"/>
      <c r="P19" s="990"/>
      <c r="Q19" s="174"/>
      <c r="R19" s="174">
        <f t="shared" si="0"/>
        <v>0</v>
      </c>
      <c r="S19" s="966">
        <f t="shared" si="0"/>
        <v>0</v>
      </c>
      <c r="T19" s="1032">
        <f t="shared" si="0"/>
        <v>199943.9</v>
      </c>
      <c r="U19" s="1032">
        <f t="shared" si="0"/>
        <v>0</v>
      </c>
      <c r="V19" s="1032"/>
      <c r="W19" s="992"/>
      <c r="X19" s="174">
        <f t="shared" si="0"/>
        <v>-101645</v>
      </c>
      <c r="Y19" s="174"/>
      <c r="Z19" s="1263">
        <f t="shared" si="0"/>
        <v>7304335.734831797</v>
      </c>
      <c r="AA19" s="173">
        <f t="shared" si="0"/>
        <v>0</v>
      </c>
      <c r="AB19" s="173">
        <f t="shared" si="0"/>
        <v>0</v>
      </c>
      <c r="AC19" s="173">
        <f t="shared" si="0"/>
        <v>0</v>
      </c>
      <c r="AD19" s="173">
        <f t="shared" si="0"/>
        <v>0</v>
      </c>
      <c r="AE19" s="173">
        <f t="shared" si="0"/>
        <v>0</v>
      </c>
      <c r="AF19" s="173"/>
      <c r="AG19" s="173">
        <f>+AG18+AG17+AG16</f>
        <v>14042946.790294766</v>
      </c>
    </row>
    <row r="20" spans="1:34">
      <c r="A20" s="163"/>
      <c r="B20" s="170"/>
      <c r="C20" s="66"/>
      <c r="D20" s="171"/>
      <c r="E20" s="170"/>
      <c r="F20" s="172"/>
      <c r="G20" s="1264">
        <f>G16-G22</f>
        <v>4313452.8600000013</v>
      </c>
      <c r="H20" s="176"/>
      <c r="I20" s="1264"/>
      <c r="J20" s="176"/>
      <c r="K20" s="993"/>
      <c r="L20" s="993"/>
      <c r="M20" s="994"/>
      <c r="N20" s="994"/>
      <c r="O20" s="995"/>
      <c r="P20" s="993"/>
      <c r="Q20" s="176"/>
      <c r="R20" s="176"/>
      <c r="S20" s="967"/>
      <c r="T20" s="1033"/>
      <c r="U20" s="1033"/>
      <c r="V20" s="1033"/>
      <c r="W20" s="995"/>
      <c r="X20" s="176"/>
      <c r="Y20" s="176"/>
      <c r="Z20" s="1264"/>
      <c r="AA20" s="175"/>
      <c r="AB20" s="175"/>
      <c r="AC20" s="175"/>
      <c r="AD20" s="175"/>
      <c r="AE20" s="175"/>
      <c r="AF20" s="177"/>
      <c r="AG20" s="177"/>
    </row>
    <row r="21" spans="1:34">
      <c r="A21" s="163"/>
      <c r="B21" s="170"/>
      <c r="C21" s="66" t="s">
        <v>7</v>
      </c>
      <c r="D21" s="171"/>
      <c r="E21" s="170"/>
      <c r="F21" s="172"/>
      <c r="G21" s="1264"/>
      <c r="H21" s="176"/>
      <c r="I21" s="1264"/>
      <c r="J21" s="176"/>
      <c r="K21" s="993"/>
      <c r="L21" s="993"/>
      <c r="M21" s="994"/>
      <c r="N21" s="994"/>
      <c r="O21" s="995"/>
      <c r="P21" s="993"/>
      <c r="Q21" s="176"/>
      <c r="R21" s="176"/>
      <c r="S21" s="967"/>
      <c r="T21" s="1033"/>
      <c r="U21" s="1033"/>
      <c r="V21" s="1033"/>
      <c r="W21" s="995"/>
      <c r="X21" s="176"/>
      <c r="Y21" s="176"/>
      <c r="Z21" s="1264"/>
      <c r="AA21" s="175"/>
      <c r="AB21" s="175"/>
      <c r="AC21" s="175"/>
      <c r="AD21" s="175"/>
      <c r="AE21" s="175"/>
      <c r="AF21" s="177"/>
      <c r="AG21" s="177"/>
    </row>
    <row r="22" spans="1:34">
      <c r="A22" s="163">
        <v>6</v>
      </c>
      <c r="B22" s="143"/>
      <c r="C22" s="53" t="s">
        <v>1364</v>
      </c>
      <c r="D22" s="139"/>
      <c r="E22" s="143"/>
      <c r="F22" s="101"/>
      <c r="G22" s="1262">
        <f>+'Liu Weather Normalization'!F37</f>
        <v>8150002.629999999</v>
      </c>
      <c r="H22" s="168"/>
      <c r="I22" s="1262">
        <f>'Liu Restate Rev WP'!M48</f>
        <v>-3168926.3817709982</v>
      </c>
      <c r="J22" s="168"/>
      <c r="K22" s="987"/>
      <c r="L22" s="987"/>
      <c r="M22" s="988"/>
      <c r="N22" s="988"/>
      <c r="O22" s="989"/>
      <c r="P22" s="987"/>
      <c r="Q22" s="168"/>
      <c r="R22" s="168"/>
      <c r="S22" s="965"/>
      <c r="T22" s="169"/>
      <c r="U22" s="169"/>
      <c r="V22" s="169"/>
      <c r="W22" s="989"/>
      <c r="X22" s="168"/>
      <c r="Y22" s="168"/>
      <c r="Z22" s="1262"/>
      <c r="AA22" s="167"/>
      <c r="AB22" s="167"/>
      <c r="AC22" s="167"/>
      <c r="AD22" s="167"/>
      <c r="AE22" s="167"/>
      <c r="AF22" s="178"/>
      <c r="AG22" s="179">
        <f t="shared" ref="AG22:AG34" si="1">SUM(G22:AF22)</f>
        <v>4981076.2482290007</v>
      </c>
    </row>
    <row r="23" spans="1:34">
      <c r="A23" s="163">
        <v>7</v>
      </c>
      <c r="B23" s="143"/>
      <c r="C23" s="53" t="s">
        <v>1365</v>
      </c>
      <c r="D23" s="139"/>
      <c r="E23" s="143"/>
      <c r="F23" s="101"/>
      <c r="G23" s="1262">
        <f>+G16*('Conversion Factor'!C9+'Conversion Factor'!C10)</f>
        <v>505019.21645480004</v>
      </c>
      <c r="H23" s="168"/>
      <c r="I23" s="1262">
        <f>+I19*('Conversion Factor'!C9+'Conversion Factor'!C10)</f>
        <v>-235953.76791544046</v>
      </c>
      <c r="J23" s="168"/>
      <c r="K23" s="987"/>
      <c r="L23" s="987"/>
      <c r="M23" s="988"/>
      <c r="N23" s="988"/>
      <c r="O23" s="989"/>
      <c r="P23" s="987"/>
      <c r="Q23" s="168"/>
      <c r="R23" s="168"/>
      <c r="S23" s="965"/>
      <c r="T23" s="169">
        <f>+T19*('Conversion Factor'!C9+'Conversion Factor'!C10)</f>
        <v>8101.7268279999998</v>
      </c>
      <c r="U23" s="169"/>
      <c r="V23" s="169"/>
      <c r="W23" s="989"/>
      <c r="X23" s="168">
        <f>+X19*('Conversion Factor'!C9+'Conversion Factor'!C10)</f>
        <v>-4118.6553999999996</v>
      </c>
      <c r="Y23" s="168"/>
      <c r="Z23" s="1262">
        <f>+Z19*('Conversion Factor'!C9+'Conversion Factor'!C10)</f>
        <v>295971.6839753844</v>
      </c>
      <c r="AA23" s="167"/>
      <c r="AB23" s="167"/>
      <c r="AC23" s="167"/>
      <c r="AD23" s="167"/>
      <c r="AE23" s="167"/>
      <c r="AF23" s="178"/>
      <c r="AG23" s="179">
        <f t="shared" si="1"/>
        <v>569020.20394274406</v>
      </c>
    </row>
    <row r="24" spans="1:34">
      <c r="A24" s="163">
        <v>8</v>
      </c>
      <c r="B24" s="143"/>
      <c r="C24" s="72" t="s">
        <v>30</v>
      </c>
      <c r="D24" s="139"/>
      <c r="E24" s="143"/>
      <c r="F24" s="101"/>
      <c r="G24" s="1262"/>
      <c r="H24" s="168"/>
      <c r="I24" s="1262"/>
      <c r="J24" s="168"/>
      <c r="K24" s="987"/>
      <c r="L24" s="987"/>
      <c r="M24" s="988"/>
      <c r="N24" s="988"/>
      <c r="O24" s="989"/>
      <c r="P24" s="987"/>
      <c r="Q24" s="168"/>
      <c r="R24" s="168"/>
      <c r="S24" s="965">
        <f>'KMH Copy of Op Rep'!E56</f>
        <v>7924.4900311199854</v>
      </c>
      <c r="T24" s="169"/>
      <c r="U24" s="169"/>
      <c r="V24" s="169"/>
      <c r="W24" s="989"/>
      <c r="X24" s="168"/>
      <c r="Y24" s="168"/>
      <c r="Z24" s="1262"/>
      <c r="AA24" s="167"/>
      <c r="AB24" s="167"/>
      <c r="AC24" s="167"/>
      <c r="AD24" s="167"/>
      <c r="AE24" s="167"/>
      <c r="AF24" s="178"/>
      <c r="AG24" s="165">
        <f t="shared" si="1"/>
        <v>7924.4900311199854</v>
      </c>
    </row>
    <row r="25" spans="1:34">
      <c r="A25" s="163">
        <v>9</v>
      </c>
      <c r="B25" s="143"/>
      <c r="C25" s="72" t="s">
        <v>8</v>
      </c>
      <c r="D25" s="139"/>
      <c r="E25" s="143"/>
      <c r="F25" s="101"/>
      <c r="G25" s="1262"/>
      <c r="H25" s="168"/>
      <c r="I25" s="1262"/>
      <c r="J25" s="168"/>
      <c r="K25" s="987"/>
      <c r="L25" s="987"/>
      <c r="M25" s="988"/>
      <c r="N25" s="988"/>
      <c r="O25" s="989"/>
      <c r="P25" s="987">
        <f>'KMH Copy of Op Rep'!G84</f>
        <v>67686.843944628941</v>
      </c>
      <c r="Q25" s="168"/>
      <c r="R25" s="168"/>
      <c r="S25" s="965">
        <f>'KMH Copy of Op Rep'!E84</f>
        <v>360633.30644631851</v>
      </c>
      <c r="T25" s="169"/>
      <c r="U25" s="169"/>
      <c r="V25" s="169">
        <f>+'Panco Pro Forma Compliance Dept'!L15</f>
        <v>130503.46816</v>
      </c>
      <c r="W25" s="989">
        <f>'White MAOP'!E14</f>
        <v>423708.1</v>
      </c>
      <c r="X25" s="168"/>
      <c r="Y25" s="168"/>
      <c r="Z25" s="1262"/>
      <c r="AA25" s="167"/>
      <c r="AB25" s="167"/>
      <c r="AC25" s="167"/>
      <c r="AD25" s="167"/>
      <c r="AE25" s="167"/>
      <c r="AF25" s="178"/>
      <c r="AG25" s="165">
        <f t="shared" si="1"/>
        <v>982531.71855094749</v>
      </c>
    </row>
    <row r="26" spans="1:34">
      <c r="A26" s="163">
        <v>10</v>
      </c>
      <c r="B26" s="143"/>
      <c r="C26" s="72" t="s">
        <v>31</v>
      </c>
      <c r="D26" s="139"/>
      <c r="E26" s="143"/>
      <c r="F26" s="101"/>
      <c r="G26" s="1261">
        <f>+G19*'Conversion Factor'!C8</f>
        <v>47274.32037840251</v>
      </c>
      <c r="H26" s="1041"/>
      <c r="I26" s="1261">
        <f>+I19*'Conversion Factor'!C8</f>
        <v>-22087.385302345447</v>
      </c>
      <c r="J26" s="1044"/>
      <c r="K26" s="996"/>
      <c r="L26" s="996"/>
      <c r="M26" s="997"/>
      <c r="N26" s="997"/>
      <c r="O26" s="998"/>
      <c r="P26" s="984">
        <f>'KMH Copy of Op Rep'!G92</f>
        <v>3803.5586400000011</v>
      </c>
      <c r="Q26" s="1041"/>
      <c r="R26" s="165"/>
      <c r="S26" s="1021">
        <f>'KMH Copy of Op Rep'!E92</f>
        <v>40890.445358345853</v>
      </c>
      <c r="T26" s="181">
        <f>+T19*'Conversion Factor'!C8</f>
        <v>758.39417037203009</v>
      </c>
      <c r="U26" s="181"/>
      <c r="V26" s="181"/>
      <c r="W26" s="986"/>
      <c r="X26" s="165">
        <f>+X19*'Conversion Factor'!C8</f>
        <v>-385.54302205501142</v>
      </c>
      <c r="Y26" s="165">
        <f>+Y19*'Conversion Factor'!D8</f>
        <v>0</v>
      </c>
      <c r="Z26" s="1261">
        <f>+Z19*'Conversion Factor'!C8</f>
        <v>27705.599619375902</v>
      </c>
      <c r="AA26" s="180"/>
      <c r="AB26" s="180"/>
      <c r="AC26" s="180"/>
      <c r="AD26" s="180"/>
      <c r="AE26" s="180"/>
      <c r="AF26" s="182"/>
      <c r="AG26" s="165">
        <f t="shared" si="1"/>
        <v>97959.389842095843</v>
      </c>
    </row>
    <row r="27" spans="1:34">
      <c r="A27" s="163">
        <v>11</v>
      </c>
      <c r="B27" s="143"/>
      <c r="C27" s="72" t="s">
        <v>9</v>
      </c>
      <c r="D27" s="139"/>
      <c r="E27" s="143"/>
      <c r="F27" s="101"/>
      <c r="G27" s="1273"/>
      <c r="H27" s="168"/>
      <c r="I27" s="1262"/>
      <c r="J27" s="168">
        <f>-'Low-Income Bill Assistance'!F20</f>
        <v>-533333.36</v>
      </c>
      <c r="K27" s="987"/>
      <c r="L27" s="987"/>
      <c r="M27" s="988"/>
      <c r="N27" s="988"/>
      <c r="O27" s="989"/>
      <c r="P27" s="987"/>
      <c r="Q27" s="168"/>
      <c r="R27" s="168"/>
      <c r="S27" s="965"/>
      <c r="T27" s="169"/>
      <c r="U27" s="169"/>
      <c r="V27" s="169"/>
      <c r="W27" s="989"/>
      <c r="X27" s="168"/>
      <c r="Y27" s="168"/>
      <c r="Z27" s="1262"/>
      <c r="AA27" s="167"/>
      <c r="AB27" s="167"/>
      <c r="AC27" s="167"/>
      <c r="AD27" s="167"/>
      <c r="AE27" s="167"/>
      <c r="AF27" s="183"/>
      <c r="AG27" s="165">
        <f t="shared" si="1"/>
        <v>-533333.36</v>
      </c>
    </row>
    <row r="28" spans="1:34">
      <c r="A28" s="163">
        <v>12</v>
      </c>
      <c r="B28" s="143"/>
      <c r="C28" s="72" t="s">
        <v>10</v>
      </c>
      <c r="D28" s="139"/>
      <c r="E28" s="143"/>
      <c r="F28" s="101"/>
      <c r="G28" s="1262"/>
      <c r="H28" s="168">
        <f>-'Advertising Adj'!F29</f>
        <v>-4916.5899999999992</v>
      </c>
      <c r="I28" s="1262"/>
      <c r="J28" s="168"/>
      <c r="K28" s="987"/>
      <c r="L28" s="987"/>
      <c r="M28" s="988"/>
      <c r="N28" s="988"/>
      <c r="O28" s="989"/>
      <c r="P28" s="987"/>
      <c r="Q28" s="168"/>
      <c r="R28" s="168"/>
      <c r="S28" s="965"/>
      <c r="T28" s="169"/>
      <c r="U28" s="169"/>
      <c r="V28" s="169"/>
      <c r="W28" s="989"/>
      <c r="X28" s="168"/>
      <c r="Y28" s="168"/>
      <c r="Z28" s="1262"/>
      <c r="AA28" s="167"/>
      <c r="AB28" s="167"/>
      <c r="AC28" s="167"/>
      <c r="AD28" s="167"/>
      <c r="AE28" s="167"/>
      <c r="AF28" s="183"/>
      <c r="AG28" s="165">
        <f t="shared" si="1"/>
        <v>-4916.5899999999992</v>
      </c>
    </row>
    <row r="29" spans="1:34" ht="16.5" thickBot="1">
      <c r="A29" s="163">
        <v>13</v>
      </c>
      <c r="B29" s="170"/>
      <c r="C29" s="72" t="s">
        <v>11</v>
      </c>
      <c r="D29" s="171"/>
      <c r="E29" s="170"/>
      <c r="F29" s="172"/>
      <c r="G29" s="1262"/>
      <c r="H29" s="168">
        <f>-'Advertising Adj'!F75</f>
        <v>-49800.45</v>
      </c>
      <c r="I29" s="1262"/>
      <c r="J29" s="168"/>
      <c r="K29" s="987">
        <f>-1765931+174419+174419</f>
        <v>-1417093</v>
      </c>
      <c r="L29" s="987">
        <v>-127508</v>
      </c>
      <c r="M29" s="988"/>
      <c r="N29" s="988"/>
      <c r="O29" s="989">
        <v>-210756</v>
      </c>
      <c r="P29" s="987">
        <f>'KMH Copy of Op Rep'!G122</f>
        <v>63.198718416000006</v>
      </c>
      <c r="Q29" s="168"/>
      <c r="R29" s="168"/>
      <c r="S29" s="965">
        <f>'KMH Copy of Op Rep'!E122</f>
        <v>220902.64637509634</v>
      </c>
      <c r="T29" s="169"/>
      <c r="U29" s="169">
        <f>'Panco Rate Case Costs'!G17</f>
        <v>123000</v>
      </c>
      <c r="V29" s="169">
        <f>+'Panco Pro Forma Compliance Dept'!L16</f>
        <v>58726.560672</v>
      </c>
      <c r="W29" s="989"/>
      <c r="X29" s="168"/>
      <c r="Y29" s="168"/>
      <c r="Z29" s="1262"/>
      <c r="AA29" s="167"/>
      <c r="AB29" s="167"/>
      <c r="AC29" s="167"/>
      <c r="AD29" s="167"/>
      <c r="AE29" s="167"/>
      <c r="AF29" s="184"/>
      <c r="AG29" s="165">
        <f t="shared" si="1"/>
        <v>-1402465.0442344875</v>
      </c>
    </row>
    <row r="30" spans="1:34">
      <c r="A30" s="163">
        <v>14</v>
      </c>
      <c r="B30" s="143"/>
      <c r="C30" s="72" t="s">
        <v>32</v>
      </c>
      <c r="D30" s="139"/>
      <c r="E30" s="143"/>
      <c r="F30" s="101"/>
      <c r="G30" s="1274"/>
      <c r="H30" s="1042"/>
      <c r="I30" s="1274"/>
      <c r="J30" s="1042"/>
      <c r="K30" s="999"/>
      <c r="L30" s="999"/>
      <c r="M30" s="1000"/>
      <c r="N30" s="1000"/>
      <c r="O30" s="1001"/>
      <c r="P30" s="999"/>
      <c r="Q30" s="1042"/>
      <c r="R30" s="1042"/>
      <c r="S30" s="965"/>
      <c r="T30" s="169">
        <f>+'Panco Pro Forma Plant Additions'!F18</f>
        <v>152302.92623499999</v>
      </c>
      <c r="U30" s="169"/>
      <c r="V30" s="169"/>
      <c r="W30" s="989"/>
      <c r="X30" s="168"/>
      <c r="Y30" s="168">
        <f>+'CRM Adjustment (a)'!E16</f>
        <v>78010.890174750049</v>
      </c>
      <c r="Z30" s="1262"/>
      <c r="AA30" s="167"/>
      <c r="AB30" s="167"/>
      <c r="AC30" s="167"/>
      <c r="AD30" s="167"/>
      <c r="AE30" s="167"/>
      <c r="AF30" s="185"/>
      <c r="AG30" s="165">
        <f t="shared" si="1"/>
        <v>230313.81640975003</v>
      </c>
    </row>
    <row r="31" spans="1:34">
      <c r="A31" s="163">
        <v>15</v>
      </c>
      <c r="B31" s="143"/>
      <c r="C31" s="72" t="s">
        <v>33</v>
      </c>
      <c r="D31" s="139"/>
      <c r="E31" s="143"/>
      <c r="F31" s="101"/>
      <c r="G31" s="1262"/>
      <c r="H31" s="168"/>
      <c r="I31" s="1262"/>
      <c r="J31" s="168"/>
      <c r="K31" s="987"/>
      <c r="L31" s="987"/>
      <c r="M31" s="988"/>
      <c r="N31" s="988"/>
      <c r="O31" s="989"/>
      <c r="P31" s="987"/>
      <c r="Q31" s="168"/>
      <c r="R31" s="168"/>
      <c r="S31" s="965"/>
      <c r="T31" s="169"/>
      <c r="U31" s="169"/>
      <c r="V31" s="169"/>
      <c r="W31" s="989"/>
      <c r="X31" s="168"/>
      <c r="Y31" s="168"/>
      <c r="Z31" s="1262"/>
      <c r="AA31" s="167"/>
      <c r="AB31" s="167"/>
      <c r="AC31" s="167"/>
      <c r="AD31" s="167"/>
      <c r="AE31" s="167"/>
      <c r="AF31" s="183"/>
      <c r="AG31" s="165">
        <f t="shared" si="1"/>
        <v>0</v>
      </c>
    </row>
    <row r="32" spans="1:34">
      <c r="A32" s="163">
        <v>16</v>
      </c>
      <c r="B32" s="143"/>
      <c r="C32" s="72" t="s">
        <v>34</v>
      </c>
      <c r="D32" s="139"/>
      <c r="E32" s="143"/>
      <c r="F32" s="101"/>
      <c r="G32" s="1262"/>
      <c r="H32" s="168"/>
      <c r="I32" s="1262"/>
      <c r="J32" s="168"/>
      <c r="K32" s="987"/>
      <c r="L32" s="987"/>
      <c r="M32" s="988"/>
      <c r="N32" s="988"/>
      <c r="O32" s="989"/>
      <c r="P32" s="987">
        <f>'k10 wage adj separated wp'!N88</f>
        <v>5473.850499682937</v>
      </c>
      <c r="Q32" s="168"/>
      <c r="R32" s="168"/>
      <c r="S32" s="965">
        <f>'k10 wage adj separated wp'!N89</f>
        <v>38060.85860093237</v>
      </c>
      <c r="T32" s="169">
        <f>+'Panco Pro Forma Plant Additions'!E12</f>
        <v>87903.501650929014</v>
      </c>
      <c r="U32" s="169"/>
      <c r="V32" s="169">
        <f>+'Panco Pro Forma Compliance Dept'!L17</f>
        <v>9983.5153142399995</v>
      </c>
      <c r="W32" s="989"/>
      <c r="X32" s="168"/>
      <c r="Y32" s="168"/>
      <c r="Z32" s="1262"/>
      <c r="AA32" s="167"/>
      <c r="AB32" s="167"/>
      <c r="AC32" s="167"/>
      <c r="AD32" s="167"/>
      <c r="AE32" s="167"/>
      <c r="AF32" s="183"/>
      <c r="AG32" s="165">
        <f t="shared" si="1"/>
        <v>141421.72606578434</v>
      </c>
      <c r="AH32" s="101"/>
    </row>
    <row r="33" spans="1:145">
      <c r="A33" s="163">
        <v>17</v>
      </c>
      <c r="B33" s="143"/>
      <c r="C33" s="72" t="s">
        <v>35</v>
      </c>
      <c r="D33" s="139"/>
      <c r="E33" s="143"/>
      <c r="F33" s="101"/>
      <c r="G33" s="1262">
        <f>(+G19-SUM(G22:G32))*'Conversion Factor'!$C$33</f>
        <v>1316405.7631083794</v>
      </c>
      <c r="H33" s="168">
        <f>(+H19-SUM(H22:H32))*'Conversion Factor'!$C$33+0.5</f>
        <v>19151.463999999996</v>
      </c>
      <c r="I33" s="1262">
        <f>(+I19-SUM(I22:I32))*'Conversion Factor'!$C$33</f>
        <v>-838661.52984188625</v>
      </c>
      <c r="J33" s="168">
        <f>(+J19-SUM(J22:J32))*'Conversion Factor'!$C$33</f>
        <v>186666.67599999998</v>
      </c>
      <c r="K33" s="987">
        <f>(+K19-SUM(K22:K32))*'Conversion Factor'!$C$33</f>
        <v>495982.55</v>
      </c>
      <c r="L33" s="987">
        <f>(+L19-SUM(L22:L32))*'Conversion Factor'!$C$33</f>
        <v>44627.799999999996</v>
      </c>
      <c r="M33" s="988">
        <f>(+M19-SUM(M22:M32))*'Conversion Factor'!$C$33</f>
        <v>0</v>
      </c>
      <c r="N33" s="988"/>
      <c r="O33" s="989">
        <f>(+O19-SUM(O22:O32))*'Conversion Factor'!$C$33</f>
        <v>73764.599999999991</v>
      </c>
      <c r="P33" s="987">
        <f>(+P19-SUM(P22:P32))*'Conversion Factor'!$C$33</f>
        <v>-26959.608130954759</v>
      </c>
      <c r="Q33" s="168"/>
      <c r="R33" s="168">
        <f>+'Interest Coord. Adj.'!H16</f>
        <v>352988.15360074444</v>
      </c>
      <c r="S33" s="965">
        <f>(+S19-SUM(S22:S32))*'Conversion Factor'!$C$33</f>
        <v>-233944.11138413457</v>
      </c>
      <c r="T33" s="169">
        <f>(+T19-SUM(T22:T32))*'Conversion Factor'!$C$33</f>
        <v>-17192.927109505363</v>
      </c>
      <c r="U33" s="169">
        <f>(+U19-SUM(U22:U32))*'Conversion Factor'!$C$33</f>
        <v>-43050</v>
      </c>
      <c r="V33" s="169">
        <f>(+V19-SUM(V22:V32))*'Conversion Factor'!$C$33</f>
        <v>-69724.740451184</v>
      </c>
      <c r="W33" s="989">
        <f>(+W19-SUM(W22:W32))*'Conversion Factor'!$C$33</f>
        <v>-148297.83499999999</v>
      </c>
      <c r="X33" s="168">
        <f>(+X19-SUM(X22:X32))*'Conversion Factor'!$C$33</f>
        <v>-33999.280552280747</v>
      </c>
      <c r="Y33" s="168">
        <f>(+Y19-SUM(Y22:Y32))*'Conversion Factor'!$C$33</f>
        <v>-27303.811561162514</v>
      </c>
      <c r="Z33" s="1262">
        <f>(+Z19-SUM(Z22:Z32))*'Conversion Factor'!$C$33</f>
        <v>2443230.4579329626</v>
      </c>
      <c r="AA33" s="169">
        <f>(+AA19-SUM(AA24:AA32))*'Conversion Factor'!$C$33</f>
        <v>0</v>
      </c>
      <c r="AB33" s="169">
        <f>(+AB19-SUM(AB24:AB32))*'Conversion Factor'!$C$33</f>
        <v>0</v>
      </c>
      <c r="AC33" s="169">
        <f>(+AC19-SUM(AC24:AC32))*'Conversion Factor'!$C$33</f>
        <v>0</v>
      </c>
      <c r="AD33" s="169">
        <f>(+AD19-SUM(AD24:AD32))*'Conversion Factor'!$C$33</f>
        <v>0</v>
      </c>
      <c r="AE33" s="169">
        <f>(+AE19-SUM(AE24:AE32))*'Conversion Factor'!$C$33</f>
        <v>0</v>
      </c>
      <c r="AF33" s="183"/>
      <c r="AG33" s="165">
        <f t="shared" si="1"/>
        <v>3493683.6206109785</v>
      </c>
      <c r="AH33" s="101"/>
    </row>
    <row r="34" spans="1:145">
      <c r="A34" s="163">
        <v>18</v>
      </c>
      <c r="B34" s="143"/>
      <c r="C34" s="78" t="s">
        <v>36</v>
      </c>
      <c r="D34" s="139"/>
      <c r="E34" s="143"/>
      <c r="F34" s="101"/>
      <c r="G34" s="1262">
        <f>SUM(G22:G33)</f>
        <v>10018701.929941582</v>
      </c>
      <c r="H34" s="168">
        <f t="shared" ref="H34:J34" si="2">SUM(H22:H33)</f>
        <v>-35565.576000000001</v>
      </c>
      <c r="I34" s="1262">
        <f t="shared" si="2"/>
        <v>-4265629.0648306701</v>
      </c>
      <c r="J34" s="168">
        <f t="shared" si="2"/>
        <v>-346666.68400000001</v>
      </c>
      <c r="K34" s="987">
        <f t="shared" ref="K34:O34" si="3">SUM(K22:K33)</f>
        <v>-921110.45</v>
      </c>
      <c r="L34" s="987">
        <f t="shared" si="3"/>
        <v>-82880.200000000012</v>
      </c>
      <c r="M34" s="988">
        <f t="shared" si="3"/>
        <v>0</v>
      </c>
      <c r="N34" s="988"/>
      <c r="O34" s="989">
        <f t="shared" si="3"/>
        <v>-136991.40000000002</v>
      </c>
      <c r="P34" s="987">
        <f t="shared" ref="P34" si="4">SUM(P22:P33)</f>
        <v>50067.843671773124</v>
      </c>
      <c r="Q34" s="168"/>
      <c r="R34" s="168">
        <f>SUM(R24:R33)</f>
        <v>352988.15360074444</v>
      </c>
      <c r="S34" s="965">
        <f t="shared" ref="S34:Z34" si="5">SUM(S22:S33)</f>
        <v>434467.63542767853</v>
      </c>
      <c r="T34" s="169">
        <f t="shared" si="5"/>
        <v>231873.62177479567</v>
      </c>
      <c r="U34" s="169">
        <f t="shared" si="5"/>
        <v>79950</v>
      </c>
      <c r="V34" s="169">
        <f t="shared" si="5"/>
        <v>129488.80369505602</v>
      </c>
      <c r="W34" s="989">
        <f t="shared" si="5"/>
        <v>275410.26500000001</v>
      </c>
      <c r="X34" s="168">
        <f t="shared" si="5"/>
        <v>-38503.478974335754</v>
      </c>
      <c r="Y34" s="168">
        <f>SUM(Y22:Y33)</f>
        <v>50707.078613587539</v>
      </c>
      <c r="Z34" s="1262">
        <f t="shared" si="5"/>
        <v>2766907.7415277227</v>
      </c>
      <c r="AA34" s="168">
        <f t="shared" ref="AA34:AE34" si="6">SUM(AA24:AA33)</f>
        <v>0</v>
      </c>
      <c r="AB34" s="168">
        <f t="shared" si="6"/>
        <v>0</v>
      </c>
      <c r="AC34" s="168">
        <f t="shared" si="6"/>
        <v>0</v>
      </c>
      <c r="AD34" s="168">
        <f t="shared" si="6"/>
        <v>0</v>
      </c>
      <c r="AE34" s="168">
        <f t="shared" si="6"/>
        <v>0</v>
      </c>
      <c r="AF34" s="183"/>
      <c r="AG34" s="165">
        <f t="shared" si="1"/>
        <v>8563216.2194479331</v>
      </c>
      <c r="AH34" s="101"/>
    </row>
    <row r="35" spans="1:145" ht="16.5" thickBot="1">
      <c r="A35" s="163">
        <v>19</v>
      </c>
      <c r="B35" s="143"/>
      <c r="C35" s="78" t="s">
        <v>2110</v>
      </c>
      <c r="D35" s="139"/>
      <c r="E35" s="143"/>
      <c r="F35" s="101"/>
      <c r="G35" s="1265">
        <f>+G19-G34</f>
        <v>2444753.5600584187</v>
      </c>
      <c r="H35" s="1043">
        <f t="shared" ref="H35:J35" si="7">+H19-H34</f>
        <v>35565.576000000001</v>
      </c>
      <c r="I35" s="1265">
        <f t="shared" si="7"/>
        <v>-1557514.2697063601</v>
      </c>
      <c r="J35" s="1043">
        <f t="shared" si="7"/>
        <v>346666.68400000001</v>
      </c>
      <c r="K35" s="1059">
        <f t="shared" ref="K35:O35" si="8">+K19-K34</f>
        <v>921110.45</v>
      </c>
      <c r="L35" s="1059">
        <f t="shared" si="8"/>
        <v>82880.200000000012</v>
      </c>
      <c r="M35" s="1060">
        <f t="shared" si="8"/>
        <v>0</v>
      </c>
      <c r="N35" s="1060"/>
      <c r="O35" s="1002">
        <f t="shared" si="8"/>
        <v>136991.40000000002</v>
      </c>
      <c r="P35" s="1059">
        <f t="shared" ref="P35" si="9">+P19-P34</f>
        <v>-50067.843671773124</v>
      </c>
      <c r="Q35" s="1043"/>
      <c r="R35" s="1043">
        <f t="shared" ref="R35:Z35" si="10">+R19-R34</f>
        <v>-352988.15360074444</v>
      </c>
      <c r="S35" s="968">
        <f t="shared" si="10"/>
        <v>-434467.63542767853</v>
      </c>
      <c r="T35" s="1034">
        <f t="shared" si="10"/>
        <v>-31929.721774795675</v>
      </c>
      <c r="U35" s="1034">
        <f t="shared" si="10"/>
        <v>-79950</v>
      </c>
      <c r="V35" s="1034">
        <f t="shared" si="10"/>
        <v>-129488.80369505602</v>
      </c>
      <c r="W35" s="1002">
        <f t="shared" si="10"/>
        <v>-275410.26500000001</v>
      </c>
      <c r="X35" s="1043">
        <f t="shared" si="10"/>
        <v>-63141.521025664246</v>
      </c>
      <c r="Y35" s="1043">
        <f t="shared" si="10"/>
        <v>-50707.078613587539</v>
      </c>
      <c r="Z35" s="1265">
        <f t="shared" si="10"/>
        <v>4537427.9933040738</v>
      </c>
      <c r="AA35" s="186">
        <f t="shared" ref="AA35" si="11">+AA19-AA34</f>
        <v>0</v>
      </c>
      <c r="AB35" s="186">
        <f t="shared" ref="AB35" si="12">+AB19-AB34</f>
        <v>0</v>
      </c>
      <c r="AC35" s="186">
        <f t="shared" ref="AC35" si="13">+AC19-AC34</f>
        <v>0</v>
      </c>
      <c r="AD35" s="186">
        <f t="shared" ref="AD35" si="14">+AD19-AD34</f>
        <v>0</v>
      </c>
      <c r="AE35" s="186">
        <f t="shared" ref="AE35" si="15">+AE19-AE34</f>
        <v>0</v>
      </c>
      <c r="AF35" s="186"/>
      <c r="AG35" s="186">
        <f>+AG19-AG34</f>
        <v>5479730.5708468333</v>
      </c>
      <c r="AH35" s="101"/>
    </row>
    <row r="36" spans="1:145" ht="16.5" thickBot="1">
      <c r="A36" s="163"/>
      <c r="B36" s="143"/>
      <c r="C36" s="78"/>
      <c r="D36" s="139"/>
      <c r="E36" s="143"/>
      <c r="F36" s="101"/>
      <c r="G36" s="1266"/>
      <c r="H36" s="188"/>
      <c r="I36" s="1266"/>
      <c r="J36" s="188"/>
      <c r="K36" s="1003"/>
      <c r="L36" s="1003"/>
      <c r="M36" s="1004"/>
      <c r="N36" s="1004"/>
      <c r="O36" s="1005"/>
      <c r="P36" s="1003"/>
      <c r="Q36" s="188"/>
      <c r="R36" s="188"/>
      <c r="S36" s="1022"/>
      <c r="T36" s="1035"/>
      <c r="U36" s="1035"/>
      <c r="V36" s="1035"/>
      <c r="W36" s="1005"/>
      <c r="X36" s="188"/>
      <c r="Y36" s="188"/>
      <c r="Z36" s="1266"/>
      <c r="AA36" s="187"/>
      <c r="AB36" s="187"/>
      <c r="AC36" s="187"/>
      <c r="AD36" s="187"/>
      <c r="AE36" s="187"/>
      <c r="AF36" s="189"/>
      <c r="AG36" s="187"/>
      <c r="AH36" s="190"/>
    </row>
    <row r="37" spans="1:145" ht="16.5" thickTop="1">
      <c r="A37" s="163">
        <v>20</v>
      </c>
      <c r="B37" s="143"/>
      <c r="C37" s="78" t="s">
        <v>37</v>
      </c>
      <c r="D37" s="139"/>
      <c r="E37" s="143"/>
      <c r="F37" s="101"/>
      <c r="G37" s="1267"/>
      <c r="H37" s="191"/>
      <c r="I37" s="1267"/>
      <c r="J37" s="191"/>
      <c r="K37" s="1006"/>
      <c r="L37" s="1006"/>
      <c r="M37" s="1007"/>
      <c r="N37" s="1007"/>
      <c r="O37" s="1008"/>
      <c r="P37" s="1006"/>
      <c r="Q37" s="191"/>
      <c r="R37" s="191"/>
      <c r="S37" s="969"/>
      <c r="T37" s="1036"/>
      <c r="U37" s="1036"/>
      <c r="V37" s="1036"/>
      <c r="W37" s="1051"/>
      <c r="X37" s="191"/>
      <c r="Y37" s="191"/>
      <c r="Z37" s="1267"/>
      <c r="AA37" s="178"/>
      <c r="AB37" s="178"/>
      <c r="AC37" s="178"/>
      <c r="AD37" s="178"/>
      <c r="AE37" s="178"/>
      <c r="AF37" s="178"/>
      <c r="AG37" s="192"/>
      <c r="AH37" s="101"/>
    </row>
    <row r="38" spans="1:145">
      <c r="A38" s="163">
        <v>21</v>
      </c>
      <c r="B38" s="143"/>
      <c r="C38" s="53" t="s">
        <v>39</v>
      </c>
      <c r="D38" s="139"/>
      <c r="E38" s="143"/>
      <c r="F38" s="101"/>
      <c r="G38" s="1274"/>
      <c r="H38" s="1042"/>
      <c r="I38" s="1274"/>
      <c r="J38" s="1042"/>
      <c r="K38" s="999"/>
      <c r="L38" s="999"/>
      <c r="M38" s="1000"/>
      <c r="N38" s="1000"/>
      <c r="O38" s="1001"/>
      <c r="P38" s="999"/>
      <c r="Q38" s="1042"/>
      <c r="R38" s="1042"/>
      <c r="S38" s="965"/>
      <c r="T38" s="169">
        <f>+'Panco Pro Forma Plant Additions'!E16</f>
        <v>7524903.3599999994</v>
      </c>
      <c r="U38" s="169"/>
      <c r="V38" s="169"/>
      <c r="W38" s="989"/>
      <c r="X38" s="168"/>
      <c r="Y38" s="168">
        <f>+'CRM Adjustment (a)'!C14</f>
        <v>3023677.9137500022</v>
      </c>
      <c r="Z38" s="1262"/>
      <c r="AA38" s="167"/>
      <c r="AB38" s="167"/>
      <c r="AC38" s="167"/>
      <c r="AD38" s="167"/>
      <c r="AE38" s="167"/>
      <c r="AF38" s="182"/>
      <c r="AG38" s="193">
        <f>SUM(G38:AF38)</f>
        <v>10548581.273750002</v>
      </c>
      <c r="AH38" s="101"/>
    </row>
    <row r="39" spans="1:145">
      <c r="A39" s="163">
        <v>22</v>
      </c>
      <c r="B39" s="143"/>
      <c r="C39" s="53" t="s">
        <v>40</v>
      </c>
      <c r="D39" s="139"/>
      <c r="E39" s="143"/>
      <c r="F39" s="101"/>
      <c r="G39" s="1268"/>
      <c r="H39" s="166"/>
      <c r="I39" s="1268"/>
      <c r="J39" s="166"/>
      <c r="K39" s="1009"/>
      <c r="L39" s="1009"/>
      <c r="M39" s="1010"/>
      <c r="N39" s="1010"/>
      <c r="O39" s="1011"/>
      <c r="P39" s="1009"/>
      <c r="Q39" s="166"/>
      <c r="R39" s="166"/>
      <c r="S39" s="969"/>
      <c r="T39" s="195">
        <f>-'Panco Pro Forma Plant Additions'!E19</f>
        <v>-76151.463117499996</v>
      </c>
      <c r="U39" s="195"/>
      <c r="V39" s="195"/>
      <c r="W39" s="1052"/>
      <c r="X39" s="166"/>
      <c r="Y39" s="166">
        <f>-'CRM Adjustment (a)'!C17</f>
        <v>-39005.445087375025</v>
      </c>
      <c r="Z39" s="1268"/>
      <c r="AA39" s="167"/>
      <c r="AB39" s="167"/>
      <c r="AC39" s="194"/>
      <c r="AD39" s="194"/>
      <c r="AE39" s="194"/>
      <c r="AF39" s="183"/>
      <c r="AG39" s="193">
        <f>SUM(G39:AF39)</f>
        <v>-115156.90820487501</v>
      </c>
      <c r="AH39" s="101"/>
    </row>
    <row r="40" spans="1:145">
      <c r="A40" s="163">
        <v>23</v>
      </c>
      <c r="B40" s="143"/>
      <c r="C40" s="64" t="s">
        <v>13</v>
      </c>
      <c r="D40" s="139"/>
      <c r="E40" s="143"/>
      <c r="F40" s="101"/>
      <c r="G40" s="1268"/>
      <c r="H40" s="166"/>
      <c r="I40" s="1268"/>
      <c r="J40" s="166"/>
      <c r="K40" s="1009"/>
      <c r="L40" s="1009"/>
      <c r="M40" s="1010"/>
      <c r="N40" s="1010"/>
      <c r="O40" s="1011"/>
      <c r="P40" s="1009"/>
      <c r="Q40" s="166"/>
      <c r="R40" s="166"/>
      <c r="S40" s="969"/>
      <c r="T40" s="195"/>
      <c r="U40" s="195"/>
      <c r="V40" s="195"/>
      <c r="W40" s="1052"/>
      <c r="X40" s="166"/>
      <c r="Y40" s="166"/>
      <c r="Z40" s="1268"/>
      <c r="AA40" s="194"/>
      <c r="AB40" s="194"/>
      <c r="AC40" s="194"/>
      <c r="AD40" s="194"/>
      <c r="AE40" s="194"/>
      <c r="AF40" s="183"/>
      <c r="AG40" s="193">
        <f>SUM(G40:AF40)</f>
        <v>0</v>
      </c>
      <c r="AH40" s="101"/>
    </row>
    <row r="41" spans="1:145" ht="16.5" thickBot="1">
      <c r="A41" s="163">
        <v>24</v>
      </c>
      <c r="B41" s="143"/>
      <c r="C41" s="64" t="s">
        <v>41</v>
      </c>
      <c r="D41" s="139"/>
      <c r="E41" s="143"/>
      <c r="F41" s="101"/>
      <c r="G41" s="1268"/>
      <c r="H41" s="166"/>
      <c r="I41" s="1268"/>
      <c r="J41" s="166"/>
      <c r="K41" s="1009"/>
      <c r="L41" s="1009"/>
      <c r="M41" s="1010"/>
      <c r="N41" s="1010"/>
      <c r="O41" s="1011"/>
      <c r="P41" s="1009"/>
      <c r="Q41" s="166"/>
      <c r="R41" s="166"/>
      <c r="S41" s="969"/>
      <c r="T41" s="195">
        <f>-'Panco Pro Forma Plant Additions'!E22</f>
        <v>-22729.166208874998</v>
      </c>
      <c r="U41" s="195"/>
      <c r="V41" s="195"/>
      <c r="W41" s="1052"/>
      <c r="X41" s="166"/>
      <c r="Y41" s="166">
        <f>-'CRM Adjustment (a)'!C20</f>
        <v>-6190.9805284031308</v>
      </c>
      <c r="Z41" s="1268"/>
      <c r="AA41" s="194"/>
      <c r="AB41" s="194"/>
      <c r="AC41" s="194"/>
      <c r="AD41" s="194"/>
      <c r="AE41" s="194"/>
      <c r="AF41" s="196"/>
      <c r="AG41" s="193">
        <f>SUM(G41:AF41)</f>
        <v>-28920.14673727813</v>
      </c>
      <c r="AH41" s="101"/>
    </row>
    <row r="42" spans="1:145">
      <c r="A42" s="163">
        <v>25</v>
      </c>
      <c r="B42" s="143"/>
      <c r="C42" s="64" t="s">
        <v>42</v>
      </c>
      <c r="D42" s="139"/>
      <c r="E42" s="143"/>
      <c r="F42" s="101"/>
      <c r="G42" s="1268"/>
      <c r="H42" s="166"/>
      <c r="I42" s="1268"/>
      <c r="J42" s="166"/>
      <c r="K42" s="1009"/>
      <c r="L42" s="1009"/>
      <c r="M42" s="1010">
        <v>-12922679</v>
      </c>
      <c r="N42" s="1010"/>
      <c r="O42" s="1011"/>
      <c r="P42" s="1009"/>
      <c r="Q42" s="166"/>
      <c r="R42" s="166"/>
      <c r="S42" s="969"/>
      <c r="T42" s="195"/>
      <c r="U42" s="195"/>
      <c r="V42" s="195"/>
      <c r="W42" s="1052"/>
      <c r="X42" s="166"/>
      <c r="Y42" s="166"/>
      <c r="Z42" s="1268"/>
      <c r="AA42" s="194"/>
      <c r="AB42" s="194"/>
      <c r="AC42" s="194"/>
      <c r="AD42" s="194"/>
      <c r="AE42" s="194"/>
      <c r="AF42" s="183"/>
      <c r="AG42" s="193">
        <f>SUM(G42:AF42)</f>
        <v>-12922679</v>
      </c>
      <c r="AH42" s="101"/>
    </row>
    <row r="43" spans="1:145" ht="16.5" thickBot="1">
      <c r="A43" s="163">
        <v>26</v>
      </c>
      <c r="B43" s="143"/>
      <c r="C43" s="78" t="s">
        <v>38</v>
      </c>
      <c r="D43" s="139"/>
      <c r="E43" s="143"/>
      <c r="F43" s="101"/>
      <c r="G43" s="1269">
        <f>SUM(G38:G42)</f>
        <v>0</v>
      </c>
      <c r="H43" s="197">
        <f>SUM(H38:H42)</f>
        <v>0</v>
      </c>
      <c r="I43" s="1269">
        <f>SUM(I38:I42)</f>
        <v>0</v>
      </c>
      <c r="J43" s="197">
        <f>SUM(J38:J42)</f>
        <v>0</v>
      </c>
      <c r="K43" s="1012">
        <f t="shared" ref="K43:O43" si="16">SUM(K38:K42)</f>
        <v>0</v>
      </c>
      <c r="L43" s="1012">
        <f t="shared" si="16"/>
        <v>0</v>
      </c>
      <c r="M43" s="1013">
        <f t="shared" si="16"/>
        <v>-12922679</v>
      </c>
      <c r="N43" s="1013"/>
      <c r="O43" s="1014">
        <f t="shared" si="16"/>
        <v>0</v>
      </c>
      <c r="P43" s="1012">
        <f>SUM(P38:P42)</f>
        <v>0</v>
      </c>
      <c r="Q43" s="197"/>
      <c r="R43" s="197">
        <f>SUM(R38:R42)</f>
        <v>0</v>
      </c>
      <c r="S43" s="970">
        <f>SUM(S38:S42)</f>
        <v>0</v>
      </c>
      <c r="T43" s="1037">
        <f>SUM(T38:T42)</f>
        <v>7426022.7306736242</v>
      </c>
      <c r="U43" s="1037">
        <f>SUM(U38:U42)</f>
        <v>0</v>
      </c>
      <c r="V43" s="1037"/>
      <c r="W43" s="1014"/>
      <c r="X43" s="197">
        <f t="shared" ref="X43:AE43" si="17">SUM(X38:X42)</f>
        <v>0</v>
      </c>
      <c r="Y43" s="197">
        <f t="shared" si="17"/>
        <v>2978481.488134224</v>
      </c>
      <c r="Z43" s="1269">
        <f t="shared" si="17"/>
        <v>0</v>
      </c>
      <c r="AA43" s="197">
        <f t="shared" si="17"/>
        <v>0</v>
      </c>
      <c r="AB43" s="197">
        <f t="shared" si="17"/>
        <v>0</v>
      </c>
      <c r="AC43" s="197">
        <f t="shared" si="17"/>
        <v>0</v>
      </c>
      <c r="AD43" s="197">
        <f t="shared" si="17"/>
        <v>0</v>
      </c>
      <c r="AE43" s="197">
        <f t="shared" si="17"/>
        <v>0</v>
      </c>
      <c r="AF43" s="196"/>
      <c r="AG43" s="197">
        <f>SUM(AG38:AG42)</f>
        <v>-2518174.7811921518</v>
      </c>
      <c r="AH43" s="101"/>
    </row>
    <row r="44" spans="1:145" ht="16.5" thickBot="1">
      <c r="A44" s="163"/>
      <c r="B44" s="170"/>
      <c r="C44" s="198"/>
      <c r="D44" s="171"/>
      <c r="E44" s="170"/>
      <c r="F44" s="172"/>
      <c r="G44" s="1263"/>
      <c r="H44" s="174"/>
      <c r="I44" s="1263"/>
      <c r="J44" s="174"/>
      <c r="K44" s="990"/>
      <c r="L44" s="990"/>
      <c r="M44" s="991"/>
      <c r="N44" s="991"/>
      <c r="O44" s="992"/>
      <c r="P44" s="990"/>
      <c r="Q44" s="174"/>
      <c r="R44" s="174"/>
      <c r="S44" s="1023"/>
      <c r="T44" s="1038"/>
      <c r="U44" s="1032"/>
      <c r="V44" s="1032"/>
      <c r="W44" s="992"/>
      <c r="X44" s="174"/>
      <c r="Y44" s="199"/>
      <c r="Z44" s="1263"/>
      <c r="AA44" s="173"/>
      <c r="AB44" s="173"/>
      <c r="AC44" s="173"/>
      <c r="AD44" s="173"/>
      <c r="AE44" s="173"/>
      <c r="AF44" s="184"/>
      <c r="AG44" s="199"/>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c r="EN44" s="200"/>
      <c r="EO44" s="200"/>
    </row>
    <row r="45" spans="1:145">
      <c r="A45" s="163">
        <v>27</v>
      </c>
      <c r="B45" s="201"/>
      <c r="C45" s="202" t="s">
        <v>55</v>
      </c>
      <c r="D45" s="203"/>
      <c r="E45" s="170"/>
      <c r="F45" s="172"/>
      <c r="G45" s="1270">
        <f>((+G43*'Capital Structure Calculation'!$J$14)-'Exh KMH-2 Adjustments Pg 2'!G35)/'Conversion Factor'!$C$25</f>
        <v>-3935555.7416986343</v>
      </c>
      <c r="H45" s="205">
        <f>((+H43*'Capital Structure Calculation'!$J$14)-'Exh KMH-2 Adjustments Pg 2'!H35)/'Conversion Factor'!$C$25</f>
        <v>-57253.340017745795</v>
      </c>
      <c r="I45" s="1270">
        <f>((+I43*'Capital Structure Calculation'!$J$14)-'Exh KMH-2 Adjustments Pg 2'!I35)/'Conversion Factor'!$C$25</f>
        <v>2507281.03112935</v>
      </c>
      <c r="J45" s="205">
        <f>((+J43*'Capital Structure Calculation'!$J$14)-'Exh KMH-2 Adjustments Pg 2'!J35)/'Conversion Factor'!$C$25</f>
        <v>-558062.81703061506</v>
      </c>
      <c r="K45" s="1061">
        <f>((+K43*'Capital Structure Calculation'!$J$14)-'Exh KMH-2 Adjustments Pg 2'!K35)/'Conversion Factor'!$C$25</f>
        <v>-1482800.385061916</v>
      </c>
      <c r="L45" s="1061">
        <f>((+L43*'Capital Structure Calculation'!$J$14)-'Exh KMH-2 Adjustments Pg 2'!L35)/'Conversion Factor'!$C$25</f>
        <v>-133420.25646762407</v>
      </c>
      <c r="M45" s="1062">
        <f>((+M43*'Capital Structure Calculation'!$J$14)-'Exh KMH-2 Adjustments Pg 2'!M35)/'Conversion Factor'!$C$25</f>
        <v>-1500511.9880491102</v>
      </c>
      <c r="N45" s="1063"/>
      <c r="O45" s="1053">
        <f>((+O43*'Capital Structure Calculation'!$J$14)-'Exh KMH-2 Adjustments Pg 2'!O35)/'Conversion Factor'!$C$25</f>
        <v>-220528.27722253176</v>
      </c>
      <c r="P45" s="1061">
        <f>((+P43*'Capital Structure Calculation'!$J$14)-'Exh KMH-2 Adjustments Pg 2'!P35)/'Conversion Factor'!$C$25</f>
        <v>80599.039860773482</v>
      </c>
      <c r="Q45" s="205"/>
      <c r="R45" s="205">
        <f>((+R43*'Capital Structure Calculation'!$J$14)-'Exh KMH-2 Adjustments Pg 2'!R35)/'Conversion Factor'!$C$25</f>
        <v>568239.0967136228</v>
      </c>
      <c r="S45" s="971">
        <f>((+S43*'Capital Structure Calculation'!$J$14)-'Exh KMH-2 Adjustments Pg 2'!S35)/'Conversion Factor'!$C$25</f>
        <v>699404.48195881594</v>
      </c>
      <c r="T45" s="1039">
        <f>((+T43*'Capital Structure Calculation'!$J$14)-'Exh KMH-2 Adjustments Pg 2'!T35)/'Conversion Factor'!$C$25</f>
        <v>913670.1773446548</v>
      </c>
      <c r="U45" s="1039">
        <f>((+U43*'Capital Structure Calculation'!$J$14)-'Exh KMH-2 Adjustments Pg 2'!U35)/'Conversion Factor'!$C$25</f>
        <v>128703.23074252407</v>
      </c>
      <c r="V45" s="1039">
        <f>((+V43*'Capital Structure Calculation'!$J$14)-'Exh KMH-2 Adjustments Pg 2'!V35)/'Conversion Factor'!$C$25</f>
        <v>208450.6238966629</v>
      </c>
      <c r="W45" s="1053">
        <f>((+W43*'Capital Structure Calculation'!$J$14)-'Exh KMH-2 Adjustments Pg 2'!W35)/'Conversion Factor'!$C$25</f>
        <v>443354.48261606885</v>
      </c>
      <c r="X45" s="205">
        <f>((+X43*'Capital Structure Calculation'!$J$14)-'Exh KMH-2 Adjustments Pg 2'!X35)/'Conversion Factor'!$C$25</f>
        <v>101645</v>
      </c>
      <c r="Y45" s="205">
        <f>((+Y43*'Capital Structure Calculation'!$J$14)-'Exh KMH-2 Adjustments Pg 2'!Y35)/'Conversion Factor'!$C$25</f>
        <v>427473.33033583936</v>
      </c>
      <c r="Z45" s="1270">
        <f>((+Z43*'Capital Structure Calculation'!$J$14)-'Exh KMH-2 Adjustments Pg 2'!Z35)/'Conversion Factor'!$C$25</f>
        <v>-7304335.734831797</v>
      </c>
      <c r="AA45" s="204">
        <f>((+AA43*'Capital Structure Calculation'!$J$14)-'Exh KMH-2 Adjustments Pg 2'!AA35)/'Conversion Factor'!$C$25</f>
        <v>0</v>
      </c>
      <c r="AB45" s="204">
        <f>((+AB43*'Capital Structure Calculation'!$J$14)-'Exh KMH-2 Adjustments Pg 2'!AB35)/'Conversion Factor'!$C$25</f>
        <v>0</v>
      </c>
      <c r="AC45" s="204">
        <f>((+AC43*'Capital Structure Calculation'!$J$14)-'Exh KMH-2 Adjustments Pg 2'!AC35)/'Conversion Factor'!$C$25</f>
        <v>0</v>
      </c>
      <c r="AD45" s="204">
        <f>((+AD43*'Capital Structure Calculation'!$J$14)-'Exh KMH-2 Adjustments Pg 2'!AD35)/'Conversion Factor'!$C$25</f>
        <v>0</v>
      </c>
      <c r="AE45" s="204">
        <f>((+AE43*'Capital Structure Calculation'!$J$14)-'Exh KMH-2 Adjustments Pg 2'!AE35)/'Conversion Factor'!$C$25</f>
        <v>0</v>
      </c>
      <c r="AF45" s="204"/>
      <c r="AG45" s="204">
        <f>((+AG43*'Capital Structure Calculation'!$J$14)-'Exh KMH-2 Adjustments Pg 2'!AG35)/'Conversion Factor'!$C$25</f>
        <v>-9113648.0457816627</v>
      </c>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row>
    <row r="46" spans="1:145">
      <c r="A46" s="101"/>
      <c r="B46" s="101"/>
      <c r="C46" s="101"/>
      <c r="D46" s="101"/>
      <c r="E46" s="101"/>
      <c r="F46" s="101"/>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row>
    <row r="47" spans="1:145">
      <c r="A47" s="101"/>
      <c r="B47" s="101"/>
      <c r="C47" s="101"/>
      <c r="D47" s="101"/>
      <c r="E47" s="101"/>
      <c r="F47" s="101"/>
      <c r="G47" s="208"/>
      <c r="H47" s="208"/>
      <c r="I47" s="208"/>
      <c r="J47" s="208"/>
      <c r="K47" s="208"/>
      <c r="L47" s="208"/>
      <c r="M47" s="208"/>
      <c r="N47" s="208"/>
      <c r="O47" s="208"/>
      <c r="P47" s="208"/>
      <c r="Q47" s="208"/>
      <c r="R47" s="208"/>
      <c r="S47" s="208"/>
      <c r="T47" s="208"/>
      <c r="U47" s="208"/>
      <c r="V47" s="208"/>
      <c r="W47" s="208"/>
      <c r="X47" s="208"/>
      <c r="Y47" s="208"/>
      <c r="Z47" s="208"/>
      <c r="AA47" s="209"/>
      <c r="AB47" s="209"/>
      <c r="AC47" s="209"/>
      <c r="AD47" s="209"/>
      <c r="AE47" s="209"/>
      <c r="AF47" s="209"/>
      <c r="AG47" s="102"/>
      <c r="AH47" s="102"/>
      <c r="AI47" s="102"/>
      <c r="AJ47" s="102"/>
      <c r="AK47" s="102"/>
      <c r="AL47" s="102"/>
      <c r="AM47" s="102"/>
      <c r="AN47" s="102"/>
      <c r="AO47" s="102"/>
      <c r="AP47" s="102"/>
      <c r="AQ47" s="102"/>
      <c r="AR47" s="102"/>
      <c r="AS47" s="102"/>
      <c r="AT47" s="102"/>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row>
    <row r="48" spans="1:145">
      <c r="A48" s="101"/>
      <c r="B48" s="101"/>
      <c r="C48" s="101"/>
      <c r="D48" s="101"/>
      <c r="E48" s="101"/>
      <c r="F48" s="101"/>
      <c r="G48" s="102"/>
      <c r="H48" s="102"/>
      <c r="I48" s="102"/>
      <c r="J48" s="102"/>
      <c r="K48" s="102"/>
      <c r="L48" s="102"/>
      <c r="M48" s="102"/>
      <c r="N48" s="102"/>
      <c r="O48" s="102"/>
      <c r="P48" s="102"/>
      <c r="Q48" s="102"/>
      <c r="R48" s="102"/>
      <c r="S48" s="210"/>
      <c r="T48" s="102"/>
      <c r="U48" s="102"/>
      <c r="V48" s="102"/>
      <c r="W48" s="102"/>
      <c r="X48" s="102"/>
      <c r="Y48" s="102"/>
      <c r="Z48" s="102"/>
      <c r="AA48" s="102"/>
      <c r="AB48" s="102"/>
      <c r="AC48" s="102"/>
      <c r="AD48" s="102"/>
      <c r="AE48" s="102"/>
      <c r="AF48" s="102"/>
      <c r="AG48" s="211"/>
      <c r="AH48" s="102"/>
      <c r="AI48" s="102"/>
      <c r="AJ48" s="102"/>
      <c r="AK48" s="102"/>
      <c r="AL48" s="102"/>
      <c r="AM48" s="102"/>
      <c r="AN48" s="102"/>
      <c r="AO48" s="102"/>
      <c r="AP48" s="102"/>
      <c r="AQ48" s="102"/>
      <c r="AR48" s="102"/>
      <c r="AS48" s="102"/>
      <c r="AT48" s="102"/>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row>
    <row r="49" spans="1:145">
      <c r="A49" s="101"/>
      <c r="B49" s="101"/>
      <c r="C49" s="101"/>
      <c r="D49" s="101"/>
      <c r="E49" s="101"/>
      <c r="F49" s="101"/>
      <c r="G49" s="102"/>
      <c r="H49" s="102"/>
      <c r="I49" s="102"/>
      <c r="J49" s="102"/>
      <c r="K49" s="102"/>
      <c r="L49" s="102"/>
      <c r="M49" s="102"/>
      <c r="N49" s="102"/>
      <c r="O49" s="102"/>
      <c r="P49" s="102"/>
      <c r="Q49" s="102"/>
      <c r="R49" s="102"/>
      <c r="S49" s="212"/>
      <c r="T49" s="102"/>
      <c r="U49" s="102"/>
      <c r="V49" s="102"/>
      <c r="W49" s="102"/>
      <c r="X49" s="102"/>
      <c r="Y49" s="102"/>
      <c r="Z49" s="102"/>
      <c r="AA49" s="102"/>
      <c r="AB49" s="102"/>
      <c r="AC49" s="102"/>
      <c r="AD49" s="102"/>
      <c r="AE49" s="102"/>
      <c r="AF49" s="102"/>
      <c r="AG49" s="213"/>
      <c r="AH49" s="102"/>
      <c r="AI49" s="102"/>
      <c r="AJ49" s="102"/>
      <c r="AK49" s="102"/>
      <c r="AL49" s="102"/>
      <c r="AM49" s="102"/>
      <c r="AN49" s="102"/>
      <c r="AO49" s="102"/>
      <c r="AP49" s="102"/>
      <c r="AQ49" s="102"/>
      <c r="AR49" s="102"/>
      <c r="AS49" s="102"/>
      <c r="AT49" s="102"/>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row>
    <row r="50" spans="1:145">
      <c r="A50" s="101"/>
      <c r="B50" s="101"/>
      <c r="C50" s="101"/>
      <c r="D50" s="101"/>
      <c r="E50" s="101"/>
      <c r="F50" s="101"/>
      <c r="G50" s="102"/>
      <c r="H50" s="214"/>
      <c r="I50" s="214"/>
      <c r="J50" s="214"/>
      <c r="K50" s="214"/>
      <c r="L50" s="214"/>
      <c r="M50" s="214"/>
      <c r="N50" s="214"/>
      <c r="O50" s="214"/>
      <c r="P50" s="214"/>
      <c r="Q50" s="214"/>
      <c r="R50" s="214"/>
      <c r="S50" s="212"/>
      <c r="T50" s="214"/>
      <c r="U50" s="214"/>
      <c r="V50" s="214"/>
      <c r="W50" s="214"/>
      <c r="X50" s="214"/>
      <c r="Y50" s="214"/>
      <c r="Z50" s="214"/>
      <c r="AA50" s="214"/>
      <c r="AB50" s="214"/>
      <c r="AC50" s="214"/>
      <c r="AD50" s="214"/>
      <c r="AE50" s="214"/>
      <c r="AF50" s="102"/>
      <c r="AG50" s="102"/>
      <c r="AH50" s="102"/>
      <c r="AI50" s="102"/>
      <c r="AJ50" s="102"/>
      <c r="AK50" s="102"/>
      <c r="AL50" s="102"/>
      <c r="AM50" s="102"/>
      <c r="AN50" s="102"/>
      <c r="AO50" s="102"/>
      <c r="AP50" s="102"/>
      <c r="AQ50" s="102"/>
      <c r="AR50" s="102"/>
      <c r="AS50" s="102"/>
      <c r="AT50" s="102"/>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row>
    <row r="51" spans="1:145">
      <c r="A51" s="101"/>
      <c r="B51" s="101"/>
      <c r="C51" s="101"/>
      <c r="D51" s="101"/>
      <c r="E51" s="101"/>
      <c r="F51" s="101"/>
      <c r="G51" s="102"/>
      <c r="H51" s="102"/>
      <c r="I51" s="102"/>
      <c r="J51" s="102"/>
      <c r="K51" s="102"/>
      <c r="L51" s="102"/>
      <c r="M51" s="102"/>
      <c r="N51" s="102"/>
      <c r="O51" s="102"/>
      <c r="P51" s="102"/>
      <c r="Q51" s="102"/>
      <c r="R51" s="102"/>
      <c r="S51" s="21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row>
    <row r="52" spans="1:145">
      <c r="A52" s="101"/>
      <c r="B52" s="101"/>
      <c r="C52" s="101"/>
      <c r="D52" s="101"/>
      <c r="E52" s="101"/>
      <c r="F52" s="101"/>
      <c r="G52" s="102"/>
      <c r="H52" s="214"/>
      <c r="I52" s="214"/>
      <c r="J52" s="214"/>
      <c r="K52" s="214"/>
      <c r="L52" s="214"/>
      <c r="M52" s="214"/>
      <c r="N52" s="214"/>
      <c r="O52" s="214"/>
      <c r="P52" s="214"/>
      <c r="Q52" s="214"/>
      <c r="R52" s="214"/>
      <c r="S52" s="212"/>
      <c r="T52" s="214"/>
      <c r="U52" s="214"/>
      <c r="V52" s="214"/>
      <c r="W52" s="214"/>
      <c r="X52" s="214"/>
      <c r="Y52" s="214"/>
      <c r="Z52" s="214"/>
      <c r="AA52" s="214"/>
      <c r="AB52" s="214"/>
      <c r="AC52" s="214"/>
      <c r="AD52" s="214"/>
      <c r="AE52" s="214"/>
      <c r="AF52" s="102"/>
      <c r="AG52" s="102"/>
      <c r="AH52" s="102"/>
      <c r="AI52" s="102"/>
      <c r="AJ52" s="102"/>
      <c r="AK52" s="102"/>
      <c r="AL52" s="102"/>
      <c r="AM52" s="102"/>
      <c r="AN52" s="102"/>
      <c r="AO52" s="102"/>
      <c r="AP52" s="102"/>
      <c r="AQ52" s="102"/>
      <c r="AR52" s="102"/>
      <c r="AS52" s="102"/>
      <c r="AT52" s="102"/>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row>
    <row r="53" spans="1:145">
      <c r="A53" s="101"/>
      <c r="B53" s="101"/>
      <c r="C53" s="101"/>
      <c r="D53" s="101"/>
      <c r="E53" s="101"/>
      <c r="F53" s="101"/>
      <c r="G53" s="102"/>
      <c r="H53" s="215"/>
      <c r="I53" s="215"/>
      <c r="J53" s="215"/>
      <c r="K53" s="215"/>
      <c r="L53" s="215"/>
      <c r="M53" s="215"/>
      <c r="N53" s="215"/>
      <c r="O53" s="215"/>
      <c r="P53" s="215"/>
      <c r="Q53" s="215"/>
      <c r="R53" s="215"/>
      <c r="S53" s="212"/>
      <c r="T53" s="215"/>
      <c r="U53" s="215"/>
      <c r="V53" s="215"/>
      <c r="W53" s="215"/>
      <c r="X53" s="215"/>
      <c r="Y53" s="215"/>
      <c r="Z53" s="215"/>
      <c r="AA53" s="215"/>
      <c r="AB53" s="215"/>
      <c r="AC53" s="215"/>
      <c r="AD53" s="215"/>
      <c r="AE53" s="215"/>
      <c r="AF53" s="102"/>
      <c r="AG53" s="102"/>
      <c r="AH53" s="102"/>
      <c r="AI53" s="102"/>
      <c r="AJ53" s="102"/>
      <c r="AK53" s="102"/>
      <c r="AL53" s="102"/>
      <c r="AM53" s="102"/>
      <c r="AN53" s="102"/>
      <c r="AO53" s="102"/>
      <c r="AP53" s="102"/>
      <c r="AQ53" s="102"/>
      <c r="AR53" s="102"/>
      <c r="AS53" s="102"/>
      <c r="AT53" s="102"/>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row>
    <row r="54" spans="1:145">
      <c r="A54" s="101"/>
      <c r="B54" s="101"/>
      <c r="C54" s="101"/>
      <c r="D54" s="101"/>
      <c r="E54" s="101"/>
      <c r="F54" s="101"/>
      <c r="G54" s="102"/>
      <c r="H54" s="215"/>
      <c r="I54" s="215"/>
      <c r="J54" s="215"/>
      <c r="K54" s="215"/>
      <c r="L54" s="215"/>
      <c r="M54" s="215"/>
      <c r="N54" s="215"/>
      <c r="O54" s="215"/>
      <c r="P54" s="215"/>
      <c r="Q54" s="215"/>
      <c r="R54" s="215"/>
      <c r="S54" s="212"/>
      <c r="T54" s="215"/>
      <c r="U54" s="215"/>
      <c r="V54" s="215"/>
      <c r="W54" s="215"/>
      <c r="X54" s="215"/>
      <c r="Y54" s="215"/>
      <c r="Z54" s="215"/>
      <c r="AA54" s="215"/>
      <c r="AB54" s="215"/>
      <c r="AC54" s="215"/>
      <c r="AD54" s="215"/>
      <c r="AE54" s="215"/>
      <c r="AF54" s="102"/>
      <c r="AG54" s="102"/>
      <c r="AH54" s="102"/>
      <c r="AI54" s="102"/>
      <c r="AJ54" s="102"/>
      <c r="AK54" s="102"/>
      <c r="AL54" s="102"/>
      <c r="AM54" s="102"/>
      <c r="AN54" s="102"/>
      <c r="AO54" s="102"/>
      <c r="AP54" s="102"/>
      <c r="AQ54" s="102"/>
      <c r="AR54" s="102"/>
      <c r="AS54" s="102"/>
      <c r="AT54" s="102"/>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row>
    <row r="55" spans="1:145">
      <c r="A55" s="101"/>
      <c r="B55" s="101"/>
      <c r="C55" s="101"/>
      <c r="D55" s="101"/>
      <c r="E55" s="101"/>
      <c r="F55" s="101"/>
      <c r="G55" s="102"/>
      <c r="H55" s="215"/>
      <c r="I55" s="215"/>
      <c r="J55" s="215"/>
      <c r="K55" s="215"/>
      <c r="L55" s="215"/>
      <c r="M55" s="215"/>
      <c r="N55" s="215"/>
      <c r="O55" s="215"/>
      <c r="P55" s="215"/>
      <c r="Q55" s="215"/>
      <c r="R55" s="215"/>
      <c r="S55" s="212"/>
      <c r="T55" s="215"/>
      <c r="U55" s="215"/>
      <c r="V55" s="215"/>
      <c r="W55" s="215"/>
      <c r="X55" s="215"/>
      <c r="Y55" s="215"/>
      <c r="Z55" s="215"/>
      <c r="AA55" s="215"/>
      <c r="AB55" s="215"/>
      <c r="AC55" s="215"/>
      <c r="AD55" s="215"/>
      <c r="AE55" s="215"/>
      <c r="AF55" s="102"/>
      <c r="AG55" s="102"/>
      <c r="AH55" s="102"/>
      <c r="AI55" s="102"/>
      <c r="AJ55" s="102"/>
      <c r="AK55" s="102"/>
      <c r="AL55" s="102"/>
      <c r="AM55" s="102"/>
      <c r="AN55" s="102"/>
      <c r="AO55" s="102"/>
      <c r="AP55" s="102"/>
      <c r="AQ55" s="102"/>
      <c r="AR55" s="102"/>
      <c r="AS55" s="102"/>
      <c r="AT55" s="102"/>
    </row>
    <row r="56" spans="1:145">
      <c r="A56" s="101"/>
      <c r="B56" s="101"/>
      <c r="C56" s="101"/>
      <c r="D56" s="101"/>
      <c r="E56" s="101"/>
      <c r="F56" s="101"/>
      <c r="G56" s="102"/>
      <c r="H56" s="215"/>
      <c r="I56" s="215"/>
      <c r="J56" s="215"/>
      <c r="K56" s="215"/>
      <c r="L56" s="215"/>
      <c r="M56" s="215"/>
      <c r="N56" s="215"/>
      <c r="O56" s="215"/>
      <c r="P56" s="215"/>
      <c r="Q56" s="215"/>
      <c r="R56" s="215"/>
      <c r="S56" s="212"/>
      <c r="T56" s="215"/>
      <c r="U56" s="215"/>
      <c r="V56" s="215"/>
      <c r="W56" s="215"/>
      <c r="X56" s="215"/>
      <c r="Y56" s="215"/>
      <c r="Z56" s="215"/>
      <c r="AA56" s="215"/>
      <c r="AB56" s="215"/>
      <c r="AC56" s="215"/>
      <c r="AD56" s="215"/>
      <c r="AE56" s="215"/>
      <c r="AF56" s="102"/>
      <c r="AG56" s="102"/>
      <c r="AH56" s="102"/>
      <c r="AI56" s="102"/>
      <c r="AJ56" s="102"/>
      <c r="AK56" s="102"/>
      <c r="AL56" s="102"/>
      <c r="AM56" s="102"/>
      <c r="AN56" s="102"/>
      <c r="AO56" s="102"/>
      <c r="AP56" s="102"/>
      <c r="AQ56" s="102"/>
      <c r="AR56" s="102"/>
      <c r="AS56" s="102"/>
      <c r="AT56" s="102"/>
    </row>
    <row r="57" spans="1:145">
      <c r="A57" s="101"/>
      <c r="B57" s="101"/>
      <c r="C57" s="101"/>
      <c r="D57" s="101"/>
      <c r="E57" s="101"/>
      <c r="F57" s="101"/>
      <c r="G57" s="102"/>
      <c r="H57" s="102"/>
      <c r="I57" s="102"/>
      <c r="J57" s="102"/>
      <c r="K57" s="102"/>
      <c r="L57" s="102"/>
      <c r="M57" s="102"/>
      <c r="N57" s="102"/>
      <c r="O57" s="102"/>
      <c r="P57" s="102"/>
      <c r="Q57" s="102"/>
      <c r="R57" s="102"/>
      <c r="S57" s="21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row>
    <row r="58" spans="1:145">
      <c r="A58" s="101"/>
      <c r="B58" s="101"/>
      <c r="C58" s="101"/>
      <c r="D58" s="101"/>
      <c r="E58" s="101"/>
      <c r="F58" s="101"/>
      <c r="G58" s="102"/>
      <c r="H58" s="215"/>
      <c r="I58" s="215"/>
      <c r="J58" s="215"/>
      <c r="K58" s="215"/>
      <c r="L58" s="215"/>
      <c r="M58" s="215"/>
      <c r="N58" s="215"/>
      <c r="O58" s="215"/>
      <c r="P58" s="215"/>
      <c r="Q58" s="215"/>
      <c r="R58" s="215"/>
      <c r="S58" s="212"/>
      <c r="T58" s="215"/>
      <c r="U58" s="215"/>
      <c r="V58" s="215"/>
      <c r="W58" s="215"/>
      <c r="X58" s="215"/>
      <c r="Y58" s="215"/>
      <c r="Z58" s="215"/>
      <c r="AA58" s="215"/>
      <c r="AB58" s="215"/>
      <c r="AC58" s="215"/>
      <c r="AD58" s="215"/>
      <c r="AE58" s="215"/>
      <c r="AF58" s="102"/>
      <c r="AG58" s="102"/>
      <c r="AH58" s="102"/>
      <c r="AI58" s="102"/>
      <c r="AJ58" s="102"/>
      <c r="AK58" s="102"/>
      <c r="AL58" s="102"/>
      <c r="AM58" s="102"/>
      <c r="AN58" s="102"/>
      <c r="AO58" s="102"/>
      <c r="AP58" s="102"/>
      <c r="AQ58" s="102"/>
      <c r="AR58" s="102"/>
      <c r="AS58" s="102"/>
      <c r="AT58" s="102"/>
    </row>
    <row r="59" spans="1:145">
      <c r="A59" s="101"/>
      <c r="B59" s="101"/>
      <c r="C59" s="101"/>
      <c r="D59" s="101"/>
      <c r="E59" s="101"/>
      <c r="F59" s="101"/>
      <c r="G59" s="102"/>
      <c r="H59" s="216"/>
      <c r="I59" s="216"/>
      <c r="J59" s="216"/>
      <c r="K59" s="216"/>
      <c r="L59" s="216"/>
      <c r="M59" s="216"/>
      <c r="N59" s="216"/>
      <c r="O59" s="216"/>
      <c r="P59" s="216"/>
      <c r="Q59" s="216"/>
      <c r="R59" s="216"/>
      <c r="S59" s="212"/>
      <c r="T59" s="216"/>
      <c r="U59" s="216"/>
      <c r="V59" s="216"/>
      <c r="W59" s="216"/>
      <c r="X59" s="216"/>
      <c r="Y59" s="216"/>
      <c r="Z59" s="216"/>
      <c r="AA59" s="216"/>
      <c r="AB59" s="216"/>
      <c r="AC59" s="216"/>
      <c r="AD59" s="216"/>
      <c r="AE59" s="216"/>
      <c r="AF59" s="102"/>
      <c r="AG59" s="102"/>
      <c r="AH59" s="102"/>
      <c r="AI59" s="102"/>
      <c r="AJ59" s="102"/>
      <c r="AK59" s="102"/>
      <c r="AL59" s="102"/>
      <c r="AM59" s="102"/>
      <c r="AN59" s="102"/>
      <c r="AO59" s="102"/>
      <c r="AP59" s="102"/>
      <c r="AQ59" s="102"/>
      <c r="AR59" s="102"/>
      <c r="AS59" s="102"/>
      <c r="AT59" s="102"/>
    </row>
    <row r="60" spans="1:145">
      <c r="A60" s="101"/>
      <c r="B60" s="101"/>
      <c r="C60" s="101"/>
      <c r="D60" s="101"/>
      <c r="E60" s="101"/>
      <c r="F60" s="101"/>
      <c r="G60" s="102"/>
      <c r="H60" s="216"/>
      <c r="I60" s="216"/>
      <c r="J60" s="216"/>
      <c r="K60" s="216"/>
      <c r="L60" s="216"/>
      <c r="M60" s="216"/>
      <c r="N60" s="216"/>
      <c r="O60" s="216"/>
      <c r="P60" s="216"/>
      <c r="Q60" s="216"/>
      <c r="R60" s="216"/>
      <c r="S60" s="212"/>
      <c r="T60" s="216"/>
      <c r="U60" s="216"/>
      <c r="V60" s="216"/>
      <c r="W60" s="216"/>
      <c r="X60" s="216"/>
      <c r="Y60" s="216"/>
      <c r="Z60" s="216"/>
      <c r="AA60" s="216"/>
      <c r="AB60" s="216"/>
      <c r="AC60" s="216"/>
      <c r="AD60" s="216"/>
      <c r="AE60" s="216"/>
      <c r="AF60" s="102"/>
      <c r="AG60" s="102"/>
      <c r="AH60" s="102"/>
      <c r="AI60" s="102"/>
      <c r="AJ60" s="102"/>
      <c r="AK60" s="102"/>
      <c r="AL60" s="102"/>
      <c r="AM60" s="102"/>
      <c r="AN60" s="102"/>
      <c r="AO60" s="102"/>
      <c r="AP60" s="102"/>
      <c r="AQ60" s="102"/>
      <c r="AR60" s="102"/>
      <c r="AS60" s="102"/>
      <c r="AT60" s="102"/>
    </row>
    <row r="61" spans="1:145">
      <c r="A61" s="101"/>
      <c r="B61" s="101"/>
      <c r="C61" s="101"/>
      <c r="D61" s="101"/>
      <c r="E61" s="101"/>
      <c r="F61" s="101"/>
      <c r="G61" s="102"/>
      <c r="H61" s="102"/>
      <c r="I61" s="102"/>
      <c r="J61" s="102"/>
      <c r="K61" s="102"/>
      <c r="L61" s="102"/>
      <c r="M61" s="102"/>
      <c r="N61" s="102"/>
      <c r="O61" s="102"/>
      <c r="P61" s="102"/>
      <c r="Q61" s="102"/>
      <c r="R61" s="102"/>
      <c r="S61" s="21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row>
    <row r="62" spans="1:145">
      <c r="A62" s="101"/>
      <c r="B62" s="101"/>
      <c r="C62" s="101"/>
      <c r="D62" s="101"/>
      <c r="E62" s="101"/>
      <c r="F62" s="101"/>
      <c r="G62" s="102"/>
      <c r="H62" s="215"/>
      <c r="I62" s="215"/>
      <c r="J62" s="215"/>
      <c r="K62" s="215"/>
      <c r="L62" s="215"/>
      <c r="M62" s="215"/>
      <c r="N62" s="215"/>
      <c r="O62" s="215"/>
      <c r="P62" s="215"/>
      <c r="Q62" s="215"/>
      <c r="R62" s="215"/>
      <c r="S62" s="217"/>
      <c r="T62" s="215"/>
      <c r="U62" s="215"/>
      <c r="V62" s="215"/>
      <c r="W62" s="215"/>
      <c r="X62" s="215"/>
      <c r="Y62" s="215"/>
      <c r="Z62" s="215"/>
      <c r="AA62" s="215"/>
      <c r="AB62" s="215"/>
      <c r="AC62" s="215"/>
      <c r="AD62" s="215"/>
      <c r="AE62" s="215"/>
      <c r="AF62" s="102"/>
      <c r="AG62" s="102"/>
      <c r="AH62" s="102"/>
      <c r="AI62" s="102"/>
      <c r="AJ62" s="102"/>
      <c r="AK62" s="102"/>
      <c r="AL62" s="102"/>
      <c r="AM62" s="102"/>
      <c r="AN62" s="102"/>
      <c r="AO62" s="102"/>
      <c r="AP62" s="102"/>
      <c r="AQ62" s="102"/>
      <c r="AR62" s="102"/>
      <c r="AS62" s="102"/>
      <c r="AT62" s="102"/>
    </row>
    <row r="63" spans="1:145">
      <c r="A63" s="101"/>
      <c r="B63" s="101"/>
      <c r="C63" s="101"/>
      <c r="D63" s="101"/>
      <c r="E63" s="101"/>
      <c r="F63" s="101"/>
      <c r="G63" s="102"/>
      <c r="H63" s="215"/>
      <c r="I63" s="215"/>
      <c r="J63" s="215"/>
      <c r="K63" s="215"/>
      <c r="L63" s="215"/>
      <c r="M63" s="215"/>
      <c r="N63" s="215"/>
      <c r="O63" s="215"/>
      <c r="P63" s="215"/>
      <c r="Q63" s="215"/>
      <c r="R63" s="215"/>
      <c r="S63" s="212"/>
      <c r="T63" s="215"/>
      <c r="U63" s="215"/>
      <c r="V63" s="215"/>
      <c r="W63" s="215"/>
      <c r="X63" s="215"/>
      <c r="Y63" s="215"/>
      <c r="Z63" s="215"/>
      <c r="AA63" s="215"/>
      <c r="AB63" s="215"/>
      <c r="AC63" s="215"/>
      <c r="AD63" s="215"/>
      <c r="AE63" s="215"/>
      <c r="AF63" s="102"/>
      <c r="AG63" s="102"/>
      <c r="AH63" s="102"/>
      <c r="AI63" s="102"/>
      <c r="AJ63" s="102"/>
      <c r="AK63" s="102"/>
      <c r="AL63" s="102"/>
      <c r="AM63" s="102"/>
      <c r="AN63" s="102"/>
      <c r="AO63" s="102"/>
      <c r="AP63" s="102"/>
      <c r="AQ63" s="102"/>
      <c r="AR63" s="102"/>
      <c r="AS63" s="102"/>
      <c r="AT63" s="102"/>
    </row>
    <row r="64" spans="1:145">
      <c r="A64" s="101"/>
      <c r="B64" s="101"/>
      <c r="C64" s="101"/>
      <c r="D64" s="101"/>
      <c r="E64" s="101"/>
      <c r="F64" s="101"/>
      <c r="G64" s="102"/>
      <c r="H64" s="102"/>
      <c r="I64" s="102"/>
      <c r="J64" s="102"/>
      <c r="K64" s="102"/>
      <c r="L64" s="102"/>
      <c r="M64" s="102"/>
      <c r="N64" s="102"/>
      <c r="O64" s="102"/>
      <c r="P64" s="102"/>
      <c r="Q64" s="102"/>
      <c r="R64" s="102"/>
      <c r="S64" s="21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row>
    <row r="65" spans="1:46">
      <c r="A65" s="101"/>
      <c r="B65" s="101"/>
      <c r="C65" s="101"/>
      <c r="D65" s="101"/>
      <c r="E65" s="101"/>
      <c r="F65" s="101"/>
      <c r="G65" s="102"/>
      <c r="H65" s="102"/>
      <c r="I65" s="102"/>
      <c r="J65" s="102"/>
      <c r="K65" s="102"/>
      <c r="L65" s="102"/>
      <c r="M65" s="102"/>
      <c r="N65" s="102"/>
      <c r="O65" s="102"/>
      <c r="P65" s="102"/>
      <c r="Q65" s="102"/>
      <c r="R65" s="102"/>
      <c r="S65" s="21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row>
    <row r="66" spans="1:46">
      <c r="A66" s="101"/>
      <c r="B66" s="101"/>
      <c r="C66" s="101"/>
      <c r="D66" s="101"/>
      <c r="E66" s="101"/>
      <c r="F66" s="101"/>
      <c r="G66" s="102"/>
      <c r="H66" s="102"/>
      <c r="I66" s="102"/>
      <c r="J66" s="102"/>
      <c r="K66" s="102"/>
      <c r="L66" s="102"/>
      <c r="M66" s="102"/>
      <c r="N66" s="102"/>
      <c r="O66" s="102"/>
      <c r="P66" s="102"/>
      <c r="Q66" s="102"/>
      <c r="R66" s="102"/>
      <c r="S66" s="21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row>
  </sheetData>
  <mergeCells count="7">
    <mergeCell ref="B7:S7"/>
    <mergeCell ref="T5:AG5"/>
    <mergeCell ref="B6:S6"/>
    <mergeCell ref="T3:AH3"/>
    <mergeCell ref="T4:AH4"/>
    <mergeCell ref="B5:S5"/>
    <mergeCell ref="T6:AG6"/>
  </mergeCells>
  <printOptions horizontalCentered="1"/>
  <pageMargins left="0" right="0" top="0.5" bottom="0.5" header="0.3" footer="0.3"/>
  <pageSetup paperSize="5" scale="56" orientation="landscape" r:id="rId1"/>
  <headerFooter scaleWithDoc="0" alignWithMargins="0">
    <oddHeader>&amp;RExh. KMH-2
Docket  UG-170929
Page 2 o f 2</oddHeader>
    <oddFooter>&amp;L&amp;F&amp;C&amp;A
&amp;R&amp;D</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3" sqref="A3:H3"/>
    </sheetView>
  </sheetViews>
  <sheetFormatPr defaultColWidth="9.140625" defaultRowHeight="15.75"/>
  <cols>
    <col min="1" max="1" width="9.28515625" style="5" bestFit="1" customWidth="1"/>
    <col min="2" max="2" width="10.42578125" style="5" customWidth="1"/>
    <col min="3" max="3" width="50.28515625" style="5" customWidth="1"/>
    <col min="4" max="4" width="6.7109375" style="5" customWidth="1"/>
    <col min="5" max="5" width="12.28515625" style="5" customWidth="1"/>
    <col min="6" max="6" width="4.140625" style="5" customWidth="1"/>
    <col min="7" max="7" width="14.5703125" style="5" bestFit="1" customWidth="1"/>
    <col min="8" max="16384" width="9.140625" style="5"/>
  </cols>
  <sheetData>
    <row r="1" spans="1:7">
      <c r="A1" s="1287" t="s">
        <v>56</v>
      </c>
      <c r="B1" s="1287"/>
      <c r="C1" s="1287"/>
      <c r="D1" s="1287"/>
      <c r="E1" s="1287"/>
      <c r="F1" s="1287"/>
      <c r="G1" s="1287"/>
    </row>
    <row r="2" spans="1:7">
      <c r="A2" s="1287" t="s">
        <v>1609</v>
      </c>
      <c r="B2" s="1287"/>
      <c r="C2" s="1287"/>
      <c r="D2" s="1287"/>
      <c r="E2" s="1287"/>
      <c r="F2" s="1287"/>
      <c r="G2" s="1287"/>
    </row>
    <row r="3" spans="1:7">
      <c r="A3" s="1287"/>
      <c r="B3" s="1287"/>
      <c r="C3" s="1287"/>
      <c r="D3" s="1287"/>
      <c r="E3" s="1287"/>
      <c r="F3" s="1287"/>
      <c r="G3" s="1287"/>
    </row>
    <row r="4" spans="1:7">
      <c r="A4" s="1287" t="s">
        <v>978</v>
      </c>
      <c r="B4" s="1287"/>
      <c r="C4" s="1287"/>
      <c r="D4" s="1287"/>
      <c r="E4" s="1287"/>
      <c r="F4" s="1287"/>
      <c r="G4" s="1287"/>
    </row>
    <row r="5" spans="1:7">
      <c r="A5" s="1287" t="s">
        <v>980</v>
      </c>
      <c r="B5" s="1287"/>
      <c r="C5" s="1287"/>
      <c r="D5" s="1287"/>
      <c r="E5" s="1287"/>
      <c r="F5" s="1287"/>
      <c r="G5" s="1287"/>
    </row>
    <row r="8" spans="1:7" s="7" customFormat="1">
      <c r="A8" s="10" t="s">
        <v>886</v>
      </c>
      <c r="B8" s="7" t="s">
        <v>1623</v>
      </c>
      <c r="C8" s="7" t="s">
        <v>1621</v>
      </c>
      <c r="E8" s="7" t="s">
        <v>1622</v>
      </c>
      <c r="G8" s="7" t="s">
        <v>1625</v>
      </c>
    </row>
    <row r="9" spans="1:7">
      <c r="A9" s="5">
        <v>1</v>
      </c>
      <c r="B9" s="383" t="s">
        <v>1605</v>
      </c>
      <c r="C9" s="383"/>
      <c r="D9" s="383"/>
      <c r="E9" s="383"/>
      <c r="F9" s="383"/>
      <c r="G9" s="599"/>
    </row>
    <row r="10" spans="1:7">
      <c r="A10" s="5">
        <v>2</v>
      </c>
      <c r="B10" s="383"/>
      <c r="C10" s="383" t="s">
        <v>1955</v>
      </c>
      <c r="D10" s="383"/>
      <c r="E10" s="383"/>
      <c r="F10" s="383"/>
      <c r="G10" s="599">
        <v>8908259.5399999991</v>
      </c>
    </row>
    <row r="11" spans="1:7">
      <c r="B11" s="383"/>
      <c r="C11" s="383"/>
      <c r="D11" s="383"/>
      <c r="E11" s="383"/>
      <c r="F11" s="383"/>
      <c r="G11" s="599"/>
    </row>
    <row r="12" spans="1:7">
      <c r="A12" s="5">
        <v>3</v>
      </c>
      <c r="B12" s="383" t="s">
        <v>1956</v>
      </c>
      <c r="C12" s="383"/>
      <c r="D12" s="383"/>
      <c r="E12" s="383"/>
      <c r="F12" s="383"/>
      <c r="G12" s="699">
        <f>-'Liu Weather Normalization'!F21+'Liu Weather Normalization'!F37</f>
        <v>-4313452.8600000013</v>
      </c>
    </row>
    <row r="13" spans="1:7">
      <c r="B13" s="383"/>
      <c r="C13" s="383"/>
      <c r="D13" s="383"/>
      <c r="E13" s="383"/>
      <c r="F13" s="383"/>
      <c r="G13" s="699"/>
    </row>
    <row r="14" spans="1:7">
      <c r="A14" s="5">
        <v>4</v>
      </c>
      <c r="B14" s="383" t="s">
        <v>1957</v>
      </c>
      <c r="C14" s="383"/>
      <c r="D14" s="383"/>
      <c r="E14" s="383"/>
      <c r="F14" s="383"/>
      <c r="G14" s="599">
        <v>1996287.22</v>
      </c>
    </row>
    <row r="15" spans="1:7">
      <c r="B15" s="383"/>
      <c r="C15" s="383"/>
      <c r="D15" s="383"/>
      <c r="E15" s="383"/>
      <c r="F15" s="383"/>
      <c r="G15" s="599"/>
    </row>
    <row r="16" spans="1:7">
      <c r="A16" s="5">
        <v>5</v>
      </c>
      <c r="B16" s="383" t="s">
        <v>1958</v>
      </c>
      <c r="C16" s="383"/>
      <c r="D16" s="383"/>
      <c r="E16" s="383"/>
      <c r="F16" s="383"/>
      <c r="G16" s="599">
        <v>-264059.74</v>
      </c>
    </row>
    <row r="17" spans="1:7" ht="16.5" thickBot="1">
      <c r="B17" s="383"/>
      <c r="C17" s="383"/>
      <c r="D17" s="383"/>
      <c r="E17" s="383"/>
      <c r="F17" s="383"/>
      <c r="G17" s="599"/>
    </row>
    <row r="18" spans="1:7" ht="16.5" thickBot="1">
      <c r="A18" s="5">
        <v>6</v>
      </c>
      <c r="B18" s="5" t="s">
        <v>965</v>
      </c>
      <c r="G18" s="700">
        <f>+G10+G12+G14+G16</f>
        <v>6327034.1599999974</v>
      </c>
    </row>
    <row r="19" spans="1:7" ht="16.5" thickTop="1"/>
    <row r="21" spans="1:7">
      <c r="A21" s="5">
        <v>7</v>
      </c>
      <c r="C21" s="852" t="s">
        <v>1967</v>
      </c>
      <c r="E21" s="5" t="s">
        <v>970</v>
      </c>
      <c r="G21" s="701">
        <f>2625126-104804</f>
        <v>2520322</v>
      </c>
    </row>
    <row r="22" spans="1:7">
      <c r="A22" s="5">
        <v>8</v>
      </c>
      <c r="C22" s="852" t="s">
        <v>1968</v>
      </c>
      <c r="E22" s="5" t="s">
        <v>971</v>
      </c>
      <c r="G22" s="701">
        <f>759405+6847</f>
        <v>766252</v>
      </c>
    </row>
    <row r="23" spans="1:7">
      <c r="A23" s="5">
        <v>9</v>
      </c>
      <c r="C23" s="852" t="s">
        <v>1969</v>
      </c>
      <c r="E23" s="5" t="s">
        <v>972</v>
      </c>
      <c r="G23" s="455">
        <v>1933517</v>
      </c>
    </row>
    <row r="24" spans="1:7">
      <c r="G24" s="702" t="s">
        <v>973</v>
      </c>
    </row>
    <row r="25" spans="1:7">
      <c r="A25" s="5">
        <v>10</v>
      </c>
      <c r="E25" s="5" t="s">
        <v>54</v>
      </c>
      <c r="G25" s="455">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1"/>
  <sheetViews>
    <sheetView topLeftCell="A2" workbookViewId="0">
      <selection activeCell="J31" sqref="J31"/>
    </sheetView>
  </sheetViews>
  <sheetFormatPr defaultColWidth="9.140625" defaultRowHeight="15"/>
  <cols>
    <col min="1" max="6" width="9.140625" style="3"/>
    <col min="7" max="7" width="14.85546875" style="3" bestFit="1" customWidth="1"/>
    <col min="8" max="9" width="9.140625" style="3"/>
    <col min="10" max="10" width="16.28515625" style="3" bestFit="1" customWidth="1"/>
    <col min="11" max="11" width="9.140625" style="3"/>
    <col min="12" max="12" width="22.7109375" style="3" bestFit="1" customWidth="1"/>
    <col min="13" max="16384" width="9.140625" style="3"/>
  </cols>
  <sheetData>
    <row r="1" spans="1:10" ht="45.75">
      <c r="A1" s="1297" t="s">
        <v>56</v>
      </c>
      <c r="B1" s="1297"/>
      <c r="C1" s="1297"/>
      <c r="D1" s="1297"/>
      <c r="E1" s="1297"/>
      <c r="F1" s="1297"/>
      <c r="G1" s="1297"/>
      <c r="H1" s="1082"/>
    </row>
    <row r="2" spans="1:10" ht="15.75">
      <c r="A2" s="1297" t="s">
        <v>1609</v>
      </c>
      <c r="B2" s="1297"/>
      <c r="C2" s="1297"/>
      <c r="D2" s="1297"/>
      <c r="E2" s="1297"/>
      <c r="F2" s="1297"/>
      <c r="G2" s="1297"/>
    </row>
    <row r="3" spans="1:10" ht="15.75">
      <c r="A3" s="1297"/>
      <c r="B3" s="1297"/>
      <c r="C3" s="1297"/>
      <c r="D3" s="1297"/>
      <c r="E3" s="1297"/>
      <c r="F3" s="1297"/>
      <c r="G3" s="1297"/>
    </row>
    <row r="4" spans="1:10" ht="15.75">
      <c r="A4" s="1297" t="s">
        <v>978</v>
      </c>
      <c r="B4" s="1297"/>
      <c r="C4" s="1297"/>
      <c r="D4" s="1297"/>
      <c r="E4" s="1297"/>
      <c r="F4" s="1297"/>
      <c r="G4" s="1297"/>
    </row>
    <row r="5" spans="1:10" ht="15.75">
      <c r="A5" s="1297" t="s">
        <v>980</v>
      </c>
      <c r="B5" s="1297"/>
      <c r="C5" s="1297"/>
      <c r="D5" s="1297"/>
      <c r="E5" s="1297"/>
      <c r="F5" s="1297"/>
      <c r="G5" s="1297"/>
    </row>
    <row r="8" spans="1:10" ht="15.75">
      <c r="A8" s="10" t="s">
        <v>886</v>
      </c>
      <c r="B8" s="7" t="s">
        <v>1623</v>
      </c>
      <c r="C8" s="7" t="s">
        <v>1621</v>
      </c>
      <c r="D8" s="7"/>
      <c r="E8" s="7" t="s">
        <v>1622</v>
      </c>
      <c r="F8" s="7"/>
      <c r="G8" s="7" t="s">
        <v>1625</v>
      </c>
      <c r="H8" s="7"/>
      <c r="I8" s="7"/>
      <c r="J8" s="7"/>
    </row>
    <row r="9" spans="1:10" ht="15.75">
      <c r="A9" s="5">
        <v>1</v>
      </c>
      <c r="B9" s="383" t="s">
        <v>1605</v>
      </c>
      <c r="C9" s="383"/>
      <c r="D9" s="383"/>
      <c r="E9" s="383"/>
      <c r="F9" s="383"/>
      <c r="G9" s="599"/>
      <c r="J9" s="5" t="s">
        <v>2074</v>
      </c>
    </row>
    <row r="10" spans="1:10" ht="15.75">
      <c r="A10" s="5">
        <v>2</v>
      </c>
      <c r="B10" s="383"/>
      <c r="C10" s="383" t="s">
        <v>1955</v>
      </c>
      <c r="D10" s="383"/>
      <c r="E10" s="383"/>
      <c r="F10" s="383"/>
      <c r="G10" s="1083">
        <v>9679994.5543803852</v>
      </c>
      <c r="H10" s="1084" t="s">
        <v>2075</v>
      </c>
      <c r="J10" s="1085">
        <v>8908259.5399999991</v>
      </c>
    </row>
    <row r="11" spans="1:10" ht="15.75">
      <c r="B11" s="383"/>
      <c r="C11" s="383"/>
      <c r="D11" s="383"/>
      <c r="E11" s="383"/>
      <c r="F11" s="383"/>
      <c r="G11" s="599"/>
    </row>
    <row r="12" spans="1:10" ht="15.75">
      <c r="A12" s="5">
        <v>3</v>
      </c>
      <c r="B12" s="383" t="s">
        <v>1956</v>
      </c>
      <c r="C12" s="383"/>
      <c r="D12" s="383"/>
      <c r="E12" s="383"/>
      <c r="F12" s="383"/>
      <c r="G12" s="1086">
        <v>-4313452.818125234</v>
      </c>
      <c r="H12" s="1084" t="s">
        <v>2076</v>
      </c>
    </row>
    <row r="13" spans="1:10" ht="15.75">
      <c r="B13" s="383"/>
      <c r="C13" s="383"/>
      <c r="D13" s="383"/>
      <c r="E13" s="383"/>
      <c r="F13" s="383"/>
      <c r="G13" s="699"/>
    </row>
    <row r="14" spans="1:10" ht="15.75">
      <c r="A14" s="5">
        <v>4</v>
      </c>
      <c r="B14" s="383" t="s">
        <v>1957</v>
      </c>
      <c r="C14" s="383"/>
      <c r="D14" s="383"/>
      <c r="E14" s="383"/>
      <c r="F14" s="383"/>
      <c r="G14" s="1083">
        <v>2012842.5859586881</v>
      </c>
      <c r="H14" s="1084" t="s">
        <v>2075</v>
      </c>
      <c r="J14" s="1085">
        <v>1996287.22</v>
      </c>
    </row>
    <row r="15" spans="1:10" ht="15.75">
      <c r="B15" s="383"/>
      <c r="C15" s="383"/>
      <c r="D15" s="383"/>
      <c r="E15" s="383"/>
      <c r="F15" s="383"/>
      <c r="G15" s="599"/>
    </row>
    <row r="16" spans="1:10" ht="15.75">
      <c r="A16" s="5">
        <v>5</v>
      </c>
      <c r="B16" s="383" t="s">
        <v>1958</v>
      </c>
      <c r="C16" s="383"/>
      <c r="D16" s="383"/>
      <c r="E16" s="383"/>
      <c r="F16" s="383"/>
      <c r="G16" s="1083">
        <v>-264059.74000000005</v>
      </c>
      <c r="H16" s="1084" t="s">
        <v>2077</v>
      </c>
    </row>
    <row r="17" spans="1:12" ht="16.5" thickBot="1">
      <c r="B17" s="383"/>
      <c r="C17" s="383"/>
      <c r="D17" s="383"/>
      <c r="E17" s="383"/>
      <c r="F17" s="383"/>
      <c r="G17" s="599"/>
      <c r="L17" s="5" t="s">
        <v>2078</v>
      </c>
    </row>
    <row r="18" spans="1:12" ht="16.5" thickBot="1">
      <c r="A18" s="5">
        <v>6</v>
      </c>
      <c r="B18" s="5" t="s">
        <v>965</v>
      </c>
      <c r="G18" s="1355">
        <v>7115324.5822138395</v>
      </c>
      <c r="J18" s="1085">
        <v>5220091.3623099988</v>
      </c>
      <c r="L18" s="75">
        <v>1895233.2199038407</v>
      </c>
    </row>
    <row r="19" spans="1:12" ht="16.5" thickTop="1">
      <c r="F19" s="1087" t="s">
        <v>2079</v>
      </c>
      <c r="G19" s="74">
        <v>7115324.5822138395</v>
      </c>
    </row>
    <row r="21" spans="1:12" ht="15.75">
      <c r="A21" s="5">
        <v>7</v>
      </c>
      <c r="C21" s="852" t="s">
        <v>1967</v>
      </c>
      <c r="E21" s="5" t="s">
        <v>970</v>
      </c>
      <c r="G21" s="1088">
        <v>3815260.6046199994</v>
      </c>
      <c r="H21" s="1084" t="s">
        <v>2075</v>
      </c>
      <c r="J21" s="1089">
        <v>2520322</v>
      </c>
    </row>
    <row r="22" spans="1:12" ht="15.75">
      <c r="A22" s="5">
        <v>8</v>
      </c>
      <c r="C22" s="852" t="s">
        <v>1968</v>
      </c>
      <c r="E22" s="5" t="s">
        <v>971</v>
      </c>
      <c r="G22" s="1088">
        <v>1366547.1302117973</v>
      </c>
      <c r="H22" s="1084" t="s">
        <v>2080</v>
      </c>
      <c r="J22" s="1089">
        <v>766252</v>
      </c>
    </row>
    <row r="23" spans="1:12" ht="15.75">
      <c r="A23" s="5">
        <v>9</v>
      </c>
      <c r="C23" s="852" t="s">
        <v>1969</v>
      </c>
      <c r="E23" s="5" t="s">
        <v>972</v>
      </c>
      <c r="G23" s="1088">
        <v>1933516.8473820428</v>
      </c>
      <c r="H23" s="1084" t="s">
        <v>2081</v>
      </c>
      <c r="J23" s="1089">
        <v>1933517</v>
      </c>
    </row>
    <row r="24" spans="1:12" ht="15.75">
      <c r="G24" s="1090" t="s">
        <v>973</v>
      </c>
      <c r="J24" s="1089" t="s">
        <v>973</v>
      </c>
    </row>
    <row r="25" spans="1:12" ht="15.75">
      <c r="A25" s="5">
        <v>10</v>
      </c>
      <c r="E25" s="5" t="s">
        <v>54</v>
      </c>
      <c r="G25" s="1356">
        <v>7115324.5822138395</v>
      </c>
      <c r="J25" s="1089">
        <v>5220091</v>
      </c>
    </row>
    <row r="26" spans="1:12" ht="15.75">
      <c r="G26" s="74">
        <v>0</v>
      </c>
    </row>
    <row r="29" spans="1:12" ht="15.75">
      <c r="C29" s="1091" t="s">
        <v>2082</v>
      </c>
      <c r="D29" s="1091"/>
      <c r="E29" s="1091"/>
      <c r="F29" s="1091"/>
      <c r="G29" s="1092">
        <v>-4313452.818125234</v>
      </c>
    </row>
    <row r="30" spans="1:12" ht="15.75">
      <c r="C30" s="1091" t="s">
        <v>2083</v>
      </c>
      <c r="D30" s="1091"/>
      <c r="E30" s="1091"/>
      <c r="F30" s="1091"/>
      <c r="G30" s="1092">
        <v>-6192130.6636119513</v>
      </c>
    </row>
    <row r="31" spans="1:12" ht="15.75">
      <c r="C31" s="1091" t="s">
        <v>2084</v>
      </c>
      <c r="D31" s="1091"/>
      <c r="E31" s="1091"/>
      <c r="F31" s="1091"/>
      <c r="G31" s="1093">
        <v>1878677.8454867173</v>
      </c>
    </row>
  </sheetData>
  <mergeCells count="5">
    <mergeCell ref="A1:G1"/>
    <mergeCell ref="A2:G2"/>
    <mergeCell ref="A3:G3"/>
    <mergeCell ref="A4:G4"/>
    <mergeCell ref="A5:G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2"/>
  <sheetViews>
    <sheetView view="pageBreakPreview" topLeftCell="H1" zoomScale="80" zoomScaleNormal="100" zoomScaleSheetLayoutView="80" workbookViewId="0">
      <selection activeCell="A3" sqref="A3"/>
    </sheetView>
  </sheetViews>
  <sheetFormatPr defaultColWidth="9.140625" defaultRowHeight="15.75"/>
  <cols>
    <col min="1" max="1" width="1" style="5" customWidth="1"/>
    <col min="2" max="2" width="1.5703125" style="5" customWidth="1"/>
    <col min="3" max="3" width="8.7109375" style="848" bestFit="1" customWidth="1"/>
    <col min="4" max="4" width="14.42578125" style="5" customWidth="1"/>
    <col min="5" max="5" width="35.42578125" style="5" customWidth="1"/>
    <col min="6" max="19" width="18" style="5" bestFit="1" customWidth="1"/>
    <col min="20" max="20" width="2.42578125" style="5" customWidth="1"/>
    <col min="21" max="21" width="18" style="7" bestFit="1" customWidth="1"/>
    <col min="22" max="22" width="16.42578125" style="7" customWidth="1"/>
    <col min="23" max="23" width="16.28515625" style="7" bestFit="1" customWidth="1"/>
    <col min="24" max="24" width="17" style="7" bestFit="1" customWidth="1"/>
    <col min="25" max="16384" width="9.140625" style="5"/>
  </cols>
  <sheetData>
    <row r="1" spans="1:26">
      <c r="A1" s="703"/>
      <c r="B1" s="703"/>
      <c r="C1" s="704"/>
      <c r="D1" s="705"/>
      <c r="E1" s="706"/>
      <c r="F1" s="1287" t="s">
        <v>56</v>
      </c>
      <c r="G1" s="1287"/>
      <c r="H1" s="1287"/>
      <c r="I1" s="1287"/>
      <c r="J1" s="4"/>
      <c r="K1" s="4"/>
      <c r="L1" s="4"/>
      <c r="M1" s="706"/>
      <c r="N1" s="706"/>
      <c r="O1" s="706"/>
      <c r="P1" s="1287" t="s">
        <v>56</v>
      </c>
      <c r="Q1" s="1287"/>
      <c r="R1" s="1287"/>
      <c r="S1" s="1287"/>
      <c r="T1" s="1287"/>
      <c r="U1" s="4"/>
      <c r="V1" s="4"/>
      <c r="W1" s="707"/>
      <c r="X1" s="707"/>
      <c r="Y1" s="707"/>
      <c r="Z1" s="708"/>
    </row>
    <row r="2" spans="1:26">
      <c r="A2" s="703"/>
      <c r="B2" s="703"/>
      <c r="C2" s="704"/>
      <c r="D2" s="705"/>
      <c r="E2" s="706"/>
      <c r="F2" s="1287" t="s">
        <v>1609</v>
      </c>
      <c r="G2" s="1287"/>
      <c r="H2" s="1287"/>
      <c r="I2" s="1287"/>
      <c r="J2" s="4"/>
      <c r="K2" s="4"/>
      <c r="L2" s="4"/>
      <c r="M2" s="706"/>
      <c r="N2" s="706"/>
      <c r="O2" s="706"/>
      <c r="P2" s="1287" t="s">
        <v>1609</v>
      </c>
      <c r="Q2" s="1287"/>
      <c r="R2" s="1287"/>
      <c r="S2" s="1287"/>
      <c r="T2" s="1287"/>
      <c r="U2" s="4"/>
      <c r="V2" s="4"/>
      <c r="W2" s="707"/>
      <c r="X2" s="707"/>
      <c r="Y2" s="707"/>
      <c r="Z2" s="708"/>
    </row>
    <row r="3" spans="1:26">
      <c r="A3" s="703"/>
      <c r="B3" s="703"/>
      <c r="C3" s="704"/>
      <c r="D3" s="705"/>
      <c r="E3" s="706"/>
      <c r="F3" s="1287"/>
      <c r="G3" s="1287"/>
      <c r="H3" s="1287"/>
      <c r="I3" s="1287"/>
      <c r="J3" s="4"/>
      <c r="K3" s="4"/>
      <c r="L3" s="4"/>
      <c r="M3" s="706"/>
      <c r="N3" s="706"/>
      <c r="O3" s="706"/>
      <c r="P3" s="1287"/>
      <c r="Q3" s="1287"/>
      <c r="R3" s="1287"/>
      <c r="S3" s="1287"/>
      <c r="T3" s="1287"/>
      <c r="U3" s="4"/>
      <c r="V3" s="4"/>
      <c r="W3" s="707"/>
      <c r="X3" s="707"/>
      <c r="Y3" s="707"/>
      <c r="Z3" s="708"/>
    </row>
    <row r="4" spans="1:26">
      <c r="A4" s="703"/>
      <c r="B4" s="703"/>
      <c r="C4" s="704"/>
      <c r="D4" s="705"/>
      <c r="E4" s="706"/>
      <c r="F4" s="1287" t="s">
        <v>1878</v>
      </c>
      <c r="G4" s="1287"/>
      <c r="H4" s="1287"/>
      <c r="I4" s="1287"/>
      <c r="J4" s="4"/>
      <c r="K4" s="4"/>
      <c r="L4" s="4"/>
      <c r="M4" s="706"/>
      <c r="N4" s="706"/>
      <c r="O4" s="706"/>
      <c r="P4" s="1287" t="s">
        <v>1878</v>
      </c>
      <c r="Q4" s="1287"/>
      <c r="R4" s="1287"/>
      <c r="S4" s="1287"/>
      <c r="T4" s="1287"/>
      <c r="U4" s="4"/>
      <c r="V4" s="4"/>
      <c r="W4" s="707"/>
      <c r="X4" s="707"/>
      <c r="Y4" s="707"/>
      <c r="Z4" s="708"/>
    </row>
    <row r="5" spans="1:26">
      <c r="A5" s="703"/>
      <c r="B5" s="703"/>
      <c r="C5" s="704"/>
      <c r="D5" s="705"/>
      <c r="E5" s="706"/>
      <c r="F5" s="1287" t="s">
        <v>980</v>
      </c>
      <c r="G5" s="1287"/>
      <c r="H5" s="1287"/>
      <c r="I5" s="1287"/>
      <c r="J5" s="4"/>
      <c r="K5" s="4"/>
      <c r="L5" s="4"/>
      <c r="M5" s="706"/>
      <c r="N5" s="706"/>
      <c r="O5" s="706"/>
      <c r="P5" s="1287" t="s">
        <v>980</v>
      </c>
      <c r="Q5" s="1287"/>
      <c r="R5" s="1287"/>
      <c r="S5" s="1287"/>
      <c r="T5" s="1287"/>
      <c r="U5" s="4"/>
      <c r="V5" s="4"/>
      <c r="W5" s="707"/>
      <c r="X5" s="707"/>
      <c r="Y5" s="707"/>
      <c r="Z5" s="708"/>
    </row>
    <row r="6" spans="1:26">
      <c r="A6" s="703"/>
      <c r="B6" s="703"/>
      <c r="C6" s="704"/>
      <c r="D6" s="705"/>
      <c r="E6" s="709"/>
      <c r="F6" s="1354" t="s">
        <v>2022</v>
      </c>
      <c r="G6" s="1354"/>
      <c r="H6" s="1354"/>
      <c r="I6" s="1354"/>
      <c r="J6" s="709"/>
      <c r="K6" s="709"/>
      <c r="L6" s="709"/>
      <c r="M6" s="709"/>
      <c r="N6" s="709"/>
      <c r="O6" s="709"/>
      <c r="P6" s="1354" t="s">
        <v>2022</v>
      </c>
      <c r="Q6" s="1354"/>
      <c r="R6" s="1354"/>
      <c r="S6" s="1354"/>
      <c r="T6" s="707"/>
      <c r="U6" s="707"/>
      <c r="V6" s="711"/>
      <c r="W6" s="707"/>
      <c r="X6" s="707"/>
      <c r="Y6" s="707"/>
      <c r="Z6" s="708"/>
    </row>
    <row r="7" spans="1:26" s="20" customFormat="1">
      <c r="A7" s="712"/>
      <c r="B7" s="712"/>
      <c r="C7" s="712"/>
      <c r="D7" s="713" t="s">
        <v>1623</v>
      </c>
      <c r="E7" s="712" t="s">
        <v>1621</v>
      </c>
      <c r="F7" s="712" t="s">
        <v>1622</v>
      </c>
      <c r="G7" s="712" t="s">
        <v>1625</v>
      </c>
      <c r="H7" s="712" t="s">
        <v>1626</v>
      </c>
      <c r="I7" s="712" t="s">
        <v>1635</v>
      </c>
      <c r="J7" s="712" t="s">
        <v>1636</v>
      </c>
      <c r="K7" s="712" t="s">
        <v>1637</v>
      </c>
      <c r="L7" s="712" t="s">
        <v>1638</v>
      </c>
      <c r="M7" s="712" t="s">
        <v>1639</v>
      </c>
      <c r="N7" s="712" t="s">
        <v>1640</v>
      </c>
      <c r="O7" s="712" t="s">
        <v>1641</v>
      </c>
      <c r="P7" s="712" t="s">
        <v>1642</v>
      </c>
      <c r="Q7" s="714" t="s">
        <v>1643</v>
      </c>
      <c r="R7" s="712" t="s">
        <v>1644</v>
      </c>
      <c r="S7" s="715" t="s">
        <v>1918</v>
      </c>
      <c r="T7" s="716"/>
      <c r="U7" s="716" t="s">
        <v>1919</v>
      </c>
      <c r="V7" s="716" t="s">
        <v>1920</v>
      </c>
      <c r="W7" s="716" t="s">
        <v>1921</v>
      </c>
      <c r="X7" s="716" t="s">
        <v>1922</v>
      </c>
      <c r="Y7" s="716"/>
      <c r="Z7" s="717"/>
    </row>
    <row r="8" spans="1:26">
      <c r="A8" s="710"/>
      <c r="B8" s="710"/>
      <c r="C8" s="718"/>
      <c r="T8" s="707"/>
      <c r="U8" s="719" t="s">
        <v>395</v>
      </c>
      <c r="V8" s="719" t="s">
        <v>396</v>
      </c>
      <c r="W8" s="719" t="s">
        <v>397</v>
      </c>
      <c r="X8" s="719" t="s">
        <v>398</v>
      </c>
      <c r="Y8" s="707"/>
      <c r="Z8" s="720"/>
    </row>
    <row r="9" spans="1:26">
      <c r="A9" s="704" t="s">
        <v>399</v>
      </c>
      <c r="B9" s="704" t="s">
        <v>400</v>
      </c>
      <c r="C9" s="704" t="s">
        <v>886</v>
      </c>
      <c r="D9" s="721" t="s">
        <v>401</v>
      </c>
      <c r="E9" s="722" t="s">
        <v>377</v>
      </c>
      <c r="F9" s="723" t="s">
        <v>988</v>
      </c>
      <c r="G9" s="723" t="s">
        <v>989</v>
      </c>
      <c r="H9" s="723" t="s">
        <v>990</v>
      </c>
      <c r="I9" s="723" t="s">
        <v>991</v>
      </c>
      <c r="J9" s="723" t="s">
        <v>992</v>
      </c>
      <c r="K9" s="723" t="s">
        <v>993</v>
      </c>
      <c r="L9" s="723" t="s">
        <v>994</v>
      </c>
      <c r="M9" s="723" t="s">
        <v>995</v>
      </c>
      <c r="N9" s="723" t="s">
        <v>996</v>
      </c>
      <c r="O9" s="723" t="s">
        <v>997</v>
      </c>
      <c r="P9" s="723" t="s">
        <v>998</v>
      </c>
      <c r="Q9" s="723" t="s">
        <v>999</v>
      </c>
      <c r="R9" s="723" t="s">
        <v>1000</v>
      </c>
      <c r="S9" s="723" t="s">
        <v>1653</v>
      </c>
      <c r="T9" s="707"/>
      <c r="U9" s="724" t="s">
        <v>402</v>
      </c>
      <c r="V9" s="724" t="s">
        <v>403</v>
      </c>
      <c r="W9" s="724" t="s">
        <v>403</v>
      </c>
      <c r="X9" s="724" t="s">
        <v>402</v>
      </c>
      <c r="Y9" s="707"/>
      <c r="Z9" s="720"/>
    </row>
    <row r="10" spans="1:26">
      <c r="A10" s="725"/>
      <c r="B10" s="725"/>
      <c r="C10" s="726">
        <v>1</v>
      </c>
      <c r="D10" s="725"/>
      <c r="E10" s="725"/>
      <c r="F10" s="725"/>
      <c r="G10" s="725"/>
      <c r="H10" s="725"/>
      <c r="I10" s="725"/>
      <c r="J10" s="725"/>
      <c r="K10" s="725"/>
      <c r="L10" s="725"/>
      <c r="M10" s="725"/>
      <c r="N10" s="725"/>
      <c r="O10" s="725"/>
      <c r="P10" s="725"/>
      <c r="Q10" s="725"/>
      <c r="R10" s="725"/>
      <c r="S10" s="725"/>
      <c r="T10" s="725"/>
      <c r="U10" s="725"/>
      <c r="V10" s="725"/>
      <c r="W10" s="725"/>
      <c r="X10" s="725"/>
      <c r="Y10" s="707"/>
      <c r="Z10" s="720"/>
    </row>
    <row r="11" spans="1:26">
      <c r="A11" s="727" t="s">
        <v>404</v>
      </c>
      <c r="B11" s="727" t="s">
        <v>405</v>
      </c>
      <c r="C11" s="728">
        <v>2</v>
      </c>
      <c r="D11" s="729" t="str">
        <f>+A11</f>
        <v>1012</v>
      </c>
      <c r="E11" s="730" t="s">
        <v>406</v>
      </c>
      <c r="F11" s="731">
        <v>841287581.38</v>
      </c>
      <c r="G11" s="732">
        <v>844250997.01999998</v>
      </c>
      <c r="H11" s="733">
        <v>845780274.45000005</v>
      </c>
      <c r="I11" s="733">
        <v>850849571.23000002</v>
      </c>
      <c r="J11" s="734">
        <v>852735883.73000002</v>
      </c>
      <c r="K11" s="735">
        <v>855868544.54999995</v>
      </c>
      <c r="L11" s="736">
        <v>864307499.25999999</v>
      </c>
      <c r="M11" s="737">
        <v>868541029.21000004</v>
      </c>
      <c r="N11" s="738">
        <v>869411162.35000002</v>
      </c>
      <c r="O11" s="739">
        <v>875369750.46000004</v>
      </c>
      <c r="P11" s="740">
        <v>879842689.62</v>
      </c>
      <c r="Q11" s="741">
        <v>881539577.07000005</v>
      </c>
      <c r="R11" s="731">
        <v>889631646.78999996</v>
      </c>
      <c r="S11" s="733">
        <f>((F11+R11)+((G11+H11+I11+J11+K11+L11+M11+N11+O11+P11+Q11)*2))/24</f>
        <v>862829716.08624995</v>
      </c>
      <c r="T11" s="707"/>
      <c r="U11" s="707"/>
      <c r="V11" s="711">
        <f>S11</f>
        <v>862829716.08624995</v>
      </c>
      <c r="W11" s="707"/>
      <c r="X11" s="707"/>
      <c r="Y11" s="720"/>
      <c r="Z11" s="720"/>
    </row>
    <row r="12" spans="1:26">
      <c r="A12" s="727" t="s">
        <v>407</v>
      </c>
      <c r="B12" s="727" t="s">
        <v>405</v>
      </c>
      <c r="C12" s="728">
        <v>3</v>
      </c>
      <c r="D12" s="729" t="str">
        <f>+A12</f>
        <v>1062</v>
      </c>
      <c r="E12" s="730" t="s">
        <v>408</v>
      </c>
      <c r="F12" s="731">
        <v>28896553.829999998</v>
      </c>
      <c r="G12" s="732">
        <v>27565439.219999999</v>
      </c>
      <c r="H12" s="733">
        <v>27308385.52</v>
      </c>
      <c r="I12" s="733">
        <v>25405445.93</v>
      </c>
      <c r="J12" s="734">
        <v>26448610.5</v>
      </c>
      <c r="K12" s="735">
        <v>26356690.800000001</v>
      </c>
      <c r="L12" s="736">
        <v>20673671.899999999</v>
      </c>
      <c r="M12" s="737">
        <v>20158872.41</v>
      </c>
      <c r="N12" s="738">
        <v>31410364.16</v>
      </c>
      <c r="O12" s="739">
        <v>29294995.760000002</v>
      </c>
      <c r="P12" s="740">
        <v>31135493.359999999</v>
      </c>
      <c r="Q12" s="741">
        <v>31619119.32</v>
      </c>
      <c r="R12" s="731">
        <v>33062917.120000001</v>
      </c>
      <c r="S12" s="733">
        <f t="shared" ref="S12:S75" si="0">((F12+R12)+((G12+H12+I12+J12+K12+L12+M12+N12+O12+P12+Q12)*2))/24</f>
        <v>27363068.696249995</v>
      </c>
      <c r="T12" s="707"/>
      <c r="U12" s="707"/>
      <c r="V12" s="711">
        <f>S12</f>
        <v>27363068.696249995</v>
      </c>
      <c r="W12" s="707"/>
      <c r="X12" s="707"/>
      <c r="Y12" s="720"/>
      <c r="Z12" s="720"/>
    </row>
    <row r="13" spans="1:26">
      <c r="A13" s="727" t="s">
        <v>409</v>
      </c>
      <c r="B13" s="727" t="s">
        <v>405</v>
      </c>
      <c r="C13" s="728">
        <v>4</v>
      </c>
      <c r="D13" s="729" t="str">
        <f>A13&amp;"."&amp;B13</f>
        <v>@2:107.*</v>
      </c>
      <c r="E13" s="730" t="s">
        <v>410</v>
      </c>
      <c r="F13" s="731">
        <v>10555875.93</v>
      </c>
      <c r="G13" s="732">
        <v>9501126.4000000004</v>
      </c>
      <c r="H13" s="733">
        <v>10899019.84</v>
      </c>
      <c r="I13" s="733">
        <v>10951252.41</v>
      </c>
      <c r="J13" s="734">
        <v>11303827.66</v>
      </c>
      <c r="K13" s="735">
        <v>13181573.25</v>
      </c>
      <c r="L13" s="736">
        <v>17648079.600000001</v>
      </c>
      <c r="M13" s="737">
        <v>18641573.690000001</v>
      </c>
      <c r="N13" s="738">
        <v>9965389.1699999999</v>
      </c>
      <c r="O13" s="739">
        <v>10944845.09</v>
      </c>
      <c r="P13" s="740">
        <v>11645573.119999999</v>
      </c>
      <c r="Q13" s="741">
        <v>13934906.949999999</v>
      </c>
      <c r="R13" s="731">
        <v>12898869.82</v>
      </c>
      <c r="S13" s="733">
        <f t="shared" si="0"/>
        <v>12528711.671250001</v>
      </c>
      <c r="T13" s="707"/>
      <c r="U13" s="742"/>
      <c r="V13" s="742"/>
      <c r="W13" s="743">
        <f>S13</f>
        <v>12528711.671250001</v>
      </c>
      <c r="X13" s="742"/>
      <c r="Y13" s="720"/>
      <c r="Z13" s="720"/>
    </row>
    <row r="14" spans="1:26">
      <c r="A14" s="727"/>
      <c r="B14" s="727"/>
      <c r="C14" s="728">
        <v>5</v>
      </c>
      <c r="D14" s="729"/>
      <c r="E14" s="730"/>
      <c r="F14" s="744"/>
      <c r="G14" s="745"/>
      <c r="H14" s="746"/>
      <c r="I14" s="746"/>
      <c r="J14" s="747"/>
      <c r="K14" s="748"/>
      <c r="L14" s="749"/>
      <c r="M14" s="750"/>
      <c r="N14" s="751"/>
      <c r="O14" s="752"/>
      <c r="P14" s="753"/>
      <c r="Q14" s="754"/>
      <c r="R14" s="744"/>
      <c r="S14" s="733">
        <f t="shared" si="0"/>
        <v>0</v>
      </c>
      <c r="T14" s="707"/>
      <c r="U14" s="742"/>
      <c r="V14" s="742"/>
      <c r="W14" s="742"/>
      <c r="X14" s="742"/>
      <c r="Y14" s="720"/>
      <c r="Z14" s="720"/>
    </row>
    <row r="15" spans="1:26">
      <c r="A15" s="727"/>
      <c r="B15" s="727"/>
      <c r="C15" s="728">
        <v>6</v>
      </c>
      <c r="D15" s="729"/>
      <c r="E15" s="730" t="s">
        <v>411</v>
      </c>
      <c r="F15" s="755">
        <f>SUM(F11:F14)</f>
        <v>880740011.13999999</v>
      </c>
      <c r="G15" s="755">
        <f t="shared" ref="G15:S15" si="1">SUM(G11:G14)</f>
        <v>881317562.63999999</v>
      </c>
      <c r="H15" s="755">
        <f t="shared" si="1"/>
        <v>883987679.81000006</v>
      </c>
      <c r="I15" s="755">
        <f t="shared" si="1"/>
        <v>887206269.56999993</v>
      </c>
      <c r="J15" s="755">
        <f t="shared" si="1"/>
        <v>890488321.88999999</v>
      </c>
      <c r="K15" s="755">
        <f t="shared" si="1"/>
        <v>895406808.5999999</v>
      </c>
      <c r="L15" s="755">
        <f t="shared" si="1"/>
        <v>902629250.75999999</v>
      </c>
      <c r="M15" s="755">
        <f t="shared" si="1"/>
        <v>907341475.31000006</v>
      </c>
      <c r="N15" s="755">
        <f t="shared" si="1"/>
        <v>910786915.67999995</v>
      </c>
      <c r="O15" s="755">
        <f t="shared" si="1"/>
        <v>915609591.31000006</v>
      </c>
      <c r="P15" s="755">
        <f t="shared" si="1"/>
        <v>922623756.10000002</v>
      </c>
      <c r="Q15" s="755">
        <f t="shared" si="1"/>
        <v>927093603.34000015</v>
      </c>
      <c r="R15" s="755">
        <f t="shared" si="1"/>
        <v>935593433.73000002</v>
      </c>
      <c r="S15" s="755">
        <f t="shared" si="1"/>
        <v>902721496.4537499</v>
      </c>
      <c r="T15" s="707"/>
      <c r="U15" s="742"/>
      <c r="V15" s="742"/>
      <c r="W15" s="742"/>
      <c r="X15" s="742"/>
      <c r="Y15" s="720"/>
      <c r="Z15" s="720"/>
    </row>
    <row r="16" spans="1:26">
      <c r="A16" s="727"/>
      <c r="B16" s="727"/>
      <c r="C16" s="728">
        <v>7</v>
      </c>
      <c r="D16" s="729"/>
      <c r="E16" s="730"/>
      <c r="F16" s="744"/>
      <c r="G16" s="745"/>
      <c r="H16" s="746"/>
      <c r="I16" s="746"/>
      <c r="J16" s="747"/>
      <c r="K16" s="748"/>
      <c r="L16" s="749"/>
      <c r="M16" s="750"/>
      <c r="N16" s="751"/>
      <c r="O16" s="752"/>
      <c r="P16" s="753"/>
      <c r="Q16" s="754"/>
      <c r="R16" s="744"/>
      <c r="S16" s="733">
        <f t="shared" si="0"/>
        <v>0</v>
      </c>
      <c r="T16" s="707"/>
      <c r="U16" s="742"/>
      <c r="V16" s="742"/>
      <c r="W16" s="742"/>
      <c r="X16" s="742"/>
      <c r="Y16" s="720"/>
      <c r="Z16" s="720"/>
    </row>
    <row r="17" spans="1:26">
      <c r="A17" s="727" t="s">
        <v>412</v>
      </c>
      <c r="B17" s="727" t="s">
        <v>413</v>
      </c>
      <c r="C17" s="728">
        <v>8</v>
      </c>
      <c r="D17" s="729" t="str">
        <f>A17&amp;"."&amp;B17</f>
        <v>1082.8</v>
      </c>
      <c r="E17" s="756" t="s">
        <v>414</v>
      </c>
      <c r="F17" s="757">
        <v>686205.96</v>
      </c>
      <c r="G17" s="758">
        <v>829635.6</v>
      </c>
      <c r="H17" s="733">
        <v>771254.68</v>
      </c>
      <c r="I17" s="733">
        <v>524465.69999999995</v>
      </c>
      <c r="J17" s="757">
        <v>698101.21</v>
      </c>
      <c r="K17" s="757">
        <v>830365.63</v>
      </c>
      <c r="L17" s="757">
        <v>887437.96</v>
      </c>
      <c r="M17" s="757">
        <v>780282.77</v>
      </c>
      <c r="N17" s="757">
        <v>1016342.45</v>
      </c>
      <c r="O17" s="759">
        <v>906028.11</v>
      </c>
      <c r="P17" s="757">
        <v>908236.76</v>
      </c>
      <c r="Q17" s="757">
        <v>933863.07</v>
      </c>
      <c r="R17" s="757">
        <v>991503.47</v>
      </c>
      <c r="S17" s="733">
        <f t="shared" si="0"/>
        <v>827072.38791666657</v>
      </c>
      <c r="T17" s="707"/>
      <c r="U17" s="742"/>
      <c r="V17" s="742"/>
      <c r="W17" s="742"/>
      <c r="X17" s="742"/>
      <c r="Y17" s="720"/>
      <c r="Z17" s="720"/>
    </row>
    <row r="18" spans="1:26">
      <c r="A18" s="727" t="s">
        <v>412</v>
      </c>
      <c r="B18" s="727" t="s">
        <v>415</v>
      </c>
      <c r="C18" s="728">
        <v>9</v>
      </c>
      <c r="D18" s="729" t="str">
        <f>+A18</f>
        <v>1082</v>
      </c>
      <c r="E18" s="730" t="s">
        <v>416</v>
      </c>
      <c r="F18" s="731">
        <v>-297303622.94999999</v>
      </c>
      <c r="G18" s="732">
        <v>-298329288.63</v>
      </c>
      <c r="H18" s="733">
        <v>-299555161.89999998</v>
      </c>
      <c r="I18" s="733">
        <v>-300533506.98000002</v>
      </c>
      <c r="J18" s="734">
        <v>-301818176.24000001</v>
      </c>
      <c r="K18" s="735">
        <v>-303247549.05000001</v>
      </c>
      <c r="L18" s="736">
        <v>-304208502.81</v>
      </c>
      <c r="M18" s="737">
        <v>-305547368.5</v>
      </c>
      <c r="N18" s="738">
        <v>-306922056.56</v>
      </c>
      <c r="O18" s="739">
        <v>-308090549.82999998</v>
      </c>
      <c r="P18" s="740">
        <v>-309380893.37</v>
      </c>
      <c r="Q18" s="741">
        <v>-310725873.72000003</v>
      </c>
      <c r="R18" s="731">
        <v>-310640427.29000002</v>
      </c>
      <c r="S18" s="733">
        <f t="shared" si="0"/>
        <v>-304360912.72583336</v>
      </c>
      <c r="T18" s="707"/>
      <c r="U18" s="742"/>
      <c r="V18" s="742"/>
      <c r="W18" s="742"/>
      <c r="X18" s="742"/>
      <c r="Y18" s="720"/>
      <c r="Z18" s="720"/>
    </row>
    <row r="19" spans="1:26">
      <c r="A19" s="727" t="s">
        <v>417</v>
      </c>
      <c r="B19" s="727" t="s">
        <v>405</v>
      </c>
      <c r="C19" s="728">
        <v>10</v>
      </c>
      <c r="D19" s="729" t="str">
        <f>+A19</f>
        <v>1112</v>
      </c>
      <c r="E19" s="730" t="s">
        <v>418</v>
      </c>
      <c r="F19" s="760">
        <v>-8070827.1500000004</v>
      </c>
      <c r="G19" s="761">
        <v>-8314228.7599999998</v>
      </c>
      <c r="H19" s="762">
        <v>-8560523.9900000002</v>
      </c>
      <c r="I19" s="762">
        <v>-8770158.4000000004</v>
      </c>
      <c r="J19" s="763">
        <v>-9007056.4499999993</v>
      </c>
      <c r="K19" s="764">
        <v>-9243688.6899999995</v>
      </c>
      <c r="L19" s="765">
        <v>-9480361.2899999991</v>
      </c>
      <c r="M19" s="766">
        <v>-9701458.4700000007</v>
      </c>
      <c r="N19" s="767">
        <v>-9922555.6500000004</v>
      </c>
      <c r="O19" s="768">
        <v>-10143652.83</v>
      </c>
      <c r="P19" s="769">
        <v>-10365313.029999999</v>
      </c>
      <c r="Q19" s="770">
        <v>-10586166.609999999</v>
      </c>
      <c r="R19" s="760">
        <v>-10807311.550000001</v>
      </c>
      <c r="S19" s="733">
        <f t="shared" si="0"/>
        <v>-9461186.1266666651</v>
      </c>
      <c r="T19" s="707"/>
      <c r="U19" s="742"/>
      <c r="V19" s="742"/>
      <c r="W19" s="742"/>
      <c r="X19" s="742"/>
      <c r="Y19" s="720"/>
      <c r="Z19" s="720"/>
    </row>
    <row r="20" spans="1:26">
      <c r="A20" s="727" t="s">
        <v>419</v>
      </c>
      <c r="B20" s="727" t="s">
        <v>405</v>
      </c>
      <c r="C20" s="728">
        <v>11</v>
      </c>
      <c r="D20" s="727" t="str">
        <f>+A20</f>
        <v>1152</v>
      </c>
      <c r="E20" s="730" t="s">
        <v>420</v>
      </c>
      <c r="F20" s="771">
        <v>0</v>
      </c>
      <c r="G20" s="772">
        <v>0</v>
      </c>
      <c r="H20" s="773">
        <v>0</v>
      </c>
      <c r="I20" s="773">
        <v>0</v>
      </c>
      <c r="J20" s="774">
        <v>0</v>
      </c>
      <c r="K20" s="775">
        <v>0</v>
      </c>
      <c r="L20" s="776">
        <v>0</v>
      </c>
      <c r="M20" s="777">
        <v>0</v>
      </c>
      <c r="N20" s="778">
        <v>0</v>
      </c>
      <c r="O20" s="779">
        <v>0</v>
      </c>
      <c r="P20" s="780">
        <v>0</v>
      </c>
      <c r="Q20" s="781">
        <v>0</v>
      </c>
      <c r="R20" s="771">
        <v>0</v>
      </c>
      <c r="S20" s="733">
        <f t="shared" si="0"/>
        <v>0</v>
      </c>
      <c r="T20" s="707"/>
      <c r="U20" s="742"/>
      <c r="V20" s="742"/>
      <c r="W20" s="742"/>
      <c r="X20" s="742"/>
      <c r="Y20" s="720"/>
      <c r="Z20" s="720"/>
    </row>
    <row r="21" spans="1:26">
      <c r="A21" s="727"/>
      <c r="B21" s="727"/>
      <c r="C21" s="728">
        <v>12</v>
      </c>
      <c r="D21" s="729"/>
      <c r="E21" s="730" t="s">
        <v>421</v>
      </c>
      <c r="F21" s="782">
        <f>SUM(F17:F20)</f>
        <v>-304688244.13999999</v>
      </c>
      <c r="G21" s="782">
        <f t="shared" ref="G21:S21" si="2">SUM(G17:G20)</f>
        <v>-305813881.78999996</v>
      </c>
      <c r="H21" s="782">
        <f t="shared" si="2"/>
        <v>-307344431.20999998</v>
      </c>
      <c r="I21" s="782">
        <f t="shared" si="2"/>
        <v>-308779199.68000001</v>
      </c>
      <c r="J21" s="782">
        <f t="shared" si="2"/>
        <v>-310127131.48000002</v>
      </c>
      <c r="K21" s="782">
        <f t="shared" si="2"/>
        <v>-311660872.11000001</v>
      </c>
      <c r="L21" s="782">
        <f t="shared" si="2"/>
        <v>-312801426.14000005</v>
      </c>
      <c r="M21" s="782">
        <f t="shared" si="2"/>
        <v>-314468544.20000005</v>
      </c>
      <c r="N21" s="782">
        <f t="shared" si="2"/>
        <v>-315828269.75999999</v>
      </c>
      <c r="O21" s="782">
        <f t="shared" si="2"/>
        <v>-317328174.54999995</v>
      </c>
      <c r="P21" s="782">
        <f t="shared" si="2"/>
        <v>-318837969.63999999</v>
      </c>
      <c r="Q21" s="782">
        <f t="shared" si="2"/>
        <v>-320378177.26000005</v>
      </c>
      <c r="R21" s="782">
        <f t="shared" si="2"/>
        <v>-320456235.37</v>
      </c>
      <c r="S21" s="782">
        <f t="shared" si="2"/>
        <v>-312995026.46458334</v>
      </c>
      <c r="T21" s="707"/>
      <c r="U21" s="742"/>
      <c r="V21" s="743"/>
      <c r="W21" s="742"/>
      <c r="X21" s="742"/>
      <c r="Y21" s="720"/>
      <c r="Z21" s="720"/>
    </row>
    <row r="22" spans="1:26">
      <c r="A22" s="727"/>
      <c r="B22" s="727"/>
      <c r="C22" s="728">
        <v>13</v>
      </c>
      <c r="D22" s="729"/>
      <c r="E22" s="730"/>
      <c r="F22" s="744"/>
      <c r="G22" s="745"/>
      <c r="H22" s="746"/>
      <c r="I22" s="746"/>
      <c r="J22" s="747"/>
      <c r="K22" s="748"/>
      <c r="L22" s="749"/>
      <c r="M22" s="750"/>
      <c r="N22" s="751"/>
      <c r="O22" s="752"/>
      <c r="P22" s="753"/>
      <c r="Q22" s="754"/>
      <c r="R22" s="744"/>
      <c r="S22" s="733">
        <f t="shared" si="0"/>
        <v>0</v>
      </c>
      <c r="T22" s="707"/>
      <c r="U22" s="742"/>
      <c r="V22" s="742"/>
      <c r="W22" s="742"/>
      <c r="X22" s="742"/>
      <c r="Y22" s="720"/>
      <c r="Z22" s="720"/>
    </row>
    <row r="23" spans="1:26">
      <c r="A23" s="727" t="s">
        <v>422</v>
      </c>
      <c r="B23" s="727" t="s">
        <v>405</v>
      </c>
      <c r="C23" s="728">
        <v>14</v>
      </c>
      <c r="D23" s="729" t="str">
        <f>+A23</f>
        <v>1087</v>
      </c>
      <c r="E23" s="730" t="s">
        <v>423</v>
      </c>
      <c r="F23" s="731">
        <v>-3106488.9199999701</v>
      </c>
      <c r="G23" s="732">
        <v>-3114831.04</v>
      </c>
      <c r="H23" s="733">
        <v>-3129854.48</v>
      </c>
      <c r="I23" s="733">
        <v>-3101719.66</v>
      </c>
      <c r="J23" s="734">
        <v>-3114986.65</v>
      </c>
      <c r="K23" s="735">
        <v>-3126477.53</v>
      </c>
      <c r="L23" s="736">
        <v>-3141437.98</v>
      </c>
      <c r="M23" s="737">
        <v>-3157143.28</v>
      </c>
      <c r="N23" s="738">
        <v>-3164800.94</v>
      </c>
      <c r="O23" s="739">
        <v>-3176368.87</v>
      </c>
      <c r="P23" s="740">
        <v>-3178448.47</v>
      </c>
      <c r="Q23" s="741">
        <v>-3184113.82</v>
      </c>
      <c r="R23" s="731">
        <v>-3251382.2</v>
      </c>
      <c r="S23" s="733">
        <f t="shared" si="0"/>
        <v>-3147426.523333332</v>
      </c>
      <c r="T23" s="707"/>
      <c r="U23" s="742"/>
      <c r="V23" s="742"/>
      <c r="W23" s="742"/>
      <c r="X23" s="742"/>
      <c r="Y23" s="720"/>
      <c r="Z23" s="720"/>
    </row>
    <row r="24" spans="1:26">
      <c r="A24" s="727" t="s">
        <v>1001</v>
      </c>
      <c r="B24" s="727" t="s">
        <v>405</v>
      </c>
      <c r="C24" s="728">
        <v>15</v>
      </c>
      <c r="D24" s="729" t="str">
        <f>+A24</f>
        <v>1088</v>
      </c>
      <c r="E24" s="731" t="s">
        <v>1002</v>
      </c>
      <c r="F24" s="731">
        <v>-124586801</v>
      </c>
      <c r="G24" s="732">
        <v>-124938981.86</v>
      </c>
      <c r="H24" s="733">
        <v>-125253035.84999999</v>
      </c>
      <c r="I24" s="733">
        <v>-125305836.09999999</v>
      </c>
      <c r="J24" s="734">
        <v>-125700569.34</v>
      </c>
      <c r="K24" s="735">
        <v>-126092534.17</v>
      </c>
      <c r="L24" s="736">
        <v>-126397292.31</v>
      </c>
      <c r="M24" s="737">
        <v>-126779418.34</v>
      </c>
      <c r="N24" s="738">
        <v>-127152785.67</v>
      </c>
      <c r="O24" s="739">
        <v>-127377044.70999999</v>
      </c>
      <c r="P24" s="740">
        <v>-127747360.28</v>
      </c>
      <c r="Q24" s="741">
        <v>-128065696.11</v>
      </c>
      <c r="R24" s="731">
        <v>-129636963.91</v>
      </c>
      <c r="S24" s="733">
        <f t="shared" si="0"/>
        <v>-126493536.43291664</v>
      </c>
      <c r="T24" s="707"/>
      <c r="U24" s="742"/>
      <c r="V24" s="742"/>
      <c r="W24" s="742"/>
      <c r="X24" s="742"/>
      <c r="Y24" s="720"/>
      <c r="Z24" s="720"/>
    </row>
    <row r="25" spans="1:26">
      <c r="A25" s="727"/>
      <c r="B25" s="727"/>
      <c r="C25" s="728">
        <v>16</v>
      </c>
      <c r="D25" s="729"/>
      <c r="E25" s="730" t="s">
        <v>424</v>
      </c>
      <c r="F25" s="783">
        <f>+F23+F24</f>
        <v>-127693289.91999997</v>
      </c>
      <c r="G25" s="783">
        <f t="shared" ref="G25:S25" si="3">+G23+G24</f>
        <v>-128053812.90000001</v>
      </c>
      <c r="H25" s="783">
        <f t="shared" si="3"/>
        <v>-128382890.33</v>
      </c>
      <c r="I25" s="783">
        <f t="shared" si="3"/>
        <v>-128407555.75999999</v>
      </c>
      <c r="J25" s="783">
        <f t="shared" si="3"/>
        <v>-128815555.99000001</v>
      </c>
      <c r="K25" s="783">
        <f t="shared" si="3"/>
        <v>-129219011.7</v>
      </c>
      <c r="L25" s="783">
        <f t="shared" si="3"/>
        <v>-129538730.29000001</v>
      </c>
      <c r="M25" s="783">
        <f t="shared" si="3"/>
        <v>-129936561.62</v>
      </c>
      <c r="N25" s="783">
        <f t="shared" si="3"/>
        <v>-130317586.61</v>
      </c>
      <c r="O25" s="783">
        <f t="shared" si="3"/>
        <v>-130553413.58</v>
      </c>
      <c r="P25" s="783">
        <f t="shared" si="3"/>
        <v>-130925808.75</v>
      </c>
      <c r="Q25" s="783">
        <f t="shared" si="3"/>
        <v>-131249809.92999999</v>
      </c>
      <c r="R25" s="783">
        <f t="shared" si="3"/>
        <v>-132888346.11</v>
      </c>
      <c r="S25" s="783">
        <f t="shared" si="3"/>
        <v>-129640962.95624997</v>
      </c>
      <c r="T25" s="707"/>
      <c r="U25" s="742"/>
      <c r="V25" s="742"/>
      <c r="W25" s="742"/>
      <c r="X25" s="742"/>
      <c r="Y25" s="720"/>
      <c r="Z25" s="720"/>
    </row>
    <row r="26" spans="1:26">
      <c r="A26" s="727"/>
      <c r="B26" s="727"/>
      <c r="C26" s="728">
        <v>17</v>
      </c>
      <c r="D26" s="729"/>
      <c r="E26" s="730"/>
      <c r="F26" s="744"/>
      <c r="G26" s="745"/>
      <c r="H26" s="746"/>
      <c r="I26" s="746"/>
      <c r="J26" s="747"/>
      <c r="K26" s="748"/>
      <c r="L26" s="749"/>
      <c r="M26" s="750"/>
      <c r="N26" s="751"/>
      <c r="O26" s="752"/>
      <c r="P26" s="753"/>
      <c r="Q26" s="754"/>
      <c r="R26" s="744"/>
      <c r="S26" s="733">
        <f t="shared" si="0"/>
        <v>0</v>
      </c>
      <c r="T26" s="707"/>
      <c r="U26" s="742"/>
      <c r="V26" s="742"/>
      <c r="W26" s="742"/>
      <c r="X26" s="742"/>
      <c r="Y26" s="720"/>
      <c r="Z26" s="720"/>
    </row>
    <row r="27" spans="1:26">
      <c r="A27" s="727"/>
      <c r="B27" s="727"/>
      <c r="C27" s="728">
        <v>18</v>
      </c>
      <c r="D27" s="729"/>
      <c r="E27" s="730" t="s">
        <v>425</v>
      </c>
      <c r="F27" s="784">
        <f>+F25+F21</f>
        <v>-432381534.05999994</v>
      </c>
      <c r="G27" s="784">
        <f t="shared" ref="G27:S27" si="4">+G25+G21</f>
        <v>-433867694.68999994</v>
      </c>
      <c r="H27" s="784">
        <f t="shared" si="4"/>
        <v>-435727321.53999996</v>
      </c>
      <c r="I27" s="784">
        <f t="shared" si="4"/>
        <v>-437186755.44</v>
      </c>
      <c r="J27" s="784">
        <f t="shared" si="4"/>
        <v>-438942687.47000003</v>
      </c>
      <c r="K27" s="784">
        <f t="shared" si="4"/>
        <v>-440879883.81</v>
      </c>
      <c r="L27" s="784">
        <f t="shared" si="4"/>
        <v>-442340156.43000007</v>
      </c>
      <c r="M27" s="784">
        <f t="shared" si="4"/>
        <v>-444405105.82000005</v>
      </c>
      <c r="N27" s="784">
        <f t="shared" si="4"/>
        <v>-446145856.37</v>
      </c>
      <c r="O27" s="784">
        <f t="shared" si="4"/>
        <v>-447881588.12999994</v>
      </c>
      <c r="P27" s="784">
        <f t="shared" si="4"/>
        <v>-449763778.38999999</v>
      </c>
      <c r="Q27" s="784">
        <f t="shared" si="4"/>
        <v>-451627987.19000006</v>
      </c>
      <c r="R27" s="784">
        <f t="shared" si="4"/>
        <v>-453344581.48000002</v>
      </c>
      <c r="S27" s="784">
        <f t="shared" si="4"/>
        <v>-442635989.42083329</v>
      </c>
      <c r="T27" s="707"/>
      <c r="U27" s="742"/>
      <c r="V27" s="743">
        <f>S27</f>
        <v>-442635989.42083329</v>
      </c>
      <c r="W27" s="742"/>
      <c r="X27" s="742"/>
      <c r="Y27" s="720"/>
      <c r="Z27" s="720"/>
    </row>
    <row r="28" spans="1:26">
      <c r="A28" s="727"/>
      <c r="B28" s="727"/>
      <c r="C28" s="728">
        <v>19</v>
      </c>
      <c r="D28" s="729"/>
      <c r="E28" s="785"/>
      <c r="F28" s="786"/>
      <c r="G28" s="787"/>
      <c r="H28" s="788"/>
      <c r="I28" s="788"/>
      <c r="J28" s="789"/>
      <c r="K28" s="790"/>
      <c r="L28" s="791"/>
      <c r="M28" s="792"/>
      <c r="N28" s="793"/>
      <c r="O28" s="794"/>
      <c r="P28" s="795"/>
      <c r="Q28" s="796"/>
      <c r="R28" s="786"/>
      <c r="S28" s="733">
        <f t="shared" si="0"/>
        <v>0</v>
      </c>
      <c r="T28" s="707"/>
      <c r="U28" s="742"/>
      <c r="V28" s="742"/>
      <c r="W28" s="742"/>
      <c r="X28" s="742"/>
      <c r="Y28" s="720"/>
      <c r="Z28" s="720"/>
    </row>
    <row r="29" spans="1:26">
      <c r="A29" s="727"/>
      <c r="B29" s="727"/>
      <c r="C29" s="728">
        <v>20</v>
      </c>
      <c r="D29" s="729"/>
      <c r="E29" s="785" t="s">
        <v>426</v>
      </c>
      <c r="F29" s="797">
        <f>+F15+F27</f>
        <v>448358477.08000004</v>
      </c>
      <c r="G29" s="797">
        <f t="shared" ref="G29:S29" si="5">+G15+G27</f>
        <v>447449867.95000005</v>
      </c>
      <c r="H29" s="797">
        <f t="shared" si="5"/>
        <v>448260358.2700001</v>
      </c>
      <c r="I29" s="797">
        <f t="shared" si="5"/>
        <v>450019514.12999994</v>
      </c>
      <c r="J29" s="797">
        <f t="shared" si="5"/>
        <v>451545634.41999996</v>
      </c>
      <c r="K29" s="797">
        <f t="shared" si="5"/>
        <v>454526924.7899999</v>
      </c>
      <c r="L29" s="797">
        <f t="shared" si="5"/>
        <v>460289094.32999992</v>
      </c>
      <c r="M29" s="797">
        <f t="shared" si="5"/>
        <v>462936369.49000001</v>
      </c>
      <c r="N29" s="797">
        <f t="shared" si="5"/>
        <v>464641059.30999994</v>
      </c>
      <c r="O29" s="797">
        <f t="shared" si="5"/>
        <v>467728003.18000013</v>
      </c>
      <c r="P29" s="797">
        <f t="shared" si="5"/>
        <v>472859977.71000004</v>
      </c>
      <c r="Q29" s="797">
        <f t="shared" si="5"/>
        <v>475465616.1500001</v>
      </c>
      <c r="R29" s="797">
        <f t="shared" si="5"/>
        <v>482248852.25</v>
      </c>
      <c r="S29" s="797">
        <f t="shared" si="5"/>
        <v>460085507.03291661</v>
      </c>
      <c r="T29" s="707"/>
      <c r="U29" s="742"/>
      <c r="V29" s="742"/>
      <c r="W29" s="742"/>
      <c r="X29" s="742"/>
      <c r="Y29" s="720"/>
      <c r="Z29" s="720"/>
    </row>
    <row r="30" spans="1:26">
      <c r="A30" s="727"/>
      <c r="B30" s="727"/>
      <c r="C30" s="728">
        <v>21</v>
      </c>
      <c r="D30" s="729"/>
      <c r="E30" s="785"/>
      <c r="F30" s="744"/>
      <c r="G30" s="745"/>
      <c r="H30" s="746"/>
      <c r="I30" s="746"/>
      <c r="J30" s="747"/>
      <c r="K30" s="748"/>
      <c r="L30" s="749"/>
      <c r="M30" s="750"/>
      <c r="N30" s="751"/>
      <c r="O30" s="752"/>
      <c r="P30" s="753"/>
      <c r="Q30" s="754"/>
      <c r="R30" s="744"/>
      <c r="S30" s="733">
        <f t="shared" si="0"/>
        <v>0</v>
      </c>
      <c r="T30" s="707"/>
      <c r="U30" s="742"/>
      <c r="V30" s="742"/>
      <c r="W30" s="742"/>
      <c r="X30" s="742"/>
      <c r="Y30" s="720"/>
      <c r="Z30" s="720"/>
    </row>
    <row r="31" spans="1:26">
      <c r="A31" s="727" t="s">
        <v>427</v>
      </c>
      <c r="B31" s="727" t="s">
        <v>405</v>
      </c>
      <c r="C31" s="728">
        <v>22</v>
      </c>
      <c r="D31" s="729" t="str">
        <f>+A31</f>
        <v>1231</v>
      </c>
      <c r="E31" s="730" t="s">
        <v>428</v>
      </c>
      <c r="F31" s="731">
        <v>0</v>
      </c>
      <c r="G31" s="732">
        <v>0</v>
      </c>
      <c r="H31" s="733">
        <v>0</v>
      </c>
      <c r="I31" s="733">
        <v>0</v>
      </c>
      <c r="J31" s="734">
        <v>0</v>
      </c>
      <c r="K31" s="735">
        <v>0</v>
      </c>
      <c r="L31" s="736">
        <v>0</v>
      </c>
      <c r="M31" s="737">
        <v>0</v>
      </c>
      <c r="N31" s="738">
        <v>0</v>
      </c>
      <c r="O31" s="739">
        <v>0</v>
      </c>
      <c r="P31" s="740">
        <v>0</v>
      </c>
      <c r="Q31" s="741">
        <v>0</v>
      </c>
      <c r="R31" s="731">
        <v>0</v>
      </c>
      <c r="S31" s="733">
        <f t="shared" si="0"/>
        <v>0</v>
      </c>
      <c r="T31" s="707"/>
      <c r="U31" s="742"/>
      <c r="V31" s="742"/>
      <c r="W31" s="742"/>
      <c r="X31" s="742"/>
      <c r="Y31" s="720"/>
      <c r="Z31" s="720"/>
    </row>
    <row r="32" spans="1:26">
      <c r="A32" s="727"/>
      <c r="B32" s="727"/>
      <c r="C32" s="728">
        <v>23</v>
      </c>
      <c r="D32" s="729"/>
      <c r="E32" s="785"/>
      <c r="F32" s="744"/>
      <c r="G32" s="745"/>
      <c r="H32" s="746"/>
      <c r="I32" s="746"/>
      <c r="J32" s="747"/>
      <c r="K32" s="748"/>
      <c r="L32" s="749"/>
      <c r="M32" s="750"/>
      <c r="N32" s="751"/>
      <c r="O32" s="752"/>
      <c r="P32" s="753"/>
      <c r="Q32" s="754"/>
      <c r="R32" s="744"/>
      <c r="S32" s="733">
        <f t="shared" si="0"/>
        <v>0</v>
      </c>
      <c r="T32" s="707"/>
      <c r="U32" s="742"/>
      <c r="V32" s="742"/>
      <c r="W32" s="742"/>
      <c r="X32" s="742"/>
      <c r="Y32" s="720"/>
      <c r="Z32" s="720"/>
    </row>
    <row r="33" spans="1:26">
      <c r="A33" s="727"/>
      <c r="B33" s="727"/>
      <c r="C33" s="728">
        <v>24</v>
      </c>
      <c r="D33" s="729"/>
      <c r="E33" s="785" t="s">
        <v>429</v>
      </c>
      <c r="F33" s="755">
        <f>+F31</f>
        <v>0</v>
      </c>
      <c r="G33" s="798">
        <v>0</v>
      </c>
      <c r="H33" s="799">
        <v>0</v>
      </c>
      <c r="I33" s="799">
        <v>0</v>
      </c>
      <c r="J33" s="800">
        <v>0</v>
      </c>
      <c r="K33" s="801">
        <v>0</v>
      </c>
      <c r="L33" s="802">
        <v>0</v>
      </c>
      <c r="M33" s="803">
        <v>0</v>
      </c>
      <c r="N33" s="804">
        <v>0</v>
      </c>
      <c r="O33" s="805">
        <v>0</v>
      </c>
      <c r="P33" s="806">
        <v>0</v>
      </c>
      <c r="Q33" s="807">
        <v>0</v>
      </c>
      <c r="R33" s="755">
        <v>0</v>
      </c>
      <c r="S33" s="733">
        <f t="shared" si="0"/>
        <v>0</v>
      </c>
      <c r="T33" s="707"/>
      <c r="U33" s="742"/>
      <c r="V33" s="742"/>
      <c r="W33" s="742"/>
      <c r="X33" s="742"/>
      <c r="Y33" s="720"/>
      <c r="Z33" s="720"/>
    </row>
    <row r="34" spans="1:26">
      <c r="A34" s="727"/>
      <c r="B34" s="727"/>
      <c r="C34" s="728">
        <v>25</v>
      </c>
      <c r="D34" s="729"/>
      <c r="E34" s="785"/>
      <c r="F34" s="731"/>
      <c r="G34" s="732"/>
      <c r="H34" s="733"/>
      <c r="I34" s="733"/>
      <c r="J34" s="734"/>
      <c r="K34" s="735"/>
      <c r="L34" s="736"/>
      <c r="M34" s="737"/>
      <c r="N34" s="738"/>
      <c r="O34" s="739"/>
      <c r="P34" s="740"/>
      <c r="Q34" s="741"/>
      <c r="R34" s="731"/>
      <c r="S34" s="733">
        <f t="shared" si="0"/>
        <v>0</v>
      </c>
      <c r="T34" s="707"/>
      <c r="U34" s="742"/>
      <c r="V34" s="742"/>
      <c r="W34" s="742"/>
      <c r="X34" s="742"/>
      <c r="Y34" s="720"/>
      <c r="Z34" s="720"/>
    </row>
    <row r="35" spans="1:26">
      <c r="A35" s="727" t="s">
        <v>430</v>
      </c>
      <c r="B35" s="727" t="s">
        <v>405</v>
      </c>
      <c r="C35" s="728">
        <v>26</v>
      </c>
      <c r="D35" s="729" t="s">
        <v>431</v>
      </c>
      <c r="E35" s="730" t="s">
        <v>432</v>
      </c>
      <c r="F35" s="731">
        <v>10440344.33</v>
      </c>
      <c r="G35" s="732">
        <v>10405591.74</v>
      </c>
      <c r="H35" s="733">
        <v>10429989.75</v>
      </c>
      <c r="I35" s="733">
        <v>10572999.300000001</v>
      </c>
      <c r="J35" s="734">
        <v>10589120.779999999</v>
      </c>
      <c r="K35" s="735">
        <v>10617181.02</v>
      </c>
      <c r="L35" s="736">
        <v>10713771.609999999</v>
      </c>
      <c r="M35" s="737">
        <v>10797331.810000001</v>
      </c>
      <c r="N35" s="738">
        <v>10792682.289999999</v>
      </c>
      <c r="O35" s="739">
        <v>10946112.279999999</v>
      </c>
      <c r="P35" s="740">
        <v>10858631.279999999</v>
      </c>
      <c r="Q35" s="741">
        <v>10843104.140000001</v>
      </c>
      <c r="R35" s="731">
        <v>10932832.17</v>
      </c>
      <c r="S35" s="733">
        <f t="shared" si="0"/>
        <v>10687758.687500002</v>
      </c>
      <c r="T35" s="707"/>
      <c r="U35" s="742"/>
      <c r="V35" s="742"/>
      <c r="W35" s="743">
        <f>S35</f>
        <v>10687758.687500002</v>
      </c>
      <c r="X35" s="743"/>
      <c r="Y35" s="720"/>
      <c r="Z35" s="720"/>
    </row>
    <row r="36" spans="1:26">
      <c r="A36" s="727" t="s">
        <v>433</v>
      </c>
      <c r="B36" s="727" t="s">
        <v>405</v>
      </c>
      <c r="C36" s="728">
        <v>27</v>
      </c>
      <c r="D36" s="729" t="str">
        <f>+A36</f>
        <v>1210</v>
      </c>
      <c r="E36" s="730" t="s">
        <v>434</v>
      </c>
      <c r="F36" s="731">
        <v>202030.18</v>
      </c>
      <c r="G36" s="732">
        <v>202030.18</v>
      </c>
      <c r="H36" s="733">
        <v>202030.18</v>
      </c>
      <c r="I36" s="733">
        <v>202030.18</v>
      </c>
      <c r="J36" s="734">
        <v>202030.18</v>
      </c>
      <c r="K36" s="735">
        <v>202030.18</v>
      </c>
      <c r="L36" s="736">
        <v>202030.18</v>
      </c>
      <c r="M36" s="737">
        <v>202030.18</v>
      </c>
      <c r="N36" s="738">
        <v>202030.18</v>
      </c>
      <c r="O36" s="739">
        <v>202030.18</v>
      </c>
      <c r="P36" s="740">
        <v>202030.18</v>
      </c>
      <c r="Q36" s="741">
        <v>202030.18</v>
      </c>
      <c r="R36" s="731">
        <v>202030.18</v>
      </c>
      <c r="S36" s="733">
        <f t="shared" si="0"/>
        <v>202030.17999999996</v>
      </c>
      <c r="T36" s="707"/>
      <c r="U36" s="742"/>
      <c r="V36" s="742"/>
      <c r="W36" s="743">
        <f>S36</f>
        <v>202030.17999999996</v>
      </c>
      <c r="X36" s="742"/>
      <c r="Y36" s="720"/>
      <c r="Z36" s="720"/>
    </row>
    <row r="37" spans="1:26">
      <c r="A37" s="727" t="s">
        <v>435</v>
      </c>
      <c r="B37" s="727" t="s">
        <v>405</v>
      </c>
      <c r="C37" s="728">
        <v>28</v>
      </c>
      <c r="D37" s="729" t="str">
        <f>+A37</f>
        <v>1220</v>
      </c>
      <c r="E37" s="730" t="s">
        <v>436</v>
      </c>
      <c r="F37" s="731">
        <v>0</v>
      </c>
      <c r="G37" s="732">
        <v>0</v>
      </c>
      <c r="H37" s="733">
        <v>0</v>
      </c>
      <c r="I37" s="733">
        <v>0</v>
      </c>
      <c r="J37" s="734">
        <v>0</v>
      </c>
      <c r="K37" s="735">
        <v>0</v>
      </c>
      <c r="L37" s="736">
        <v>0</v>
      </c>
      <c r="M37" s="737">
        <v>0</v>
      </c>
      <c r="N37" s="738">
        <v>0</v>
      </c>
      <c r="O37" s="739">
        <v>0</v>
      </c>
      <c r="P37" s="740">
        <v>0</v>
      </c>
      <c r="Q37" s="741">
        <v>0</v>
      </c>
      <c r="R37" s="731">
        <v>0</v>
      </c>
      <c r="S37" s="733">
        <f t="shared" si="0"/>
        <v>0</v>
      </c>
      <c r="T37" s="707"/>
      <c r="U37" s="742"/>
      <c r="V37" s="742"/>
      <c r="W37" s="742"/>
      <c r="X37" s="742"/>
      <c r="Y37" s="720"/>
      <c r="Z37" s="720"/>
    </row>
    <row r="38" spans="1:26">
      <c r="A38" s="727"/>
      <c r="B38" s="727"/>
      <c r="C38" s="728">
        <v>29</v>
      </c>
      <c r="D38" s="729"/>
      <c r="E38" s="785"/>
      <c r="F38" s="744"/>
      <c r="G38" s="745"/>
      <c r="H38" s="746"/>
      <c r="I38" s="746"/>
      <c r="J38" s="747"/>
      <c r="K38" s="748"/>
      <c r="L38" s="749"/>
      <c r="M38" s="750"/>
      <c r="N38" s="751"/>
      <c r="O38" s="752"/>
      <c r="P38" s="753"/>
      <c r="Q38" s="754"/>
      <c r="R38" s="744"/>
      <c r="S38" s="733">
        <f t="shared" si="0"/>
        <v>0</v>
      </c>
      <c r="T38" s="707"/>
      <c r="U38" s="742"/>
      <c r="V38" s="742"/>
      <c r="W38" s="742"/>
      <c r="X38" s="742"/>
      <c r="Y38" s="720"/>
      <c r="Z38" s="720"/>
    </row>
    <row r="39" spans="1:26">
      <c r="A39" s="727"/>
      <c r="B39" s="727"/>
      <c r="C39" s="728">
        <v>30</v>
      </c>
      <c r="D39" s="729"/>
      <c r="E39" s="785" t="s">
        <v>437</v>
      </c>
      <c r="F39" s="755">
        <f>SUM(F35:F37)</f>
        <v>10642374.51</v>
      </c>
      <c r="G39" s="755">
        <f t="shared" ref="G39:S39" si="6">SUM(G35:G37)</f>
        <v>10607621.92</v>
      </c>
      <c r="H39" s="755">
        <f t="shared" si="6"/>
        <v>10632019.93</v>
      </c>
      <c r="I39" s="755">
        <f t="shared" si="6"/>
        <v>10775029.48</v>
      </c>
      <c r="J39" s="755">
        <f t="shared" si="6"/>
        <v>10791150.959999999</v>
      </c>
      <c r="K39" s="755">
        <f t="shared" si="6"/>
        <v>10819211.199999999</v>
      </c>
      <c r="L39" s="755">
        <f t="shared" si="6"/>
        <v>10915801.789999999</v>
      </c>
      <c r="M39" s="755">
        <f t="shared" si="6"/>
        <v>10999361.99</v>
      </c>
      <c r="N39" s="755">
        <f t="shared" si="6"/>
        <v>10994712.469999999</v>
      </c>
      <c r="O39" s="755">
        <f t="shared" si="6"/>
        <v>11148142.459999999</v>
      </c>
      <c r="P39" s="755">
        <f t="shared" si="6"/>
        <v>11060661.459999999</v>
      </c>
      <c r="Q39" s="755">
        <f t="shared" si="6"/>
        <v>11045134.32</v>
      </c>
      <c r="R39" s="755">
        <f t="shared" si="6"/>
        <v>11134862.35</v>
      </c>
      <c r="S39" s="755">
        <f t="shared" si="6"/>
        <v>10889788.867500002</v>
      </c>
      <c r="T39" s="707"/>
      <c r="U39" s="742"/>
      <c r="V39" s="742"/>
      <c r="W39" s="743"/>
      <c r="X39" s="742"/>
      <c r="Y39" s="720"/>
      <c r="Z39" s="720"/>
    </row>
    <row r="40" spans="1:26">
      <c r="A40" s="727"/>
      <c r="B40" s="727"/>
      <c r="C40" s="728">
        <v>31</v>
      </c>
      <c r="D40" s="729"/>
      <c r="E40" s="785"/>
      <c r="F40" s="731"/>
      <c r="G40" s="732"/>
      <c r="H40" s="733"/>
      <c r="I40" s="733"/>
      <c r="J40" s="734"/>
      <c r="K40" s="735"/>
      <c r="L40" s="736"/>
      <c r="M40" s="737"/>
      <c r="N40" s="738"/>
      <c r="O40" s="739"/>
      <c r="P40" s="740"/>
      <c r="Q40" s="741"/>
      <c r="R40" s="731"/>
      <c r="S40" s="733">
        <f t="shared" si="0"/>
        <v>0</v>
      </c>
      <c r="T40" s="707"/>
      <c r="U40" s="742"/>
      <c r="V40" s="742"/>
      <c r="W40" s="742"/>
      <c r="X40" s="742"/>
      <c r="Y40" s="720"/>
      <c r="Z40" s="720"/>
    </row>
    <row r="41" spans="1:26">
      <c r="A41" s="727" t="s">
        <v>438</v>
      </c>
      <c r="B41" s="727" t="s">
        <v>405</v>
      </c>
      <c r="C41" s="728">
        <v>32</v>
      </c>
      <c r="D41" s="729">
        <v>0</v>
      </c>
      <c r="E41" s="730" t="s">
        <v>439</v>
      </c>
      <c r="F41" s="731">
        <v>31796378.109999999</v>
      </c>
      <c r="G41" s="732">
        <v>33637701.130000003</v>
      </c>
      <c r="H41" s="733">
        <v>44807487.329999998</v>
      </c>
      <c r="I41" s="733">
        <v>52398976.439999998</v>
      </c>
      <c r="J41" s="734">
        <v>49576190.109999999</v>
      </c>
      <c r="K41" s="735">
        <v>48951604.280000001</v>
      </c>
      <c r="L41" s="736">
        <v>45625476.759999998</v>
      </c>
      <c r="M41" s="737">
        <v>37997660.950000003</v>
      </c>
      <c r="N41" s="738">
        <v>29727244.120000001</v>
      </c>
      <c r="O41" s="739">
        <v>20012518.899999999</v>
      </c>
      <c r="P41" s="740">
        <v>15883490.439999999</v>
      </c>
      <c r="Q41" s="741">
        <v>8440571.4900000002</v>
      </c>
      <c r="R41" s="731">
        <v>3539112.52</v>
      </c>
      <c r="S41" s="733">
        <f t="shared" si="0"/>
        <v>33727222.272083335</v>
      </c>
      <c r="T41" s="707"/>
      <c r="U41" s="742"/>
      <c r="V41" s="742"/>
      <c r="W41" s="742"/>
      <c r="X41" s="742"/>
      <c r="Y41" s="720"/>
      <c r="Z41" s="720"/>
    </row>
    <row r="42" spans="1:26">
      <c r="A42" s="727" t="s">
        <v>440</v>
      </c>
      <c r="B42" s="727" t="s">
        <v>441</v>
      </c>
      <c r="C42" s="728">
        <v>33</v>
      </c>
      <c r="D42" s="729" t="str">
        <f>A42&amp;"."&amp;B42</f>
        <v>1340.1*</v>
      </c>
      <c r="E42" s="730" t="s">
        <v>442</v>
      </c>
      <c r="F42" s="731">
        <v>0</v>
      </c>
      <c r="G42" s="732">
        <v>0</v>
      </c>
      <c r="H42" s="733">
        <v>0</v>
      </c>
      <c r="I42" s="733">
        <v>0</v>
      </c>
      <c r="J42" s="734">
        <v>0</v>
      </c>
      <c r="K42" s="735">
        <v>0</v>
      </c>
      <c r="L42" s="736">
        <v>0</v>
      </c>
      <c r="M42" s="737">
        <v>0</v>
      </c>
      <c r="N42" s="738">
        <v>0</v>
      </c>
      <c r="O42" s="739">
        <v>0</v>
      </c>
      <c r="P42" s="740">
        <v>0</v>
      </c>
      <c r="Q42" s="741">
        <v>0</v>
      </c>
      <c r="R42" s="731">
        <v>0</v>
      </c>
      <c r="S42" s="733">
        <f t="shared" si="0"/>
        <v>0</v>
      </c>
      <c r="T42" s="707"/>
      <c r="U42" s="742"/>
      <c r="V42" s="742"/>
      <c r="W42" s="742"/>
      <c r="X42" s="742"/>
      <c r="Y42" s="720"/>
      <c r="Z42" s="720"/>
    </row>
    <row r="43" spans="1:26">
      <c r="A43" s="727" t="s">
        <v>443</v>
      </c>
      <c r="B43" s="727" t="s">
        <v>405</v>
      </c>
      <c r="C43" s="728">
        <v>34</v>
      </c>
      <c r="D43" s="729" t="str">
        <f>+A43</f>
        <v>1350</v>
      </c>
      <c r="E43" s="730" t="s">
        <v>444</v>
      </c>
      <c r="F43" s="760">
        <v>2700</v>
      </c>
      <c r="G43" s="732">
        <v>2700</v>
      </c>
      <c r="H43" s="762">
        <v>2700</v>
      </c>
      <c r="I43" s="762">
        <v>2700</v>
      </c>
      <c r="J43" s="763">
        <v>2700</v>
      </c>
      <c r="K43" s="764">
        <v>2700</v>
      </c>
      <c r="L43" s="765">
        <v>2700</v>
      </c>
      <c r="M43" s="766">
        <v>2700</v>
      </c>
      <c r="N43" s="767">
        <v>2700</v>
      </c>
      <c r="O43" s="768">
        <v>2700</v>
      </c>
      <c r="P43" s="769">
        <v>2700</v>
      </c>
      <c r="Q43" s="741">
        <v>2700</v>
      </c>
      <c r="R43" s="760">
        <v>2750</v>
      </c>
      <c r="S43" s="733">
        <f t="shared" si="0"/>
        <v>2702.0833333333335</v>
      </c>
      <c r="T43" s="707"/>
      <c r="U43" s="742"/>
      <c r="V43" s="742"/>
      <c r="W43" s="742"/>
      <c r="X43" s="742"/>
      <c r="Y43" s="720"/>
      <c r="Z43" s="720"/>
    </row>
    <row r="44" spans="1:26">
      <c r="A44" s="727"/>
      <c r="B44" s="727"/>
      <c r="C44" s="728">
        <v>35</v>
      </c>
      <c r="D44" s="729"/>
      <c r="E44" s="785"/>
      <c r="F44" s="744"/>
      <c r="G44" s="745"/>
      <c r="H44" s="746"/>
      <c r="I44" s="746"/>
      <c r="J44" s="747"/>
      <c r="K44" s="748"/>
      <c r="L44" s="749"/>
      <c r="M44" s="750"/>
      <c r="N44" s="751"/>
      <c r="O44" s="752"/>
      <c r="P44" s="753"/>
      <c r="Q44" s="754"/>
      <c r="R44" s="744"/>
      <c r="S44" s="733">
        <f t="shared" si="0"/>
        <v>0</v>
      </c>
      <c r="T44" s="707"/>
      <c r="U44" s="742"/>
      <c r="V44" s="742"/>
      <c r="W44" s="742"/>
      <c r="X44" s="742"/>
      <c r="Y44" s="720"/>
      <c r="Z44" s="720"/>
    </row>
    <row r="45" spans="1:26">
      <c r="A45" s="727"/>
      <c r="B45" s="727"/>
      <c r="C45" s="728">
        <v>36</v>
      </c>
      <c r="D45" s="729"/>
      <c r="E45" s="785" t="s">
        <v>445</v>
      </c>
      <c r="F45" s="755">
        <f>SUM(F41:F43)</f>
        <v>31799078.109999999</v>
      </c>
      <c r="G45" s="755">
        <f t="shared" ref="G45:S45" si="7">SUM(G41:G43)</f>
        <v>33640401.130000003</v>
      </c>
      <c r="H45" s="755">
        <f t="shared" si="7"/>
        <v>44810187.329999998</v>
      </c>
      <c r="I45" s="755">
        <f t="shared" si="7"/>
        <v>52401676.439999998</v>
      </c>
      <c r="J45" s="755">
        <f t="shared" si="7"/>
        <v>49578890.109999999</v>
      </c>
      <c r="K45" s="755">
        <f t="shared" si="7"/>
        <v>48954304.280000001</v>
      </c>
      <c r="L45" s="755">
        <f t="shared" si="7"/>
        <v>45628176.759999998</v>
      </c>
      <c r="M45" s="755">
        <f t="shared" si="7"/>
        <v>38000360.950000003</v>
      </c>
      <c r="N45" s="755">
        <f t="shared" si="7"/>
        <v>29729944.120000001</v>
      </c>
      <c r="O45" s="755">
        <f t="shared" si="7"/>
        <v>20015218.899999999</v>
      </c>
      <c r="P45" s="755">
        <f t="shared" si="7"/>
        <v>15886190.439999999</v>
      </c>
      <c r="Q45" s="755">
        <f t="shared" si="7"/>
        <v>8443271.4900000002</v>
      </c>
      <c r="R45" s="755">
        <f t="shared" si="7"/>
        <v>3541862.52</v>
      </c>
      <c r="S45" s="755">
        <f t="shared" si="7"/>
        <v>33729924.35541667</v>
      </c>
      <c r="T45" s="707"/>
      <c r="U45" s="742"/>
      <c r="V45" s="742"/>
      <c r="W45" s="742"/>
      <c r="X45" s="743">
        <f>S45</f>
        <v>33729924.35541667</v>
      </c>
      <c r="Y45" s="720"/>
      <c r="Z45" s="720"/>
    </row>
    <row r="46" spans="1:26">
      <c r="A46" s="727"/>
      <c r="B46" s="727"/>
      <c r="C46" s="728">
        <v>37</v>
      </c>
      <c r="D46" s="729"/>
      <c r="E46" s="785"/>
      <c r="F46" s="731"/>
      <c r="G46" s="732"/>
      <c r="H46" s="733"/>
      <c r="I46" s="733"/>
      <c r="J46" s="734"/>
      <c r="K46" s="735"/>
      <c r="L46" s="736"/>
      <c r="M46" s="737"/>
      <c r="N46" s="738"/>
      <c r="O46" s="739"/>
      <c r="P46" s="740"/>
      <c r="Q46" s="741"/>
      <c r="R46" s="731"/>
      <c r="S46" s="733">
        <f t="shared" si="0"/>
        <v>0</v>
      </c>
      <c r="T46" s="707"/>
      <c r="U46" s="742"/>
      <c r="V46" s="742"/>
      <c r="W46" s="742"/>
      <c r="X46" s="742"/>
      <c r="Y46" s="720"/>
      <c r="Z46" s="720"/>
    </row>
    <row r="47" spans="1:26">
      <c r="A47" s="727" t="s">
        <v>446</v>
      </c>
      <c r="B47" s="727" t="s">
        <v>405</v>
      </c>
      <c r="C47" s="728">
        <v>38</v>
      </c>
      <c r="D47" s="729" t="str">
        <f>+A47</f>
        <v>1360</v>
      </c>
      <c r="E47" s="730" t="s">
        <v>447</v>
      </c>
      <c r="F47" s="731">
        <v>0</v>
      </c>
      <c r="G47" s="732">
        <v>0</v>
      </c>
      <c r="H47" s="733">
        <v>0</v>
      </c>
      <c r="I47" s="733">
        <v>0</v>
      </c>
      <c r="J47" s="734">
        <v>0</v>
      </c>
      <c r="K47" s="735">
        <v>0</v>
      </c>
      <c r="L47" s="736">
        <v>0</v>
      </c>
      <c r="M47" s="737">
        <v>0</v>
      </c>
      <c r="N47" s="738">
        <v>0</v>
      </c>
      <c r="O47" s="739">
        <v>0</v>
      </c>
      <c r="P47" s="740">
        <v>0</v>
      </c>
      <c r="Q47" s="741">
        <v>0</v>
      </c>
      <c r="R47" s="731">
        <v>0</v>
      </c>
      <c r="S47" s="733">
        <f t="shared" si="0"/>
        <v>0</v>
      </c>
      <c r="T47" s="707"/>
      <c r="U47" s="742"/>
      <c r="V47" s="742"/>
      <c r="W47" s="742"/>
      <c r="X47" s="742"/>
      <c r="Y47" s="720"/>
      <c r="Z47" s="720"/>
    </row>
    <row r="48" spans="1:26">
      <c r="A48" s="727"/>
      <c r="B48" s="727"/>
      <c r="C48" s="728">
        <v>39</v>
      </c>
      <c r="D48" s="729"/>
      <c r="E48" s="785"/>
      <c r="F48" s="744"/>
      <c r="G48" s="745"/>
      <c r="H48" s="746"/>
      <c r="I48" s="746"/>
      <c r="J48" s="747"/>
      <c r="K48" s="748"/>
      <c r="L48" s="749"/>
      <c r="M48" s="750"/>
      <c r="N48" s="751"/>
      <c r="O48" s="752"/>
      <c r="P48" s="753"/>
      <c r="Q48" s="754"/>
      <c r="R48" s="744"/>
      <c r="S48" s="733">
        <f t="shared" si="0"/>
        <v>0</v>
      </c>
      <c r="T48" s="707"/>
      <c r="U48" s="742"/>
      <c r="V48" s="742"/>
      <c r="W48" s="742"/>
      <c r="X48" s="742"/>
      <c r="Y48" s="720"/>
      <c r="Z48" s="720"/>
    </row>
    <row r="49" spans="1:26">
      <c r="A49" s="727"/>
      <c r="B49" s="727"/>
      <c r="C49" s="728">
        <v>40</v>
      </c>
      <c r="D49" s="729"/>
      <c r="E49" s="785" t="s">
        <v>448</v>
      </c>
      <c r="F49" s="755">
        <f>+F47</f>
        <v>0</v>
      </c>
      <c r="G49" s="755">
        <f t="shared" ref="G49:S49" si="8">+G47</f>
        <v>0</v>
      </c>
      <c r="H49" s="755">
        <f t="shared" si="8"/>
        <v>0</v>
      </c>
      <c r="I49" s="755">
        <f t="shared" si="8"/>
        <v>0</v>
      </c>
      <c r="J49" s="755">
        <f t="shared" si="8"/>
        <v>0</v>
      </c>
      <c r="K49" s="755">
        <f t="shared" si="8"/>
        <v>0</v>
      </c>
      <c r="L49" s="755">
        <f t="shared" si="8"/>
        <v>0</v>
      </c>
      <c r="M49" s="755">
        <f t="shared" si="8"/>
        <v>0</v>
      </c>
      <c r="N49" s="755">
        <f t="shared" si="8"/>
        <v>0</v>
      </c>
      <c r="O49" s="755">
        <f t="shared" si="8"/>
        <v>0</v>
      </c>
      <c r="P49" s="755">
        <f t="shared" si="8"/>
        <v>0</v>
      </c>
      <c r="Q49" s="755">
        <f t="shared" si="8"/>
        <v>0</v>
      </c>
      <c r="R49" s="755">
        <f t="shared" si="8"/>
        <v>0</v>
      </c>
      <c r="S49" s="755">
        <f t="shared" si="8"/>
        <v>0</v>
      </c>
      <c r="T49" s="707"/>
      <c r="U49" s="742"/>
      <c r="V49" s="742"/>
      <c r="W49" s="742"/>
      <c r="X49" s="742"/>
      <c r="Y49" s="720"/>
      <c r="Z49" s="720"/>
    </row>
    <row r="50" spans="1:26">
      <c r="A50" s="727"/>
      <c r="B50" s="727"/>
      <c r="C50" s="728">
        <v>41</v>
      </c>
      <c r="D50" s="729"/>
      <c r="E50" s="785"/>
      <c r="F50" s="731"/>
      <c r="G50" s="732"/>
      <c r="H50" s="733"/>
      <c r="I50" s="733"/>
      <c r="J50" s="734"/>
      <c r="K50" s="735"/>
      <c r="L50" s="736"/>
      <c r="M50" s="737"/>
      <c r="N50" s="738"/>
      <c r="O50" s="739"/>
      <c r="P50" s="740"/>
      <c r="Q50" s="741"/>
      <c r="R50" s="731"/>
      <c r="S50" s="733">
        <f t="shared" si="0"/>
        <v>0</v>
      </c>
      <c r="T50" s="707"/>
      <c r="U50" s="742"/>
      <c r="V50" s="742"/>
      <c r="W50" s="742"/>
      <c r="X50" s="742"/>
      <c r="Y50" s="720"/>
      <c r="Z50" s="720"/>
    </row>
    <row r="51" spans="1:26">
      <c r="A51" s="727" t="s">
        <v>449</v>
      </c>
      <c r="B51" s="727" t="s">
        <v>405</v>
      </c>
      <c r="C51" s="728">
        <v>42</v>
      </c>
      <c r="D51" s="729" t="str">
        <f>+A51</f>
        <v>1420</v>
      </c>
      <c r="E51" s="730" t="s">
        <v>450</v>
      </c>
      <c r="F51" s="731">
        <v>17163639.989999998</v>
      </c>
      <c r="G51" s="732">
        <v>26322767.609999999</v>
      </c>
      <c r="H51" s="733">
        <v>20047055.809999999</v>
      </c>
      <c r="I51" s="733">
        <v>18417152.960000001</v>
      </c>
      <c r="J51" s="734">
        <v>14049277.699999999</v>
      </c>
      <c r="K51" s="735">
        <v>10183208.6</v>
      </c>
      <c r="L51" s="736">
        <v>8622829.0099999998</v>
      </c>
      <c r="M51" s="737">
        <v>7531448.8600000003</v>
      </c>
      <c r="N51" s="738">
        <v>6298975.6600000001</v>
      </c>
      <c r="O51" s="739">
        <v>6778198.8799999999</v>
      </c>
      <c r="P51" s="740">
        <v>7689242.75</v>
      </c>
      <c r="Q51" s="741">
        <v>8533149.9199999999</v>
      </c>
      <c r="R51" s="731">
        <v>18361542.969999999</v>
      </c>
      <c r="S51" s="733">
        <f t="shared" si="0"/>
        <v>12686324.936666666</v>
      </c>
      <c r="T51" s="707"/>
      <c r="U51" s="742"/>
      <c r="V51" s="742"/>
      <c r="W51" s="742"/>
      <c r="X51" s="742"/>
      <c r="Y51" s="720"/>
      <c r="Z51" s="720"/>
    </row>
    <row r="52" spans="1:26">
      <c r="A52" s="727" t="s">
        <v>451</v>
      </c>
      <c r="B52" s="727" t="s">
        <v>405</v>
      </c>
      <c r="C52" s="728">
        <v>43</v>
      </c>
      <c r="D52" s="729" t="str">
        <f>+A52</f>
        <v>1432</v>
      </c>
      <c r="E52" s="730" t="s">
        <v>452</v>
      </c>
      <c r="F52" s="731">
        <v>1964217.09</v>
      </c>
      <c r="G52" s="732">
        <v>1879399.49</v>
      </c>
      <c r="H52" s="733">
        <v>2171369.25</v>
      </c>
      <c r="I52" s="733">
        <v>3186245.43</v>
      </c>
      <c r="J52" s="734">
        <v>3513224.13</v>
      </c>
      <c r="K52" s="735">
        <v>3880038.02</v>
      </c>
      <c r="L52" s="736">
        <v>2019869.43</v>
      </c>
      <c r="M52" s="737">
        <v>1652166.99</v>
      </c>
      <c r="N52" s="738">
        <v>1606524.04</v>
      </c>
      <c r="O52" s="739">
        <v>1559833.95</v>
      </c>
      <c r="P52" s="740">
        <v>1578182.34</v>
      </c>
      <c r="Q52" s="741">
        <v>1540722.05</v>
      </c>
      <c r="R52" s="731">
        <v>1813282.23</v>
      </c>
      <c r="S52" s="733">
        <f t="shared" si="0"/>
        <v>2206360.398333333</v>
      </c>
      <c r="T52" s="707"/>
      <c r="U52" s="742"/>
      <c r="V52" s="742"/>
      <c r="W52" s="742"/>
      <c r="X52" s="742"/>
      <c r="Y52" s="720"/>
      <c r="Z52" s="720"/>
    </row>
    <row r="53" spans="1:26">
      <c r="A53" s="727" t="s">
        <v>453</v>
      </c>
      <c r="B53" s="727" t="s">
        <v>405</v>
      </c>
      <c r="C53" s="728">
        <v>44</v>
      </c>
      <c r="D53" s="729" t="str">
        <f>+A53</f>
        <v>1710</v>
      </c>
      <c r="E53" s="730" t="s">
        <v>454</v>
      </c>
      <c r="F53" s="771">
        <v>0</v>
      </c>
      <c r="G53" s="772">
        <v>0</v>
      </c>
      <c r="H53" s="773">
        <v>0</v>
      </c>
      <c r="I53" s="773">
        <v>0</v>
      </c>
      <c r="J53" s="774">
        <v>0</v>
      </c>
      <c r="K53" s="775">
        <v>0</v>
      </c>
      <c r="L53" s="776">
        <v>0</v>
      </c>
      <c r="M53" s="777">
        <v>0</v>
      </c>
      <c r="N53" s="778">
        <v>0</v>
      </c>
      <c r="O53" s="779">
        <v>0</v>
      </c>
      <c r="P53" s="780">
        <v>0</v>
      </c>
      <c r="Q53" s="781">
        <v>0</v>
      </c>
      <c r="R53" s="771">
        <v>0</v>
      </c>
      <c r="S53" s="733">
        <f t="shared" si="0"/>
        <v>0</v>
      </c>
      <c r="T53" s="707"/>
      <c r="U53" s="742"/>
      <c r="V53" s="742"/>
      <c r="W53" s="742"/>
      <c r="X53" s="742"/>
      <c r="Y53" s="720"/>
      <c r="Z53" s="720"/>
    </row>
    <row r="54" spans="1:26">
      <c r="A54" s="727"/>
      <c r="B54" s="727"/>
      <c r="C54" s="728">
        <v>45</v>
      </c>
      <c r="D54" s="729"/>
      <c r="E54" s="785" t="s">
        <v>455</v>
      </c>
      <c r="F54" s="731">
        <f>SUM(F51:F53)</f>
        <v>19127857.079999998</v>
      </c>
      <c r="G54" s="731">
        <f t="shared" ref="G54:S54" si="9">SUM(G51:G53)</f>
        <v>28202167.099999998</v>
      </c>
      <c r="H54" s="731">
        <f t="shared" si="9"/>
        <v>22218425.059999999</v>
      </c>
      <c r="I54" s="731">
        <f t="shared" si="9"/>
        <v>21603398.390000001</v>
      </c>
      <c r="J54" s="731">
        <f t="shared" si="9"/>
        <v>17562501.829999998</v>
      </c>
      <c r="K54" s="731">
        <f t="shared" si="9"/>
        <v>14063246.619999999</v>
      </c>
      <c r="L54" s="731">
        <f t="shared" si="9"/>
        <v>10642698.439999999</v>
      </c>
      <c r="M54" s="731">
        <f t="shared" si="9"/>
        <v>9183615.8499999996</v>
      </c>
      <c r="N54" s="731">
        <f t="shared" si="9"/>
        <v>7905499.7000000002</v>
      </c>
      <c r="O54" s="731">
        <f t="shared" si="9"/>
        <v>8338032.8300000001</v>
      </c>
      <c r="P54" s="731">
        <f t="shared" si="9"/>
        <v>9267425.0899999999</v>
      </c>
      <c r="Q54" s="731">
        <f t="shared" si="9"/>
        <v>10073871.970000001</v>
      </c>
      <c r="R54" s="731">
        <f t="shared" si="9"/>
        <v>20174825.199999999</v>
      </c>
      <c r="S54" s="731">
        <f t="shared" si="9"/>
        <v>14892685.334999999</v>
      </c>
      <c r="T54" s="707"/>
      <c r="U54" s="742"/>
      <c r="V54" s="742"/>
      <c r="W54" s="742"/>
      <c r="X54" s="743">
        <f>S54</f>
        <v>14892685.334999999</v>
      </c>
      <c r="Y54" s="720"/>
      <c r="Z54" s="720"/>
    </row>
    <row r="55" spans="1:26">
      <c r="A55" s="727"/>
      <c r="B55" s="727"/>
      <c r="C55" s="728">
        <v>46</v>
      </c>
      <c r="D55" s="729"/>
      <c r="E55" s="785" t="s">
        <v>105</v>
      </c>
      <c r="F55" s="731"/>
      <c r="G55" s="732"/>
      <c r="H55" s="733"/>
      <c r="I55" s="733"/>
      <c r="J55" s="734"/>
      <c r="K55" s="735"/>
      <c r="L55" s="736"/>
      <c r="M55" s="737"/>
      <c r="N55" s="738"/>
      <c r="O55" s="739"/>
      <c r="P55" s="740"/>
      <c r="Q55" s="741"/>
      <c r="R55" s="731"/>
      <c r="S55" s="733">
        <f t="shared" si="0"/>
        <v>0</v>
      </c>
      <c r="T55" s="707"/>
      <c r="U55" s="742"/>
      <c r="V55" s="742"/>
      <c r="W55" s="742"/>
      <c r="X55" s="742"/>
      <c r="Y55" s="720"/>
      <c r="Z55" s="720"/>
    </row>
    <row r="56" spans="1:26">
      <c r="A56" s="727" t="s">
        <v>456</v>
      </c>
      <c r="B56" s="727" t="s">
        <v>441</v>
      </c>
      <c r="C56" s="728">
        <v>47</v>
      </c>
      <c r="D56" s="729" t="str">
        <f>A56&amp;"."&amp;B56</f>
        <v>1410.1*</v>
      </c>
      <c r="E56" s="785" t="s">
        <v>457</v>
      </c>
      <c r="F56" s="731">
        <v>0</v>
      </c>
      <c r="G56" s="732">
        <v>0</v>
      </c>
      <c r="H56" s="733">
        <v>0</v>
      </c>
      <c r="I56" s="733">
        <v>0</v>
      </c>
      <c r="J56" s="734">
        <v>0</v>
      </c>
      <c r="K56" s="735">
        <v>0</v>
      </c>
      <c r="L56" s="736">
        <v>0</v>
      </c>
      <c r="M56" s="737">
        <v>0</v>
      </c>
      <c r="N56" s="738">
        <v>0</v>
      </c>
      <c r="O56" s="739">
        <v>0</v>
      </c>
      <c r="P56" s="740">
        <v>0</v>
      </c>
      <c r="Q56" s="741">
        <v>0</v>
      </c>
      <c r="R56" s="731">
        <v>0</v>
      </c>
      <c r="S56" s="733">
        <f t="shared" si="0"/>
        <v>0</v>
      </c>
      <c r="T56" s="707"/>
      <c r="U56" s="742"/>
      <c r="V56" s="742"/>
      <c r="W56" s="742"/>
      <c r="X56" s="743">
        <f>S56</f>
        <v>0</v>
      </c>
      <c r="Y56" s="720"/>
      <c r="Z56" s="720"/>
    </row>
    <row r="57" spans="1:26">
      <c r="A57" s="727" t="s">
        <v>456</v>
      </c>
      <c r="B57" s="727" t="s">
        <v>458</v>
      </c>
      <c r="C57" s="728">
        <v>48</v>
      </c>
      <c r="D57" s="729" t="str">
        <f>A57&amp;"."&amp;B57</f>
        <v>1410.2*</v>
      </c>
      <c r="E57" s="785" t="s">
        <v>459</v>
      </c>
      <c r="F57" s="731">
        <v>0</v>
      </c>
      <c r="G57" s="732">
        <v>0</v>
      </c>
      <c r="H57" s="733">
        <v>0</v>
      </c>
      <c r="I57" s="733">
        <v>0</v>
      </c>
      <c r="J57" s="734">
        <v>0</v>
      </c>
      <c r="K57" s="735">
        <v>0</v>
      </c>
      <c r="L57" s="736">
        <v>0</v>
      </c>
      <c r="M57" s="737">
        <v>0</v>
      </c>
      <c r="N57" s="738">
        <v>0</v>
      </c>
      <c r="O57" s="739">
        <v>0</v>
      </c>
      <c r="P57" s="740">
        <v>0</v>
      </c>
      <c r="Q57" s="741">
        <v>0</v>
      </c>
      <c r="R57" s="731">
        <v>0</v>
      </c>
      <c r="S57" s="733">
        <f t="shared" si="0"/>
        <v>0</v>
      </c>
      <c r="T57" s="707"/>
      <c r="U57" s="742"/>
      <c r="V57" s="742"/>
      <c r="W57" s="742"/>
      <c r="X57" s="710"/>
      <c r="Y57" s="720"/>
      <c r="Z57" s="720"/>
    </row>
    <row r="58" spans="1:26">
      <c r="A58" s="727"/>
      <c r="B58" s="727"/>
      <c r="C58" s="728">
        <v>49</v>
      </c>
      <c r="D58" s="729"/>
      <c r="E58" s="785"/>
      <c r="F58" s="731"/>
      <c r="G58" s="732"/>
      <c r="H58" s="733"/>
      <c r="I58" s="733"/>
      <c r="J58" s="734"/>
      <c r="K58" s="735"/>
      <c r="L58" s="736"/>
      <c r="M58" s="737"/>
      <c r="N58" s="738"/>
      <c r="O58" s="739"/>
      <c r="P58" s="740"/>
      <c r="Q58" s="741"/>
      <c r="R58" s="731"/>
      <c r="S58" s="733">
        <f t="shared" si="0"/>
        <v>0</v>
      </c>
      <c r="T58" s="707"/>
      <c r="U58" s="742"/>
      <c r="V58" s="742"/>
      <c r="W58" s="742"/>
      <c r="X58" s="710"/>
      <c r="Y58" s="720"/>
      <c r="Z58" s="720"/>
    </row>
    <row r="59" spans="1:26">
      <c r="A59" s="727" t="s">
        <v>460</v>
      </c>
      <c r="B59" s="727" t="s">
        <v>461</v>
      </c>
      <c r="C59" s="728">
        <v>50</v>
      </c>
      <c r="D59" s="729" t="str">
        <f t="shared" ref="D59:D68" si="10">A59&amp;"."&amp;B59</f>
        <v>1460.000*</v>
      </c>
      <c r="E59" s="785" t="s">
        <v>462</v>
      </c>
      <c r="F59" s="731">
        <v>0</v>
      </c>
      <c r="G59" s="732">
        <v>0</v>
      </c>
      <c r="H59" s="733">
        <v>0</v>
      </c>
      <c r="I59" s="733">
        <v>0</v>
      </c>
      <c r="J59" s="734">
        <v>0</v>
      </c>
      <c r="K59" s="735">
        <v>0</v>
      </c>
      <c r="L59" s="736">
        <v>0</v>
      </c>
      <c r="M59" s="737">
        <v>0</v>
      </c>
      <c r="N59" s="738">
        <v>0</v>
      </c>
      <c r="O59" s="739">
        <v>0</v>
      </c>
      <c r="P59" s="740">
        <v>0</v>
      </c>
      <c r="Q59" s="741">
        <v>0</v>
      </c>
      <c r="R59" s="731">
        <v>0</v>
      </c>
      <c r="S59" s="733">
        <f t="shared" si="0"/>
        <v>0</v>
      </c>
      <c r="T59" s="707"/>
      <c r="U59" s="742"/>
      <c r="V59" s="742"/>
      <c r="W59" s="742"/>
      <c r="X59" s="710"/>
      <c r="Y59" s="720"/>
      <c r="Z59" s="720"/>
    </row>
    <row r="60" spans="1:26">
      <c r="A60" s="727" t="s">
        <v>460</v>
      </c>
      <c r="B60" s="727" t="s">
        <v>463</v>
      </c>
      <c r="C60" s="728">
        <v>51</v>
      </c>
      <c r="D60" s="729" t="str">
        <f t="shared" si="10"/>
        <v>1460.001*</v>
      </c>
      <c r="E60" s="785" t="s">
        <v>462</v>
      </c>
      <c r="F60" s="731">
        <v>48558.859999999899</v>
      </c>
      <c r="G60" s="732">
        <v>26116.28</v>
      </c>
      <c r="H60" s="733">
        <v>12988.44</v>
      </c>
      <c r="I60" s="733">
        <v>26792.01</v>
      </c>
      <c r="J60" s="734">
        <v>10961.37</v>
      </c>
      <c r="K60" s="735">
        <v>10764.13</v>
      </c>
      <c r="L60" s="736">
        <v>16249.32</v>
      </c>
      <c r="M60" s="737">
        <v>9995.92</v>
      </c>
      <c r="N60" s="738">
        <v>11586.68</v>
      </c>
      <c r="O60" s="739">
        <v>15190.69</v>
      </c>
      <c r="P60" s="740">
        <v>14691.3</v>
      </c>
      <c r="Q60" s="741">
        <v>25150.6</v>
      </c>
      <c r="R60" s="731">
        <v>10479.629999999999</v>
      </c>
      <c r="S60" s="733">
        <f t="shared" si="0"/>
        <v>17500.498749999995</v>
      </c>
      <c r="T60" s="707"/>
      <c r="U60" s="742"/>
      <c r="V60" s="742"/>
      <c r="W60" s="742"/>
      <c r="X60" s="710"/>
      <c r="Y60" s="720"/>
      <c r="Z60" s="720"/>
    </row>
    <row r="61" spans="1:26">
      <c r="A61" s="727" t="s">
        <v>460</v>
      </c>
      <c r="B61" s="727" t="s">
        <v>464</v>
      </c>
      <c r="C61" s="728">
        <v>52</v>
      </c>
      <c r="D61" s="729" t="str">
        <f t="shared" si="10"/>
        <v>1460.041*</v>
      </c>
      <c r="E61" s="785" t="s">
        <v>465</v>
      </c>
      <c r="F61" s="731">
        <v>0</v>
      </c>
      <c r="G61" s="732">
        <v>0</v>
      </c>
      <c r="H61" s="733">
        <v>0</v>
      </c>
      <c r="I61" s="733">
        <v>0</v>
      </c>
      <c r="J61" s="734">
        <v>0</v>
      </c>
      <c r="K61" s="735">
        <v>0</v>
      </c>
      <c r="L61" s="736">
        <v>0</v>
      </c>
      <c r="M61" s="737">
        <v>0</v>
      </c>
      <c r="N61" s="738">
        <v>0</v>
      </c>
      <c r="O61" s="808">
        <v>0</v>
      </c>
      <c r="P61" s="740">
        <v>0</v>
      </c>
      <c r="Q61" s="741">
        <v>0</v>
      </c>
      <c r="R61" s="731">
        <v>0</v>
      </c>
      <c r="S61" s="733">
        <f t="shared" si="0"/>
        <v>0</v>
      </c>
      <c r="T61" s="707"/>
      <c r="U61" s="742"/>
      <c r="V61" s="742"/>
      <c r="W61" s="742"/>
      <c r="X61" s="710"/>
      <c r="Y61" s="720"/>
      <c r="Z61" s="720"/>
    </row>
    <row r="62" spans="1:26">
      <c r="A62" s="727" t="s">
        <v>460</v>
      </c>
      <c r="B62" s="727" t="s">
        <v>466</v>
      </c>
      <c r="C62" s="728">
        <v>53</v>
      </c>
      <c r="D62" s="729" t="str">
        <f t="shared" si="10"/>
        <v>1460.067*</v>
      </c>
      <c r="E62" s="785" t="s">
        <v>467</v>
      </c>
      <c r="F62" s="731">
        <v>0</v>
      </c>
      <c r="G62" s="732">
        <v>0</v>
      </c>
      <c r="H62" s="733">
        <v>0</v>
      </c>
      <c r="I62" s="733">
        <v>0</v>
      </c>
      <c r="J62" s="734">
        <v>0</v>
      </c>
      <c r="K62" s="735">
        <v>0</v>
      </c>
      <c r="L62" s="736">
        <v>0</v>
      </c>
      <c r="M62" s="737">
        <v>0</v>
      </c>
      <c r="N62" s="738">
        <v>0</v>
      </c>
      <c r="O62" s="738">
        <v>600</v>
      </c>
      <c r="P62" s="738">
        <v>600</v>
      </c>
      <c r="Q62" s="738">
        <v>600</v>
      </c>
      <c r="R62" s="731">
        <v>0</v>
      </c>
      <c r="S62" s="733">
        <f t="shared" si="0"/>
        <v>150</v>
      </c>
      <c r="T62" s="707"/>
      <c r="U62" s="742"/>
      <c r="V62" s="742"/>
      <c r="W62" s="742"/>
      <c r="X62" s="710"/>
      <c r="Y62" s="720"/>
      <c r="Z62" s="720"/>
    </row>
    <row r="63" spans="1:26">
      <c r="A63" s="727" t="s">
        <v>460</v>
      </c>
      <c r="B63" s="727" t="s">
        <v>468</v>
      </c>
      <c r="C63" s="728">
        <v>54</v>
      </c>
      <c r="D63" s="729" t="str">
        <f t="shared" si="10"/>
        <v>1460.044*</v>
      </c>
      <c r="E63" s="785" t="s">
        <v>469</v>
      </c>
      <c r="F63" s="731">
        <v>0</v>
      </c>
      <c r="G63" s="732">
        <v>0</v>
      </c>
      <c r="H63" s="733">
        <v>0</v>
      </c>
      <c r="I63" s="733">
        <v>0</v>
      </c>
      <c r="J63" s="734">
        <v>0</v>
      </c>
      <c r="K63" s="735">
        <v>0</v>
      </c>
      <c r="L63" s="736">
        <v>0</v>
      </c>
      <c r="M63" s="737">
        <v>0</v>
      </c>
      <c r="N63" s="738">
        <v>0</v>
      </c>
      <c r="O63" s="808">
        <v>0</v>
      </c>
      <c r="P63" s="740">
        <v>0</v>
      </c>
      <c r="Q63" s="741">
        <v>0</v>
      </c>
      <c r="R63" s="731">
        <v>0</v>
      </c>
      <c r="S63" s="733">
        <f t="shared" si="0"/>
        <v>0</v>
      </c>
      <c r="T63" s="707"/>
      <c r="U63" s="742"/>
      <c r="V63" s="742"/>
      <c r="W63" s="742"/>
      <c r="X63" s="710"/>
      <c r="Y63" s="720"/>
      <c r="Z63" s="720"/>
    </row>
    <row r="64" spans="1:26">
      <c r="A64" s="727" t="s">
        <v>460</v>
      </c>
      <c r="B64" s="727" t="s">
        <v>470</v>
      </c>
      <c r="C64" s="728">
        <v>55</v>
      </c>
      <c r="D64" s="729" t="str">
        <f t="shared" si="10"/>
        <v>1460.046*</v>
      </c>
      <c r="E64" s="785" t="s">
        <v>471</v>
      </c>
      <c r="F64" s="731">
        <v>0</v>
      </c>
      <c r="G64" s="732">
        <v>0</v>
      </c>
      <c r="H64" s="733">
        <v>0</v>
      </c>
      <c r="I64" s="733">
        <v>0</v>
      </c>
      <c r="J64" s="734">
        <v>0</v>
      </c>
      <c r="K64" s="735">
        <v>0</v>
      </c>
      <c r="L64" s="736">
        <v>0</v>
      </c>
      <c r="M64" s="737">
        <v>0</v>
      </c>
      <c r="N64" s="738">
        <v>0</v>
      </c>
      <c r="O64" s="808">
        <v>0</v>
      </c>
      <c r="P64" s="740">
        <v>0</v>
      </c>
      <c r="Q64" s="741">
        <v>0</v>
      </c>
      <c r="R64" s="731">
        <v>0</v>
      </c>
      <c r="S64" s="733">
        <f t="shared" si="0"/>
        <v>0</v>
      </c>
      <c r="T64" s="707"/>
      <c r="U64" s="742"/>
      <c r="V64" s="742"/>
      <c r="W64" s="742"/>
      <c r="X64" s="710"/>
      <c r="Y64" s="720"/>
      <c r="Z64" s="720"/>
    </row>
    <row r="65" spans="1:26">
      <c r="A65" s="703" t="s">
        <v>460</v>
      </c>
      <c r="B65" s="703" t="s">
        <v>472</v>
      </c>
      <c r="C65" s="728">
        <v>56</v>
      </c>
      <c r="D65" s="705" t="str">
        <f t="shared" si="10"/>
        <v>1460.047*</v>
      </c>
      <c r="E65" s="785" t="s">
        <v>473</v>
      </c>
      <c r="F65" s="731">
        <v>0</v>
      </c>
      <c r="G65" s="732">
        <v>0</v>
      </c>
      <c r="H65" s="733">
        <v>0</v>
      </c>
      <c r="I65" s="733">
        <v>0</v>
      </c>
      <c r="J65" s="734">
        <v>0</v>
      </c>
      <c r="K65" s="735">
        <v>0</v>
      </c>
      <c r="L65" s="736">
        <v>0</v>
      </c>
      <c r="M65" s="737">
        <v>0</v>
      </c>
      <c r="N65" s="738">
        <v>0</v>
      </c>
      <c r="O65" s="808">
        <v>0</v>
      </c>
      <c r="P65" s="740">
        <v>0</v>
      </c>
      <c r="Q65" s="741">
        <v>0</v>
      </c>
      <c r="R65" s="731">
        <v>0</v>
      </c>
      <c r="S65" s="733">
        <f t="shared" si="0"/>
        <v>0</v>
      </c>
      <c r="T65" s="707"/>
      <c r="U65" s="742"/>
      <c r="V65" s="742"/>
      <c r="W65" s="742"/>
      <c r="X65" s="710"/>
      <c r="Y65" s="720"/>
      <c r="Z65" s="720"/>
    </row>
    <row r="66" spans="1:26">
      <c r="A66" s="727" t="s">
        <v>460</v>
      </c>
      <c r="B66" s="727" t="s">
        <v>474</v>
      </c>
      <c r="C66" s="728">
        <v>57</v>
      </c>
      <c r="D66" s="729" t="str">
        <f t="shared" si="10"/>
        <v>1460.048*</v>
      </c>
      <c r="E66" s="785" t="s">
        <v>475</v>
      </c>
      <c r="F66" s="731">
        <v>69846.27</v>
      </c>
      <c r="G66" s="732">
        <v>58503.92</v>
      </c>
      <c r="H66" s="733">
        <v>34092.58</v>
      </c>
      <c r="I66" s="733">
        <v>47951.48</v>
      </c>
      <c r="J66" s="734">
        <v>31934.7</v>
      </c>
      <c r="K66" s="735">
        <v>39550.07</v>
      </c>
      <c r="L66" s="736">
        <v>35566.370000000003</v>
      </c>
      <c r="M66" s="737">
        <v>64992.26</v>
      </c>
      <c r="N66" s="738">
        <v>38492.42</v>
      </c>
      <c r="O66" s="808">
        <v>34139.53</v>
      </c>
      <c r="P66" s="740">
        <v>64402.559999999998</v>
      </c>
      <c r="Q66" s="741">
        <v>39382.44</v>
      </c>
      <c r="R66" s="731">
        <v>34047.85</v>
      </c>
      <c r="S66" s="733">
        <f t="shared" si="0"/>
        <v>45079.615833333322</v>
      </c>
      <c r="T66" s="707"/>
      <c r="U66" s="742"/>
      <c r="V66" s="742"/>
      <c r="W66" s="742"/>
      <c r="X66" s="710"/>
      <c r="Y66" s="720"/>
      <c r="Z66" s="720"/>
    </row>
    <row r="67" spans="1:26">
      <c r="A67" s="703" t="s">
        <v>460</v>
      </c>
      <c r="B67" s="703" t="s">
        <v>476</v>
      </c>
      <c r="C67" s="728">
        <v>58</v>
      </c>
      <c r="D67" s="705" t="str">
        <f t="shared" si="10"/>
        <v>1460.060*</v>
      </c>
      <c r="E67" s="785" t="s">
        <v>477</v>
      </c>
      <c r="F67" s="731">
        <v>0</v>
      </c>
      <c r="G67" s="732">
        <v>0</v>
      </c>
      <c r="H67" s="733">
        <v>0</v>
      </c>
      <c r="I67" s="733">
        <v>0</v>
      </c>
      <c r="J67" s="734">
        <v>0</v>
      </c>
      <c r="K67" s="735">
        <v>0</v>
      </c>
      <c r="L67" s="736">
        <v>0</v>
      </c>
      <c r="M67" s="737">
        <v>0</v>
      </c>
      <c r="N67" s="738">
        <v>0</v>
      </c>
      <c r="O67" s="808">
        <v>0</v>
      </c>
      <c r="P67" s="740">
        <v>0</v>
      </c>
      <c r="Q67" s="741">
        <v>0</v>
      </c>
      <c r="R67" s="731">
        <v>0</v>
      </c>
      <c r="S67" s="733">
        <f t="shared" si="0"/>
        <v>0</v>
      </c>
      <c r="T67" s="707"/>
      <c r="U67" s="742"/>
      <c r="V67" s="742"/>
      <c r="W67" s="742"/>
      <c r="X67" s="710"/>
      <c r="Y67" s="720"/>
      <c r="Z67" s="720"/>
    </row>
    <row r="68" spans="1:26">
      <c r="A68" s="703" t="s">
        <v>460</v>
      </c>
      <c r="B68" s="703" t="s">
        <v>478</v>
      </c>
      <c r="C68" s="728">
        <v>59</v>
      </c>
      <c r="D68" s="705" t="str">
        <f t="shared" si="10"/>
        <v>1460.062*</v>
      </c>
      <c r="E68" s="785" t="s">
        <v>479</v>
      </c>
      <c r="F68" s="731">
        <v>0</v>
      </c>
      <c r="G68" s="732">
        <v>0</v>
      </c>
      <c r="H68" s="733">
        <v>0</v>
      </c>
      <c r="I68" s="733">
        <v>0</v>
      </c>
      <c r="J68" s="734">
        <v>0</v>
      </c>
      <c r="K68" s="735">
        <v>0</v>
      </c>
      <c r="L68" s="736">
        <v>0</v>
      </c>
      <c r="M68" s="737">
        <v>0</v>
      </c>
      <c r="N68" s="738">
        <v>0</v>
      </c>
      <c r="O68" s="808">
        <v>0</v>
      </c>
      <c r="P68" s="740">
        <v>0</v>
      </c>
      <c r="Q68" s="741">
        <v>15532.52</v>
      </c>
      <c r="R68" s="731">
        <v>15532.52</v>
      </c>
      <c r="S68" s="733">
        <f t="shared" si="0"/>
        <v>1941.5649999999998</v>
      </c>
      <c r="T68" s="707"/>
      <c r="U68" s="742"/>
      <c r="V68" s="742"/>
      <c r="W68" s="742"/>
      <c r="X68" s="710"/>
      <c r="Y68" s="720"/>
      <c r="Z68" s="720"/>
    </row>
    <row r="69" spans="1:26">
      <c r="A69" s="727"/>
      <c r="B69" s="809"/>
      <c r="C69" s="728">
        <v>60</v>
      </c>
      <c r="D69" s="729"/>
      <c r="E69" s="785" t="s">
        <v>480</v>
      </c>
      <c r="F69" s="755">
        <f>SUM(F56:F68)</f>
        <v>118405.1299999999</v>
      </c>
      <c r="G69" s="755">
        <f t="shared" ref="G69:S69" si="11">SUM(G56:G68)</f>
        <v>84620.2</v>
      </c>
      <c r="H69" s="755">
        <f t="shared" si="11"/>
        <v>47081.020000000004</v>
      </c>
      <c r="I69" s="755">
        <f t="shared" si="11"/>
        <v>74743.490000000005</v>
      </c>
      <c r="J69" s="755">
        <f t="shared" si="11"/>
        <v>42896.07</v>
      </c>
      <c r="K69" s="755">
        <f t="shared" si="11"/>
        <v>50314.2</v>
      </c>
      <c r="L69" s="755">
        <f t="shared" si="11"/>
        <v>51815.69</v>
      </c>
      <c r="M69" s="755">
        <f t="shared" si="11"/>
        <v>74988.180000000008</v>
      </c>
      <c r="N69" s="755">
        <f t="shared" si="11"/>
        <v>50079.1</v>
      </c>
      <c r="O69" s="755">
        <f t="shared" si="11"/>
        <v>49930.22</v>
      </c>
      <c r="P69" s="755">
        <f t="shared" si="11"/>
        <v>79693.86</v>
      </c>
      <c r="Q69" s="755">
        <f t="shared" si="11"/>
        <v>80665.56</v>
      </c>
      <c r="R69" s="755">
        <f t="shared" si="11"/>
        <v>60060</v>
      </c>
      <c r="S69" s="755">
        <f t="shared" si="11"/>
        <v>64671.679583333316</v>
      </c>
      <c r="T69" s="707"/>
      <c r="U69" s="742"/>
      <c r="V69" s="742"/>
      <c r="W69" s="743">
        <f>S69</f>
        <v>64671.679583333316</v>
      </c>
      <c r="X69" s="710"/>
      <c r="Y69" s="720"/>
      <c r="Z69" s="720"/>
    </row>
    <row r="70" spans="1:26">
      <c r="A70" s="727"/>
      <c r="B70" s="809"/>
      <c r="C70" s="728">
        <v>61</v>
      </c>
      <c r="D70" s="729"/>
      <c r="E70" s="785"/>
      <c r="F70" s="731"/>
      <c r="G70" s="732"/>
      <c r="H70" s="733"/>
      <c r="I70" s="733"/>
      <c r="J70" s="734"/>
      <c r="K70" s="735"/>
      <c r="L70" s="736"/>
      <c r="M70" s="737"/>
      <c r="N70" s="738"/>
      <c r="O70" s="768"/>
      <c r="P70" s="740"/>
      <c r="Q70" s="741"/>
      <c r="R70" s="731"/>
      <c r="S70" s="733">
        <f t="shared" si="0"/>
        <v>0</v>
      </c>
      <c r="T70" s="707"/>
      <c r="U70" s="742"/>
      <c r="V70" s="742"/>
      <c r="W70" s="742"/>
      <c r="X70" s="710"/>
      <c r="Y70" s="720"/>
      <c r="Z70" s="720"/>
    </row>
    <row r="71" spans="1:26">
      <c r="A71" s="727" t="s">
        <v>481</v>
      </c>
      <c r="B71" s="809" t="s">
        <v>405</v>
      </c>
      <c r="C71" s="728">
        <v>62</v>
      </c>
      <c r="D71" s="729">
        <v>1466</v>
      </c>
      <c r="E71" s="785" t="s">
        <v>482</v>
      </c>
      <c r="F71" s="731">
        <v>0</v>
      </c>
      <c r="G71" s="732">
        <v>0</v>
      </c>
      <c r="H71" s="733">
        <v>0</v>
      </c>
      <c r="I71" s="733">
        <v>0</v>
      </c>
      <c r="J71" s="734">
        <v>0</v>
      </c>
      <c r="K71" s="735">
        <v>0</v>
      </c>
      <c r="L71" s="736">
        <v>0</v>
      </c>
      <c r="M71" s="737">
        <v>0</v>
      </c>
      <c r="N71" s="738">
        <v>0</v>
      </c>
      <c r="O71" s="808">
        <v>0</v>
      </c>
      <c r="P71" s="740">
        <v>0</v>
      </c>
      <c r="Q71" s="741">
        <v>0</v>
      </c>
      <c r="R71" s="731">
        <v>0</v>
      </c>
      <c r="S71" s="733">
        <f t="shared" si="0"/>
        <v>0</v>
      </c>
      <c r="T71" s="707"/>
      <c r="U71" s="742"/>
      <c r="V71" s="742"/>
      <c r="W71" s="743">
        <f>S71</f>
        <v>0</v>
      </c>
      <c r="X71" s="710"/>
      <c r="Y71" s="720"/>
      <c r="Z71" s="720"/>
    </row>
    <row r="72" spans="1:26">
      <c r="A72" s="727"/>
      <c r="B72" s="727"/>
      <c r="C72" s="728">
        <v>63</v>
      </c>
      <c r="D72" s="729"/>
      <c r="E72" s="785"/>
      <c r="F72" s="731"/>
      <c r="G72" s="732"/>
      <c r="H72" s="733"/>
      <c r="I72" s="733"/>
      <c r="J72" s="734"/>
      <c r="K72" s="735"/>
      <c r="L72" s="736"/>
      <c r="M72" s="737"/>
      <c r="N72" s="738"/>
      <c r="O72" s="739"/>
      <c r="P72" s="740"/>
      <c r="Q72" s="741"/>
      <c r="R72" s="731"/>
      <c r="S72" s="733">
        <f t="shared" si="0"/>
        <v>0</v>
      </c>
      <c r="T72" s="707"/>
      <c r="U72" s="742"/>
      <c r="V72" s="742"/>
      <c r="W72" s="742"/>
      <c r="X72" s="710"/>
      <c r="Y72" s="720"/>
      <c r="Z72" s="720"/>
    </row>
    <row r="73" spans="1:26">
      <c r="A73" s="727"/>
      <c r="B73" s="727"/>
      <c r="C73" s="728">
        <v>64</v>
      </c>
      <c r="D73" s="729"/>
      <c r="E73" s="785" t="s">
        <v>483</v>
      </c>
      <c r="F73" s="731">
        <f>+F71+F69+F54</f>
        <v>19246262.209999997</v>
      </c>
      <c r="G73" s="731">
        <f t="shared" ref="G73:S73" si="12">+G71+G69+G54</f>
        <v>28286787.299999997</v>
      </c>
      <c r="H73" s="731">
        <f t="shared" si="12"/>
        <v>22265506.079999998</v>
      </c>
      <c r="I73" s="731">
        <f t="shared" si="12"/>
        <v>21678141.879999999</v>
      </c>
      <c r="J73" s="731">
        <f t="shared" si="12"/>
        <v>17605397.899999999</v>
      </c>
      <c r="K73" s="731">
        <f t="shared" si="12"/>
        <v>14113560.819999998</v>
      </c>
      <c r="L73" s="731">
        <f t="shared" si="12"/>
        <v>10694514.129999999</v>
      </c>
      <c r="M73" s="731">
        <f t="shared" si="12"/>
        <v>9258604.0299999993</v>
      </c>
      <c r="N73" s="731">
        <f t="shared" si="12"/>
        <v>7955578.7999999998</v>
      </c>
      <c r="O73" s="731">
        <f t="shared" si="12"/>
        <v>8387963.0499999998</v>
      </c>
      <c r="P73" s="731">
        <f t="shared" si="12"/>
        <v>9347118.9499999993</v>
      </c>
      <c r="Q73" s="731">
        <f t="shared" si="12"/>
        <v>10154537.530000001</v>
      </c>
      <c r="R73" s="731">
        <f t="shared" si="12"/>
        <v>20234885.199999999</v>
      </c>
      <c r="S73" s="731">
        <f t="shared" si="12"/>
        <v>14957357.014583332</v>
      </c>
      <c r="T73" s="707"/>
      <c r="U73" s="742"/>
      <c r="V73" s="742"/>
      <c r="W73" s="742"/>
      <c r="X73" s="742"/>
      <c r="Y73" s="720"/>
      <c r="Z73" s="720"/>
    </row>
    <row r="74" spans="1:26">
      <c r="A74" s="727"/>
      <c r="B74" s="727"/>
      <c r="C74" s="728">
        <v>65</v>
      </c>
      <c r="D74" s="705"/>
      <c r="E74" s="785"/>
      <c r="F74" s="731"/>
      <c r="G74" s="732"/>
      <c r="H74" s="733"/>
      <c r="I74" s="733"/>
      <c r="J74" s="734"/>
      <c r="K74" s="735"/>
      <c r="L74" s="736"/>
      <c r="M74" s="737"/>
      <c r="N74" s="738"/>
      <c r="O74" s="739"/>
      <c r="P74" s="740"/>
      <c r="Q74" s="741"/>
      <c r="R74" s="731"/>
      <c r="S74" s="733">
        <f t="shared" si="0"/>
        <v>0</v>
      </c>
      <c r="T74" s="707"/>
      <c r="U74" s="742"/>
      <c r="V74" s="742"/>
      <c r="W74" s="742"/>
      <c r="X74" s="742"/>
      <c r="Y74" s="720"/>
      <c r="Z74" s="720"/>
    </row>
    <row r="75" spans="1:26">
      <c r="A75" s="727" t="s">
        <v>484</v>
      </c>
      <c r="B75" s="727" t="s">
        <v>405</v>
      </c>
      <c r="C75" s="728">
        <v>66</v>
      </c>
      <c r="D75" s="705" t="str">
        <f>+A75</f>
        <v>1442</v>
      </c>
      <c r="E75" s="730" t="s">
        <v>485</v>
      </c>
      <c r="F75" s="731">
        <v>-401439.13</v>
      </c>
      <c r="G75" s="732">
        <v>-624811.17000000004</v>
      </c>
      <c r="H75" s="733">
        <v>-665111.98</v>
      </c>
      <c r="I75" s="733">
        <v>-612366.89</v>
      </c>
      <c r="J75" s="734">
        <v>-559025.18999999994</v>
      </c>
      <c r="K75" s="735">
        <v>-531431.04</v>
      </c>
      <c r="L75" s="736">
        <v>-430587.85</v>
      </c>
      <c r="M75" s="737">
        <v>-362696.57</v>
      </c>
      <c r="N75" s="738">
        <v>-292228.65000000002</v>
      </c>
      <c r="O75" s="739">
        <v>-248556.61</v>
      </c>
      <c r="P75" s="740">
        <v>-242332.38</v>
      </c>
      <c r="Q75" s="741">
        <v>-265166.53999999998</v>
      </c>
      <c r="R75" s="731">
        <v>-412137.48</v>
      </c>
      <c r="S75" s="733">
        <f t="shared" si="0"/>
        <v>-436758.59791666665</v>
      </c>
      <c r="T75" s="707"/>
      <c r="U75" s="742"/>
      <c r="V75" s="742"/>
      <c r="W75" s="742"/>
      <c r="X75" s="742"/>
      <c r="Y75" s="720"/>
      <c r="Z75" s="720"/>
    </row>
    <row r="76" spans="1:26">
      <c r="A76" s="727" t="s">
        <v>486</v>
      </c>
      <c r="B76" s="727" t="s">
        <v>405</v>
      </c>
      <c r="C76" s="728">
        <v>67</v>
      </c>
      <c r="D76" s="705" t="str">
        <f>+A76</f>
        <v>1443</v>
      </c>
      <c r="E76" s="730" t="s">
        <v>487</v>
      </c>
      <c r="F76" s="731">
        <v>-40000</v>
      </c>
      <c r="G76" s="732">
        <v>-40000</v>
      </c>
      <c r="H76" s="733">
        <v>-38782.51</v>
      </c>
      <c r="I76" s="733">
        <v>-38782.51</v>
      </c>
      <c r="J76" s="734">
        <v>-38782.51</v>
      </c>
      <c r="K76" s="735">
        <v>-34733.08</v>
      </c>
      <c r="L76" s="736">
        <v>-33535.199999999997</v>
      </c>
      <c r="M76" s="737">
        <v>-28404.51</v>
      </c>
      <c r="N76" s="738">
        <v>-28404.51</v>
      </c>
      <c r="O76" s="739">
        <v>-28404.51</v>
      </c>
      <c r="P76" s="740">
        <v>-28404.51</v>
      </c>
      <c r="Q76" s="741">
        <v>-28404.51</v>
      </c>
      <c r="R76" s="731">
        <v>-40000</v>
      </c>
      <c r="S76" s="733">
        <f t="shared" ref="S76:S139" si="13">((F76+R76)+((G76+H76+I76+J76+K76+L76+M76+N76+O76+P76+Q76)*2))/24</f>
        <v>-33886.530000000006</v>
      </c>
      <c r="T76" s="707"/>
      <c r="U76" s="742"/>
      <c r="V76" s="742"/>
      <c r="W76" s="742"/>
      <c r="X76" s="742"/>
      <c r="Y76" s="720"/>
      <c r="Z76" s="720"/>
    </row>
    <row r="77" spans="1:26">
      <c r="A77" s="727" t="s">
        <v>488</v>
      </c>
      <c r="B77" s="727" t="s">
        <v>405</v>
      </c>
      <c r="C77" s="728">
        <v>68</v>
      </c>
      <c r="D77" s="705" t="str">
        <f>+A77</f>
        <v>1449</v>
      </c>
      <c r="E77" s="730" t="s">
        <v>489</v>
      </c>
      <c r="F77" s="771">
        <v>-20000</v>
      </c>
      <c r="G77" s="772">
        <v>-15659.52</v>
      </c>
      <c r="H77" s="773">
        <v>-17302.900000000001</v>
      </c>
      <c r="I77" s="773">
        <v>-15893.85</v>
      </c>
      <c r="J77" s="774">
        <v>-13338.68</v>
      </c>
      <c r="K77" s="775">
        <v>-6655.48</v>
      </c>
      <c r="L77" s="776">
        <v>-5641.47</v>
      </c>
      <c r="M77" s="777">
        <v>-5614.19</v>
      </c>
      <c r="N77" s="778">
        <v>-2540.77</v>
      </c>
      <c r="O77" s="779">
        <v>-1339.49</v>
      </c>
      <c r="P77" s="780">
        <v>-1339.49</v>
      </c>
      <c r="Q77" s="781">
        <v>-788.430000000002</v>
      </c>
      <c r="R77" s="771">
        <v>-19013.580000000002</v>
      </c>
      <c r="S77" s="733">
        <f t="shared" si="13"/>
        <v>-8801.7550000000028</v>
      </c>
      <c r="T77" s="707"/>
      <c r="U77" s="742"/>
      <c r="V77" s="742"/>
      <c r="W77" s="742"/>
      <c r="X77" s="742"/>
      <c r="Y77" s="720"/>
      <c r="Z77" s="720"/>
    </row>
    <row r="78" spans="1:26">
      <c r="A78" s="727"/>
      <c r="B78" s="727"/>
      <c r="C78" s="728">
        <v>69</v>
      </c>
      <c r="D78" s="705"/>
      <c r="E78" s="730"/>
      <c r="F78" s="760"/>
      <c r="G78" s="761"/>
      <c r="H78" s="762"/>
      <c r="I78" s="762"/>
      <c r="J78" s="763"/>
      <c r="K78" s="764"/>
      <c r="L78" s="765"/>
      <c r="M78" s="766"/>
      <c r="N78" s="767"/>
      <c r="O78" s="768"/>
      <c r="P78" s="769"/>
      <c r="Q78" s="770"/>
      <c r="R78" s="760"/>
      <c r="S78" s="733">
        <f t="shared" si="13"/>
        <v>0</v>
      </c>
      <c r="T78" s="707"/>
      <c r="U78" s="742"/>
      <c r="V78" s="742"/>
      <c r="W78" s="742"/>
      <c r="X78" s="742"/>
      <c r="Y78" s="720"/>
      <c r="Z78" s="720"/>
    </row>
    <row r="79" spans="1:26">
      <c r="A79" s="727"/>
      <c r="B79" s="727"/>
      <c r="C79" s="728">
        <v>70</v>
      </c>
      <c r="D79" s="729"/>
      <c r="E79" s="785" t="s">
        <v>490</v>
      </c>
      <c r="F79" s="760">
        <f>SUM(F75:F77)</f>
        <v>-461439.13</v>
      </c>
      <c r="G79" s="760">
        <f t="shared" ref="G79:S79" si="14">SUM(G75:G77)</f>
        <v>-680470.69000000006</v>
      </c>
      <c r="H79" s="760">
        <f t="shared" si="14"/>
        <v>-721197.39</v>
      </c>
      <c r="I79" s="760">
        <f t="shared" si="14"/>
        <v>-667043.25</v>
      </c>
      <c r="J79" s="760">
        <f t="shared" si="14"/>
        <v>-611146.38</v>
      </c>
      <c r="K79" s="760">
        <f t="shared" si="14"/>
        <v>-572819.6</v>
      </c>
      <c r="L79" s="760">
        <f t="shared" si="14"/>
        <v>-469764.51999999996</v>
      </c>
      <c r="M79" s="760">
        <f t="shared" si="14"/>
        <v>-396715.27</v>
      </c>
      <c r="N79" s="760">
        <f t="shared" si="14"/>
        <v>-323173.93000000005</v>
      </c>
      <c r="O79" s="760">
        <f t="shared" si="14"/>
        <v>-278300.61</v>
      </c>
      <c r="P79" s="760">
        <f t="shared" si="14"/>
        <v>-272076.38</v>
      </c>
      <c r="Q79" s="760">
        <f t="shared" si="14"/>
        <v>-294359.48</v>
      </c>
      <c r="R79" s="760">
        <f t="shared" si="14"/>
        <v>-471151.06</v>
      </c>
      <c r="S79" s="760">
        <f t="shared" si="14"/>
        <v>-479446.88291666668</v>
      </c>
      <c r="T79" s="707"/>
      <c r="U79" s="742"/>
      <c r="V79" s="742"/>
      <c r="W79" s="742"/>
      <c r="X79" s="743">
        <f>S79</f>
        <v>-479446.88291666668</v>
      </c>
      <c r="Y79" s="720"/>
      <c r="Z79" s="720"/>
    </row>
    <row r="80" spans="1:26">
      <c r="A80" s="727"/>
      <c r="B80" s="727"/>
      <c r="C80" s="728">
        <v>71</v>
      </c>
      <c r="D80" s="729"/>
      <c r="E80" s="785"/>
      <c r="F80" s="744"/>
      <c r="G80" s="744"/>
      <c r="H80" s="744"/>
      <c r="I80" s="744"/>
      <c r="J80" s="744"/>
      <c r="K80" s="744"/>
      <c r="L80" s="744"/>
      <c r="M80" s="744"/>
      <c r="N80" s="744"/>
      <c r="O80" s="744"/>
      <c r="P80" s="744"/>
      <c r="Q80" s="744"/>
      <c r="R80" s="744"/>
      <c r="S80" s="744"/>
      <c r="T80" s="707"/>
      <c r="U80" s="742"/>
      <c r="V80" s="742"/>
      <c r="W80" s="742"/>
      <c r="X80" s="742"/>
      <c r="Y80" s="720"/>
      <c r="Z80" s="720"/>
    </row>
    <row r="81" spans="1:26">
      <c r="A81" s="727"/>
      <c r="B81" s="727"/>
      <c r="C81" s="728">
        <v>72</v>
      </c>
      <c r="D81" s="729"/>
      <c r="E81" s="785" t="s">
        <v>491</v>
      </c>
      <c r="F81" s="755">
        <f>+F73+F79</f>
        <v>18784823.079999998</v>
      </c>
      <c r="G81" s="755">
        <f t="shared" ref="G81:S81" si="15">+G73+G79</f>
        <v>27606316.609999996</v>
      </c>
      <c r="H81" s="755">
        <f t="shared" si="15"/>
        <v>21544308.689999998</v>
      </c>
      <c r="I81" s="755">
        <f t="shared" si="15"/>
        <v>21011098.629999999</v>
      </c>
      <c r="J81" s="755">
        <f t="shared" si="15"/>
        <v>16994251.52</v>
      </c>
      <c r="K81" s="755">
        <f t="shared" si="15"/>
        <v>13540741.219999999</v>
      </c>
      <c r="L81" s="755">
        <f t="shared" si="15"/>
        <v>10224749.609999999</v>
      </c>
      <c r="M81" s="755">
        <f t="shared" si="15"/>
        <v>8861888.7599999998</v>
      </c>
      <c r="N81" s="755">
        <f t="shared" si="15"/>
        <v>7632404.8700000001</v>
      </c>
      <c r="O81" s="755">
        <f t="shared" si="15"/>
        <v>8109662.4399999995</v>
      </c>
      <c r="P81" s="755">
        <f t="shared" si="15"/>
        <v>9075042.5699999984</v>
      </c>
      <c r="Q81" s="755">
        <f t="shared" si="15"/>
        <v>9860178.0500000007</v>
      </c>
      <c r="R81" s="755">
        <f t="shared" si="15"/>
        <v>19763734.140000001</v>
      </c>
      <c r="S81" s="755">
        <f t="shared" si="15"/>
        <v>14477910.131666666</v>
      </c>
      <c r="T81" s="707"/>
      <c r="U81" s="742"/>
      <c r="V81" s="742"/>
      <c r="W81" s="742"/>
      <c r="X81" s="742"/>
      <c r="Y81" s="720"/>
      <c r="Z81" s="720"/>
    </row>
    <row r="82" spans="1:26">
      <c r="A82" s="727"/>
      <c r="B82" s="727"/>
      <c r="C82" s="728">
        <v>73</v>
      </c>
      <c r="D82" s="729"/>
      <c r="E82" s="785"/>
      <c r="F82" s="731"/>
      <c r="G82" s="732"/>
      <c r="H82" s="733"/>
      <c r="I82" s="733"/>
      <c r="J82" s="734"/>
      <c r="K82" s="735"/>
      <c r="L82" s="736"/>
      <c r="M82" s="737"/>
      <c r="N82" s="738"/>
      <c r="O82" s="739"/>
      <c r="P82" s="740"/>
      <c r="Q82" s="741"/>
      <c r="R82" s="731"/>
      <c r="S82" s="733">
        <f t="shared" si="13"/>
        <v>0</v>
      </c>
      <c r="T82" s="707"/>
      <c r="U82" s="742"/>
      <c r="V82" s="742"/>
      <c r="W82" s="742"/>
      <c r="X82" s="742"/>
      <c r="Y82" s="720"/>
      <c r="Z82" s="720"/>
    </row>
    <row r="83" spans="1:26">
      <c r="A83" s="727" t="s">
        <v>492</v>
      </c>
      <c r="B83" s="727" t="s">
        <v>405</v>
      </c>
      <c r="C83" s="728">
        <v>74</v>
      </c>
      <c r="D83" s="729" t="str">
        <f>+A83</f>
        <v>1540</v>
      </c>
      <c r="E83" s="730" t="s">
        <v>493</v>
      </c>
      <c r="F83" s="731">
        <v>7019221.7300000004</v>
      </c>
      <c r="G83" s="732">
        <v>6875168.5999999996</v>
      </c>
      <c r="H83" s="733">
        <v>6777067.6399999997</v>
      </c>
      <c r="I83" s="733">
        <v>6833615.6799999997</v>
      </c>
      <c r="J83" s="734">
        <v>7007981.5999999996</v>
      </c>
      <c r="K83" s="735">
        <v>7051778.0599999996</v>
      </c>
      <c r="L83" s="736">
        <v>7233831.7300000004</v>
      </c>
      <c r="M83" s="737">
        <v>7196644.9400000004</v>
      </c>
      <c r="N83" s="738">
        <v>7223266.5300000003</v>
      </c>
      <c r="O83" s="739">
        <v>7796442.8799999999</v>
      </c>
      <c r="P83" s="740">
        <v>7542268.9100000001</v>
      </c>
      <c r="Q83" s="741">
        <v>7494539.7300000004</v>
      </c>
      <c r="R83" s="731">
        <v>7223893.4299999997</v>
      </c>
      <c r="S83" s="733">
        <f t="shared" si="13"/>
        <v>7179513.6566666672</v>
      </c>
      <c r="T83" s="707"/>
      <c r="U83" s="742"/>
      <c r="V83" s="742"/>
      <c r="W83" s="742"/>
      <c r="X83" s="742"/>
      <c r="Y83" s="720"/>
      <c r="Z83" s="720"/>
    </row>
    <row r="84" spans="1:26">
      <c r="A84" s="727" t="s">
        <v>494</v>
      </c>
      <c r="B84" s="727" t="s">
        <v>405</v>
      </c>
      <c r="C84" s="728">
        <v>75</v>
      </c>
      <c r="D84" s="729" t="str">
        <f>+A84</f>
        <v>1630</v>
      </c>
      <c r="E84" s="730" t="s">
        <v>495</v>
      </c>
      <c r="F84" s="731">
        <v>2.91038304567337E-11</v>
      </c>
      <c r="G84" s="732">
        <v>6295.25</v>
      </c>
      <c r="H84" s="733">
        <v>4651.54</v>
      </c>
      <c r="I84" s="733">
        <v>23106.77</v>
      </c>
      <c r="J84" s="734">
        <v>41906.57</v>
      </c>
      <c r="K84" s="735">
        <v>67087.56</v>
      </c>
      <c r="L84" s="736">
        <v>85003.37</v>
      </c>
      <c r="M84" s="737">
        <v>102587.63</v>
      </c>
      <c r="N84" s="738">
        <v>151876.95000000001</v>
      </c>
      <c r="O84" s="739">
        <v>166830.17000000001</v>
      </c>
      <c r="P84" s="740">
        <v>173789.35</v>
      </c>
      <c r="Q84" s="741">
        <v>187712.69</v>
      </c>
      <c r="R84" s="731">
        <v>-2.91038304567337E-11</v>
      </c>
      <c r="S84" s="733">
        <f t="shared" si="13"/>
        <v>84237.320833333346</v>
      </c>
      <c r="T84" s="707"/>
      <c r="U84" s="742"/>
      <c r="V84" s="742"/>
      <c r="W84" s="742"/>
      <c r="X84" s="742"/>
      <c r="Y84" s="720"/>
      <c r="Z84" s="720"/>
    </row>
    <row r="85" spans="1:26">
      <c r="A85" s="727" t="s">
        <v>496</v>
      </c>
      <c r="B85" s="727" t="s">
        <v>497</v>
      </c>
      <c r="C85" s="728">
        <v>76</v>
      </c>
      <c r="D85" s="729" t="str">
        <f>A85&amp;"."&amp;B85</f>
        <v>1641.[01,03]</v>
      </c>
      <c r="E85" s="730" t="s">
        <v>498</v>
      </c>
      <c r="F85" s="760">
        <v>0</v>
      </c>
      <c r="G85" s="732">
        <v>0</v>
      </c>
      <c r="H85" s="762">
        <v>0</v>
      </c>
      <c r="I85" s="762">
        <v>0</v>
      </c>
      <c r="J85" s="763">
        <v>0</v>
      </c>
      <c r="K85" s="764">
        <v>0</v>
      </c>
      <c r="L85" s="765">
        <v>0</v>
      </c>
      <c r="M85" s="766">
        <v>0</v>
      </c>
      <c r="N85" s="767">
        <v>0</v>
      </c>
      <c r="O85" s="768">
        <v>0</v>
      </c>
      <c r="P85" s="769">
        <v>0</v>
      </c>
      <c r="Q85" s="741">
        <v>0</v>
      </c>
      <c r="R85" s="760">
        <v>0</v>
      </c>
      <c r="S85" s="733">
        <f t="shared" si="13"/>
        <v>0</v>
      </c>
      <c r="T85" s="707"/>
      <c r="U85" s="742"/>
      <c r="V85" s="742"/>
      <c r="W85" s="742"/>
      <c r="X85" s="742"/>
      <c r="Y85" s="720"/>
      <c r="Z85" s="720"/>
    </row>
    <row r="86" spans="1:26">
      <c r="A86" s="727" t="s">
        <v>496</v>
      </c>
      <c r="B86" s="727" t="s">
        <v>499</v>
      </c>
      <c r="C86" s="728">
        <v>77</v>
      </c>
      <c r="D86" s="729" t="str">
        <f>A86&amp;"."&amp;B86</f>
        <v>1641.02</v>
      </c>
      <c r="E86" s="730" t="s">
        <v>500</v>
      </c>
      <c r="F86" s="760">
        <v>52788.7</v>
      </c>
      <c r="G86" s="732">
        <v>592943.59</v>
      </c>
      <c r="H86" s="762">
        <v>0</v>
      </c>
      <c r="I86" s="762">
        <v>278037.19</v>
      </c>
      <c r="J86" s="763">
        <v>364258.05</v>
      </c>
      <c r="K86" s="764">
        <v>91779.05</v>
      </c>
      <c r="L86" s="765">
        <v>6720.03999999999</v>
      </c>
      <c r="M86" s="766">
        <v>-6.3664629124105001E-12</v>
      </c>
      <c r="N86" s="767">
        <v>-6.3664629124105001E-12</v>
      </c>
      <c r="O86" s="768">
        <v>149539.65</v>
      </c>
      <c r="P86" s="769">
        <v>206387.69</v>
      </c>
      <c r="Q86" s="741">
        <v>280814.13</v>
      </c>
      <c r="R86" s="760">
        <v>87958.720000000001</v>
      </c>
      <c r="S86" s="733">
        <f t="shared" si="13"/>
        <v>170071.09166666667</v>
      </c>
      <c r="T86" s="707"/>
      <c r="U86" s="742"/>
      <c r="V86" s="742"/>
      <c r="W86" s="742"/>
      <c r="X86" s="742"/>
      <c r="Y86" s="720"/>
      <c r="Z86" s="720"/>
    </row>
    <row r="87" spans="1:26">
      <c r="A87" s="727" t="s">
        <v>496</v>
      </c>
      <c r="B87" s="727" t="s">
        <v>563</v>
      </c>
      <c r="C87" s="728">
        <v>78</v>
      </c>
      <c r="D87" s="729" t="str">
        <f>A87&amp;"."&amp;B87</f>
        <v>1641.04</v>
      </c>
      <c r="E87" s="730" t="s">
        <v>1003</v>
      </c>
      <c r="F87" s="760">
        <v>186057.52</v>
      </c>
      <c r="G87" s="732">
        <v>200402.73</v>
      </c>
      <c r="H87" s="762">
        <v>219068.21</v>
      </c>
      <c r="I87" s="762">
        <v>236891.08</v>
      </c>
      <c r="J87" s="763">
        <v>206008.55</v>
      </c>
      <c r="K87" s="764">
        <v>206008.55</v>
      </c>
      <c r="L87" s="765">
        <v>1820.00999999998</v>
      </c>
      <c r="M87" s="766">
        <v>-1.9781509763561199E-11</v>
      </c>
      <c r="N87" s="767">
        <v>51352.98</v>
      </c>
      <c r="O87" s="768">
        <v>89896.35</v>
      </c>
      <c r="P87" s="769">
        <v>89896.35</v>
      </c>
      <c r="Q87" s="741">
        <v>38697.56</v>
      </c>
      <c r="R87" s="760">
        <v>38697.56</v>
      </c>
      <c r="S87" s="733">
        <f t="shared" si="13"/>
        <v>121034.99250000004</v>
      </c>
      <c r="T87" s="707"/>
      <c r="U87" s="742"/>
      <c r="V87" s="742"/>
      <c r="W87" s="742"/>
      <c r="X87" s="742"/>
      <c r="Y87" s="720"/>
      <c r="Z87" s="720"/>
    </row>
    <row r="88" spans="1:26">
      <c r="A88" s="727" t="s">
        <v>501</v>
      </c>
      <c r="B88" s="727" t="s">
        <v>405</v>
      </c>
      <c r="C88" s="728">
        <v>79</v>
      </c>
      <c r="D88" s="729" t="str">
        <f>+A88</f>
        <v>1642</v>
      </c>
      <c r="E88" s="730" t="s">
        <v>502</v>
      </c>
      <c r="F88" s="760">
        <v>712311.02</v>
      </c>
      <c r="G88" s="732">
        <v>697965.81</v>
      </c>
      <c r="H88" s="762">
        <v>679300.33</v>
      </c>
      <c r="I88" s="762">
        <v>661477.46</v>
      </c>
      <c r="J88" s="763">
        <v>1205358</v>
      </c>
      <c r="K88" s="764">
        <v>1258794.78</v>
      </c>
      <c r="L88" s="765">
        <v>1462983.32</v>
      </c>
      <c r="M88" s="766">
        <v>1461900.81</v>
      </c>
      <c r="N88" s="767">
        <v>1905391.12</v>
      </c>
      <c r="O88" s="768">
        <v>2374582.09</v>
      </c>
      <c r="P88" s="769">
        <v>2374582.09</v>
      </c>
      <c r="Q88" s="741">
        <v>2393533.4399999999</v>
      </c>
      <c r="R88" s="760">
        <v>1705163.69</v>
      </c>
      <c r="S88" s="733">
        <f t="shared" si="13"/>
        <v>1473717.2170833331</v>
      </c>
      <c r="T88" s="707"/>
      <c r="U88" s="742"/>
      <c r="V88" s="742"/>
      <c r="W88" s="742"/>
      <c r="X88" s="742"/>
      <c r="Y88" s="720"/>
      <c r="Z88" s="720"/>
    </row>
    <row r="89" spans="1:26">
      <c r="A89" s="727"/>
      <c r="B89" s="727"/>
      <c r="C89" s="728">
        <v>80</v>
      </c>
      <c r="D89" s="729"/>
      <c r="E89" s="730"/>
      <c r="F89" s="744"/>
      <c r="G89" s="745"/>
      <c r="H89" s="746"/>
      <c r="I89" s="746"/>
      <c r="J89" s="747"/>
      <c r="K89" s="748"/>
      <c r="L89" s="749"/>
      <c r="M89" s="750"/>
      <c r="N89" s="751"/>
      <c r="O89" s="752"/>
      <c r="P89" s="753"/>
      <c r="Q89" s="754"/>
      <c r="R89" s="744"/>
      <c r="S89" s="733">
        <f t="shared" si="13"/>
        <v>0</v>
      </c>
      <c r="T89" s="707"/>
      <c r="U89" s="742"/>
      <c r="V89" s="742"/>
      <c r="W89" s="742"/>
      <c r="X89" s="742"/>
      <c r="Y89" s="720"/>
      <c r="Z89" s="720"/>
    </row>
    <row r="90" spans="1:26">
      <c r="A90" s="727"/>
      <c r="B90" s="727"/>
      <c r="C90" s="728">
        <v>81</v>
      </c>
      <c r="D90" s="729"/>
      <c r="E90" s="730" t="s">
        <v>503</v>
      </c>
      <c r="F90" s="755">
        <f>SUM(F83:F88)</f>
        <v>7970378.9700000007</v>
      </c>
      <c r="G90" s="755">
        <f t="shared" ref="G90:S90" si="16">SUM(G83:G88)</f>
        <v>8372775.9800000004</v>
      </c>
      <c r="H90" s="755">
        <f t="shared" si="16"/>
        <v>7680087.7199999997</v>
      </c>
      <c r="I90" s="755">
        <f t="shared" si="16"/>
        <v>8033128.1799999997</v>
      </c>
      <c r="J90" s="755">
        <f t="shared" si="16"/>
        <v>8825512.7699999996</v>
      </c>
      <c r="K90" s="755">
        <f t="shared" si="16"/>
        <v>8675447.9999999981</v>
      </c>
      <c r="L90" s="755">
        <f t="shared" si="16"/>
        <v>8790358.4700000007</v>
      </c>
      <c r="M90" s="755">
        <f t="shared" si="16"/>
        <v>8761133.3800000008</v>
      </c>
      <c r="N90" s="755">
        <f t="shared" si="16"/>
        <v>9331887.5800000019</v>
      </c>
      <c r="O90" s="755">
        <f t="shared" si="16"/>
        <v>10577291.140000001</v>
      </c>
      <c r="P90" s="755">
        <f t="shared" si="16"/>
        <v>10386924.390000001</v>
      </c>
      <c r="Q90" s="755">
        <f t="shared" si="16"/>
        <v>10395297.550000001</v>
      </c>
      <c r="R90" s="755">
        <f t="shared" si="16"/>
        <v>9055713.3999999985</v>
      </c>
      <c r="S90" s="755">
        <f t="shared" si="16"/>
        <v>9028574.2787500005</v>
      </c>
      <c r="T90" s="707"/>
      <c r="U90" s="742"/>
      <c r="V90" s="742"/>
      <c r="W90" s="742"/>
      <c r="X90" s="743">
        <f>S90</f>
        <v>9028574.2787500005</v>
      </c>
      <c r="Y90" s="720"/>
      <c r="Z90" s="720"/>
    </row>
    <row r="91" spans="1:26">
      <c r="A91" s="727"/>
      <c r="B91" s="727"/>
      <c r="C91" s="728">
        <v>82</v>
      </c>
      <c r="D91" s="729"/>
      <c r="E91" s="785"/>
      <c r="F91" s="731"/>
      <c r="G91" s="732"/>
      <c r="H91" s="733"/>
      <c r="I91" s="733"/>
      <c r="J91" s="734"/>
      <c r="K91" s="735"/>
      <c r="L91" s="736"/>
      <c r="M91" s="737"/>
      <c r="N91" s="738"/>
      <c r="O91" s="739"/>
      <c r="P91" s="740"/>
      <c r="Q91" s="741"/>
      <c r="R91" s="731"/>
      <c r="S91" s="733">
        <f t="shared" si="13"/>
        <v>0</v>
      </c>
      <c r="T91" s="707"/>
      <c r="U91" s="742"/>
      <c r="V91" s="742"/>
      <c r="W91" s="742"/>
      <c r="X91" s="742"/>
      <c r="Y91" s="720"/>
      <c r="Z91" s="720"/>
    </row>
    <row r="92" spans="1:26">
      <c r="A92" s="727" t="s">
        <v>504</v>
      </c>
      <c r="B92" s="727" t="s">
        <v>405</v>
      </c>
      <c r="C92" s="728">
        <v>83</v>
      </c>
      <c r="D92" s="729" t="str">
        <f>+A92</f>
        <v>1655</v>
      </c>
      <c r="E92" s="730" t="s">
        <v>505</v>
      </c>
      <c r="F92" s="731">
        <v>141934.38</v>
      </c>
      <c r="G92" s="732">
        <v>1047402.23</v>
      </c>
      <c r="H92" s="733">
        <v>951220.2</v>
      </c>
      <c r="I92" s="733">
        <v>862269.45</v>
      </c>
      <c r="J92" s="734">
        <v>753777.95</v>
      </c>
      <c r="K92" s="735">
        <v>645735.46</v>
      </c>
      <c r="L92" s="736">
        <v>573398.41</v>
      </c>
      <c r="M92" s="737">
        <v>465355.91</v>
      </c>
      <c r="N92" s="738">
        <v>357313.43</v>
      </c>
      <c r="O92" s="739">
        <v>282349.87</v>
      </c>
      <c r="P92" s="740">
        <v>171680.88</v>
      </c>
      <c r="Q92" s="741">
        <v>233437.62</v>
      </c>
      <c r="R92" s="731">
        <v>146719</v>
      </c>
      <c r="S92" s="733">
        <f t="shared" si="13"/>
        <v>540689.00833333342</v>
      </c>
      <c r="T92" s="707"/>
      <c r="U92" s="742"/>
      <c r="V92" s="742"/>
      <c r="W92" s="742"/>
      <c r="X92" s="742"/>
      <c r="Y92" s="720"/>
      <c r="Z92" s="720"/>
    </row>
    <row r="93" spans="1:26">
      <c r="A93" s="703" t="s">
        <v>506</v>
      </c>
      <c r="B93" s="703" t="s">
        <v>507</v>
      </c>
      <c r="C93" s="728">
        <v>84</v>
      </c>
      <c r="D93" s="705" t="str">
        <f>A93&amp;"."&amp;B93</f>
        <v>1659.[18,19,20]</v>
      </c>
      <c r="E93" s="810" t="s">
        <v>508</v>
      </c>
      <c r="F93" s="731">
        <v>0</v>
      </c>
      <c r="G93" s="811">
        <v>0</v>
      </c>
      <c r="H93" s="733">
        <v>0</v>
      </c>
      <c r="I93" s="733">
        <v>0</v>
      </c>
      <c r="J93" s="734">
        <v>0</v>
      </c>
      <c r="K93" s="735">
        <v>0</v>
      </c>
      <c r="L93" s="736">
        <v>0</v>
      </c>
      <c r="M93" s="737">
        <v>0</v>
      </c>
      <c r="N93" s="738">
        <v>0</v>
      </c>
      <c r="O93" s="739">
        <v>752163.93</v>
      </c>
      <c r="P93" s="740">
        <v>554607.04</v>
      </c>
      <c r="Q93" s="812">
        <v>391140.84</v>
      </c>
      <c r="R93" s="731">
        <v>0</v>
      </c>
      <c r="S93" s="733">
        <f t="shared" si="13"/>
        <v>141492.65083333335</v>
      </c>
      <c r="T93" s="707"/>
      <c r="U93" s="742"/>
      <c r="V93" s="742"/>
      <c r="W93" s="742"/>
      <c r="X93" s="742"/>
      <c r="Y93" s="720"/>
      <c r="Z93" s="720"/>
    </row>
    <row r="94" spans="1:26">
      <c r="A94" s="703" t="s">
        <v>506</v>
      </c>
      <c r="B94" s="703" t="s">
        <v>509</v>
      </c>
      <c r="C94" s="728">
        <v>85</v>
      </c>
      <c r="D94" s="705" t="str">
        <f>A94&amp;"."&amp;B94</f>
        <v>1659.22</v>
      </c>
      <c r="E94" s="810" t="s">
        <v>510</v>
      </c>
      <c r="F94" s="731">
        <v>2719098.63</v>
      </c>
      <c r="G94" s="811">
        <v>2487523.08</v>
      </c>
      <c r="H94" s="733">
        <v>2183281.08</v>
      </c>
      <c r="I94" s="733">
        <v>344683.95</v>
      </c>
      <c r="J94" s="734">
        <v>344683.95</v>
      </c>
      <c r="K94" s="735">
        <v>1242211.08</v>
      </c>
      <c r="L94" s="736">
        <v>1373709.51</v>
      </c>
      <c r="M94" s="737">
        <v>1911378.55</v>
      </c>
      <c r="N94" s="738">
        <v>2541463.54</v>
      </c>
      <c r="O94" s="739">
        <v>2763023.48</v>
      </c>
      <c r="P94" s="740">
        <v>2763023.48</v>
      </c>
      <c r="Q94" s="812">
        <v>2763023.48</v>
      </c>
      <c r="R94" s="731">
        <v>1381150.02</v>
      </c>
      <c r="S94" s="733">
        <f t="shared" si="13"/>
        <v>1897344.125416667</v>
      </c>
      <c r="T94" s="707"/>
      <c r="U94" s="742"/>
      <c r="V94" s="742"/>
      <c r="W94" s="742"/>
      <c r="X94" s="742"/>
      <c r="Y94" s="720"/>
      <c r="Z94" s="720"/>
    </row>
    <row r="95" spans="1:26">
      <c r="A95" s="703" t="s">
        <v>506</v>
      </c>
      <c r="B95" s="703" t="s">
        <v>511</v>
      </c>
      <c r="C95" s="728">
        <v>86</v>
      </c>
      <c r="D95" s="705" t="str">
        <f>A95&amp;"."&amp;B95</f>
        <v>1659.[/20,/21,/22,/18,/19]</v>
      </c>
      <c r="E95" s="730" t="s">
        <v>512</v>
      </c>
      <c r="F95" s="731">
        <v>711944.81</v>
      </c>
      <c r="G95" s="813">
        <v>592136.06999999995</v>
      </c>
      <c r="H95" s="733">
        <v>472327.33</v>
      </c>
      <c r="I95" s="733">
        <v>493362.4</v>
      </c>
      <c r="J95" s="734">
        <v>357904.35</v>
      </c>
      <c r="K95" s="735">
        <v>222446.3</v>
      </c>
      <c r="L95" s="736">
        <v>165668.10999999999</v>
      </c>
      <c r="M95" s="737">
        <v>143494.04999999999</v>
      </c>
      <c r="N95" s="738">
        <v>121319.99</v>
      </c>
      <c r="O95" s="739">
        <v>99145.930000000095</v>
      </c>
      <c r="P95" s="740">
        <v>76971.870000000097</v>
      </c>
      <c r="Q95" s="814">
        <v>1033988.87</v>
      </c>
      <c r="R95" s="731">
        <v>928900.59</v>
      </c>
      <c r="S95" s="733">
        <f t="shared" si="13"/>
        <v>383265.66416666663</v>
      </c>
      <c r="T95" s="707"/>
      <c r="U95" s="742"/>
      <c r="V95" s="742"/>
      <c r="W95" s="742"/>
      <c r="X95" s="742"/>
      <c r="Y95" s="720"/>
      <c r="Z95" s="720"/>
    </row>
    <row r="96" spans="1:26">
      <c r="A96" s="703" t="s">
        <v>513</v>
      </c>
      <c r="B96" s="703" t="s">
        <v>514</v>
      </c>
      <c r="C96" s="728">
        <v>87</v>
      </c>
      <c r="D96" s="705" t="str">
        <f>A96&amp;"."&amp;B96</f>
        <v>1860.[20424,20425]</v>
      </c>
      <c r="E96" s="730" t="s">
        <v>515</v>
      </c>
      <c r="F96" s="731">
        <v>0</v>
      </c>
      <c r="G96" s="813">
        <v>0</v>
      </c>
      <c r="H96" s="733">
        <v>0</v>
      </c>
      <c r="I96" s="733">
        <v>0</v>
      </c>
      <c r="J96" s="734">
        <v>0</v>
      </c>
      <c r="K96" s="735">
        <v>0</v>
      </c>
      <c r="L96" s="736">
        <v>0</v>
      </c>
      <c r="M96" s="737">
        <v>0</v>
      </c>
      <c r="N96" s="738">
        <v>0</v>
      </c>
      <c r="O96" s="739">
        <v>0</v>
      </c>
      <c r="P96" s="740">
        <v>0</v>
      </c>
      <c r="Q96" s="814">
        <v>0</v>
      </c>
      <c r="R96" s="731">
        <v>0</v>
      </c>
      <c r="S96" s="733">
        <f t="shared" si="13"/>
        <v>0</v>
      </c>
      <c r="T96" s="707"/>
      <c r="U96" s="742"/>
      <c r="V96" s="742"/>
      <c r="W96" s="742"/>
      <c r="X96" s="742"/>
      <c r="Y96" s="720"/>
      <c r="Z96" s="720"/>
    </row>
    <row r="97" spans="1:26">
      <c r="A97" s="703" t="s">
        <v>516</v>
      </c>
      <c r="B97" s="703" t="s">
        <v>405</v>
      </c>
      <c r="C97" s="728">
        <v>88</v>
      </c>
      <c r="D97" s="705" t="str">
        <f>+A97</f>
        <v>1747</v>
      </c>
      <c r="E97" s="730" t="s">
        <v>517</v>
      </c>
      <c r="F97" s="760">
        <v>0</v>
      </c>
      <c r="G97" s="813">
        <v>0</v>
      </c>
      <c r="H97" s="762">
        <v>0</v>
      </c>
      <c r="I97" s="762">
        <v>0</v>
      </c>
      <c r="J97" s="763">
        <v>0</v>
      </c>
      <c r="K97" s="764">
        <v>0</v>
      </c>
      <c r="L97" s="765">
        <v>0</v>
      </c>
      <c r="M97" s="766">
        <v>0</v>
      </c>
      <c r="N97" s="767">
        <v>0</v>
      </c>
      <c r="O97" s="768">
        <v>0</v>
      </c>
      <c r="P97" s="769">
        <v>0</v>
      </c>
      <c r="Q97" s="814">
        <v>0</v>
      </c>
      <c r="R97" s="760">
        <v>0</v>
      </c>
      <c r="S97" s="733">
        <f t="shared" si="13"/>
        <v>0</v>
      </c>
      <c r="T97" s="707"/>
      <c r="U97" s="742"/>
      <c r="V97" s="742"/>
      <c r="W97" s="742"/>
      <c r="X97" s="742"/>
      <c r="Y97" s="720"/>
      <c r="Z97" s="720"/>
    </row>
    <row r="98" spans="1:26">
      <c r="A98" s="703" t="s">
        <v>518</v>
      </c>
      <c r="B98" s="703" t="s">
        <v>519</v>
      </c>
      <c r="C98" s="728">
        <v>89</v>
      </c>
      <c r="D98" s="815" t="s">
        <v>520</v>
      </c>
      <c r="E98" s="730" t="s">
        <v>521</v>
      </c>
      <c r="F98" s="760">
        <v>0</v>
      </c>
      <c r="G98" s="813">
        <v>0</v>
      </c>
      <c r="H98" s="762">
        <v>0</v>
      </c>
      <c r="I98" s="762">
        <v>0</v>
      </c>
      <c r="J98" s="763">
        <v>0</v>
      </c>
      <c r="K98" s="764">
        <v>0</v>
      </c>
      <c r="L98" s="765">
        <v>0</v>
      </c>
      <c r="M98" s="766">
        <v>0</v>
      </c>
      <c r="N98" s="767">
        <v>0</v>
      </c>
      <c r="O98" s="768">
        <v>0</v>
      </c>
      <c r="P98" s="769">
        <v>0</v>
      </c>
      <c r="Q98" s="814">
        <v>0</v>
      </c>
      <c r="R98" s="760">
        <v>0</v>
      </c>
      <c r="S98" s="733">
        <f t="shared" si="13"/>
        <v>0</v>
      </c>
      <c r="T98" s="707"/>
      <c r="U98" s="742"/>
      <c r="V98" s="742"/>
      <c r="W98" s="742"/>
      <c r="X98" s="742"/>
      <c r="Y98" s="720"/>
      <c r="Z98" s="720"/>
    </row>
    <row r="99" spans="1:26">
      <c r="A99" s="703"/>
      <c r="B99" s="703"/>
      <c r="C99" s="728">
        <v>90</v>
      </c>
      <c r="D99" s="705"/>
      <c r="E99" s="730"/>
      <c r="F99" s="744"/>
      <c r="G99" s="816"/>
      <c r="H99" s="746"/>
      <c r="I99" s="746"/>
      <c r="J99" s="747"/>
      <c r="K99" s="748"/>
      <c r="L99" s="749"/>
      <c r="M99" s="750"/>
      <c r="N99" s="751"/>
      <c r="O99" s="752"/>
      <c r="P99" s="753"/>
      <c r="Q99" s="817"/>
      <c r="R99" s="744"/>
      <c r="S99" s="733">
        <f t="shared" si="13"/>
        <v>0</v>
      </c>
      <c r="T99" s="707"/>
      <c r="U99" s="742"/>
      <c r="V99" s="742"/>
      <c r="W99" s="742"/>
      <c r="X99" s="742"/>
      <c r="Y99" s="720"/>
      <c r="Z99" s="720"/>
    </row>
    <row r="100" spans="1:26">
      <c r="A100" s="727"/>
      <c r="B100" s="727"/>
      <c r="C100" s="728">
        <v>91</v>
      </c>
      <c r="D100" s="729"/>
      <c r="E100" s="730" t="s">
        <v>522</v>
      </c>
      <c r="F100" s="755">
        <f>SUM(F92:F98)</f>
        <v>3572977.82</v>
      </c>
      <c r="G100" s="755">
        <f t="shared" ref="G100:S100" si="17">SUM(G92:G98)</f>
        <v>4127061.38</v>
      </c>
      <c r="H100" s="755">
        <f t="shared" si="17"/>
        <v>3606828.6100000003</v>
      </c>
      <c r="I100" s="755">
        <f t="shared" si="17"/>
        <v>1700315.7999999998</v>
      </c>
      <c r="J100" s="755">
        <f t="shared" si="17"/>
        <v>1456366.25</v>
      </c>
      <c r="K100" s="755">
        <f t="shared" si="17"/>
        <v>2110392.84</v>
      </c>
      <c r="L100" s="755">
        <f t="shared" si="17"/>
        <v>2112776.0299999998</v>
      </c>
      <c r="M100" s="755">
        <f t="shared" si="17"/>
        <v>2520228.5099999998</v>
      </c>
      <c r="N100" s="755">
        <f t="shared" si="17"/>
        <v>3020096.9600000004</v>
      </c>
      <c r="O100" s="755">
        <f t="shared" si="17"/>
        <v>3896683.2100000004</v>
      </c>
      <c r="P100" s="755">
        <f t="shared" si="17"/>
        <v>3566283.27</v>
      </c>
      <c r="Q100" s="755">
        <f t="shared" si="17"/>
        <v>4421590.8099999996</v>
      </c>
      <c r="R100" s="755">
        <f t="shared" si="17"/>
        <v>2456769.61</v>
      </c>
      <c r="S100" s="755">
        <f t="shared" si="17"/>
        <v>2962791.4487500004</v>
      </c>
      <c r="T100" s="707"/>
      <c r="U100" s="742"/>
      <c r="V100" s="742"/>
      <c r="W100" s="742"/>
      <c r="X100" s="743">
        <f>S100</f>
        <v>2962791.4487500004</v>
      </c>
      <c r="Y100" s="720"/>
      <c r="Z100" s="720"/>
    </row>
    <row r="101" spans="1:26">
      <c r="A101" s="727"/>
      <c r="B101" s="727"/>
      <c r="C101" s="728">
        <v>92</v>
      </c>
      <c r="D101" s="729"/>
      <c r="E101" s="785"/>
      <c r="F101" s="731"/>
      <c r="G101" s="813"/>
      <c r="H101" s="733"/>
      <c r="I101" s="733"/>
      <c r="J101" s="734"/>
      <c r="K101" s="735"/>
      <c r="L101" s="736"/>
      <c r="M101" s="737"/>
      <c r="N101" s="738"/>
      <c r="O101" s="739"/>
      <c r="P101" s="740"/>
      <c r="Q101" s="814"/>
      <c r="R101" s="731"/>
      <c r="S101" s="733">
        <f t="shared" si="13"/>
        <v>0</v>
      </c>
      <c r="T101" s="707"/>
      <c r="U101" s="742"/>
      <c r="V101" s="742"/>
      <c r="W101" s="742"/>
      <c r="X101" s="742"/>
      <c r="Y101" s="720"/>
      <c r="Z101" s="720"/>
    </row>
    <row r="102" spans="1:26">
      <c r="A102" s="727" t="s">
        <v>523</v>
      </c>
      <c r="B102" s="727" t="s">
        <v>405</v>
      </c>
      <c r="C102" s="728">
        <v>93</v>
      </c>
      <c r="D102" s="729" t="str">
        <f>+A102</f>
        <v>1732</v>
      </c>
      <c r="E102" s="730" t="s">
        <v>524</v>
      </c>
      <c r="F102" s="731">
        <v>28632000.649999999</v>
      </c>
      <c r="G102" s="813">
        <v>24626907.170000002</v>
      </c>
      <c r="H102" s="733">
        <v>19166796.309999999</v>
      </c>
      <c r="I102" s="733">
        <v>14583859.439999999</v>
      </c>
      <c r="J102" s="734">
        <v>8270183.4000000004</v>
      </c>
      <c r="K102" s="735">
        <v>6024538.3700000001</v>
      </c>
      <c r="L102" s="736">
        <v>4191688.79</v>
      </c>
      <c r="M102" s="737">
        <v>3736720.02</v>
      </c>
      <c r="N102" s="738">
        <v>3243044.16</v>
      </c>
      <c r="O102" s="739">
        <v>4215111.09</v>
      </c>
      <c r="P102" s="740">
        <v>10117737.65</v>
      </c>
      <c r="Q102" s="814">
        <v>16812988.379999999</v>
      </c>
      <c r="R102" s="731">
        <v>32058629.699999999</v>
      </c>
      <c r="S102" s="733">
        <f t="shared" si="13"/>
        <v>12111240.829583332</v>
      </c>
      <c r="T102" s="707"/>
      <c r="U102" s="742"/>
      <c r="V102" s="742"/>
      <c r="W102" s="742"/>
      <c r="X102" s="742"/>
      <c r="Y102" s="720"/>
      <c r="Z102" s="720"/>
    </row>
    <row r="103" spans="1:26">
      <c r="A103" s="727" t="s">
        <v>525</v>
      </c>
      <c r="B103" s="727" t="s">
        <v>405</v>
      </c>
      <c r="C103" s="728">
        <v>94</v>
      </c>
      <c r="D103" s="729" t="str">
        <f>+A103</f>
        <v>1734</v>
      </c>
      <c r="E103" s="730" t="s">
        <v>526</v>
      </c>
      <c r="F103" s="757">
        <v>2108331.48</v>
      </c>
      <c r="G103" s="757">
        <v>2156906.9</v>
      </c>
      <c r="H103" s="757">
        <v>2045199.74</v>
      </c>
      <c r="I103" s="757">
        <v>1946728.53</v>
      </c>
      <c r="J103" s="757">
        <v>1855546.01</v>
      </c>
      <c r="K103" s="757">
        <v>1897697.16</v>
      </c>
      <c r="L103" s="757">
        <v>1936068.23</v>
      </c>
      <c r="M103" s="757">
        <v>1986725.15</v>
      </c>
      <c r="N103" s="757">
        <v>2148185.7000000002</v>
      </c>
      <c r="O103" s="759">
        <v>2331237.4</v>
      </c>
      <c r="P103" s="757">
        <v>2288200.34</v>
      </c>
      <c r="Q103" s="757">
        <v>2267355.81</v>
      </c>
      <c r="R103" s="757">
        <v>2463652.9500000002</v>
      </c>
      <c r="S103" s="733">
        <f t="shared" si="13"/>
        <v>2095486.9320833331</v>
      </c>
      <c r="T103" s="707"/>
      <c r="U103" s="742"/>
      <c r="V103" s="742"/>
      <c r="W103" s="742"/>
      <c r="X103" s="742"/>
      <c r="Y103" s="720"/>
      <c r="Z103" s="720"/>
    </row>
    <row r="104" spans="1:26">
      <c r="A104" s="727"/>
      <c r="B104" s="727"/>
      <c r="C104" s="728">
        <v>95</v>
      </c>
      <c r="D104" s="729"/>
      <c r="E104" s="730" t="s">
        <v>527</v>
      </c>
      <c r="F104" s="755">
        <f>+F102+F103</f>
        <v>30740332.129999999</v>
      </c>
      <c r="G104" s="755">
        <f t="shared" ref="G104:S104" si="18">+G102+G103</f>
        <v>26783814.07</v>
      </c>
      <c r="H104" s="755">
        <f t="shared" si="18"/>
        <v>21211996.049999997</v>
      </c>
      <c r="I104" s="755">
        <f t="shared" si="18"/>
        <v>16530587.969999999</v>
      </c>
      <c r="J104" s="755">
        <f t="shared" si="18"/>
        <v>10125729.41</v>
      </c>
      <c r="K104" s="755">
        <f t="shared" si="18"/>
        <v>7922235.5300000003</v>
      </c>
      <c r="L104" s="755">
        <f t="shared" si="18"/>
        <v>6127757.0199999996</v>
      </c>
      <c r="M104" s="755">
        <f t="shared" si="18"/>
        <v>5723445.1699999999</v>
      </c>
      <c r="N104" s="755">
        <f t="shared" si="18"/>
        <v>5391229.8600000003</v>
      </c>
      <c r="O104" s="755">
        <f t="shared" si="18"/>
        <v>6546348.4900000002</v>
      </c>
      <c r="P104" s="755">
        <f t="shared" si="18"/>
        <v>12405937.99</v>
      </c>
      <c r="Q104" s="755">
        <f t="shared" si="18"/>
        <v>19080344.189999998</v>
      </c>
      <c r="R104" s="755">
        <f t="shared" si="18"/>
        <v>34522282.649999999</v>
      </c>
      <c r="S104" s="755">
        <f t="shared" si="18"/>
        <v>14206727.761666665</v>
      </c>
      <c r="T104" s="707"/>
      <c r="U104" s="743"/>
      <c r="V104" s="742"/>
      <c r="W104" s="742"/>
      <c r="X104" s="743">
        <f>S104</f>
        <v>14206727.761666665</v>
      </c>
      <c r="Y104" s="720"/>
      <c r="Z104" s="720"/>
    </row>
    <row r="105" spans="1:26">
      <c r="A105" s="727"/>
      <c r="B105" s="727"/>
      <c r="C105" s="728">
        <v>96</v>
      </c>
      <c r="D105" s="729"/>
      <c r="E105" s="785"/>
      <c r="F105" s="731"/>
      <c r="G105" s="813"/>
      <c r="H105" s="733"/>
      <c r="I105" s="733"/>
      <c r="J105" s="734"/>
      <c r="K105" s="735"/>
      <c r="L105" s="736"/>
      <c r="M105" s="737"/>
      <c r="N105" s="738"/>
      <c r="O105" s="739"/>
      <c r="P105" s="740"/>
      <c r="Q105" s="814"/>
      <c r="R105" s="731"/>
      <c r="S105" s="733">
        <f t="shared" si="13"/>
        <v>0</v>
      </c>
      <c r="T105" s="707"/>
      <c r="U105" s="742"/>
      <c r="V105" s="742"/>
      <c r="W105" s="742"/>
      <c r="X105" s="742"/>
      <c r="Y105" s="720"/>
      <c r="Z105" s="720"/>
    </row>
    <row r="106" spans="1:26">
      <c r="A106" s="727" t="s">
        <v>528</v>
      </c>
      <c r="B106" s="727" t="s">
        <v>529</v>
      </c>
      <c r="C106" s="728">
        <v>97</v>
      </c>
      <c r="D106" s="729" t="str">
        <f>A106&amp;"."&amp;B106</f>
        <v>1900.[/*6*]</v>
      </c>
      <c r="E106" s="730" t="s">
        <v>530</v>
      </c>
      <c r="F106" s="731">
        <v>1686166.53</v>
      </c>
      <c r="G106" s="813">
        <v>1768090.12</v>
      </c>
      <c r="H106" s="733">
        <v>1850013.76</v>
      </c>
      <c r="I106" s="733">
        <v>1949363.44</v>
      </c>
      <c r="J106" s="734">
        <v>2032506.72</v>
      </c>
      <c r="K106" s="735">
        <v>2115649.98</v>
      </c>
      <c r="L106" s="736">
        <v>2191057.2599999998</v>
      </c>
      <c r="M106" s="737">
        <v>2272911.42</v>
      </c>
      <c r="N106" s="738">
        <v>2354765.66</v>
      </c>
      <c r="O106" s="739">
        <v>2425610.87</v>
      </c>
      <c r="P106" s="740">
        <v>0</v>
      </c>
      <c r="Q106" s="814">
        <v>0</v>
      </c>
      <c r="R106" s="731">
        <v>0</v>
      </c>
      <c r="S106" s="733">
        <f t="shared" si="13"/>
        <v>1650254.3745833335</v>
      </c>
      <c r="T106" s="707"/>
      <c r="U106" s="742"/>
      <c r="V106" s="742"/>
      <c r="W106" s="743"/>
      <c r="X106" s="743">
        <f>S106</f>
        <v>1650254.3745833335</v>
      </c>
      <c r="Y106" s="720"/>
      <c r="Z106" s="720"/>
    </row>
    <row r="107" spans="1:26">
      <c r="A107" s="727" t="s">
        <v>528</v>
      </c>
      <c r="B107" s="727" t="s">
        <v>531</v>
      </c>
      <c r="C107" s="728">
        <v>98</v>
      </c>
      <c r="D107" s="729" t="str">
        <f>A107&amp;"."&amp;B107</f>
        <v>1900.[*6*]</v>
      </c>
      <c r="E107" s="730" t="s">
        <v>532</v>
      </c>
      <c r="F107" s="731">
        <v>24705631</v>
      </c>
      <c r="G107" s="813">
        <v>24634848.52</v>
      </c>
      <c r="H107" s="733">
        <v>24564065.989999998</v>
      </c>
      <c r="I107" s="733">
        <v>24640601.559999999</v>
      </c>
      <c r="J107" s="734">
        <v>24569226.82</v>
      </c>
      <c r="K107" s="735">
        <v>24497852.09</v>
      </c>
      <c r="L107" s="736">
        <v>24350956.390000001</v>
      </c>
      <c r="M107" s="737">
        <v>24266971.73</v>
      </c>
      <c r="N107" s="738">
        <v>24182987.050000001</v>
      </c>
      <c r="O107" s="739">
        <v>24107703.920000002</v>
      </c>
      <c r="P107" s="740">
        <v>26704947.27</v>
      </c>
      <c r="Q107" s="814">
        <v>26662110.949999999</v>
      </c>
      <c r="R107" s="731">
        <v>26488326.940000001</v>
      </c>
      <c r="S107" s="733">
        <f t="shared" si="13"/>
        <v>24898270.938333333</v>
      </c>
      <c r="T107" s="707"/>
      <c r="U107" s="742"/>
      <c r="V107" s="742"/>
      <c r="W107" s="743"/>
      <c r="X107" s="743">
        <f>S107</f>
        <v>24898270.938333333</v>
      </c>
      <c r="Y107" s="720"/>
      <c r="Z107" s="720"/>
    </row>
    <row r="108" spans="1:26">
      <c r="A108" s="727"/>
      <c r="B108" s="727"/>
      <c r="C108" s="728">
        <v>99</v>
      </c>
      <c r="D108" s="729"/>
      <c r="E108" s="785"/>
      <c r="F108" s="731"/>
      <c r="G108" s="813"/>
      <c r="H108" s="733"/>
      <c r="I108" s="733"/>
      <c r="J108" s="734"/>
      <c r="K108" s="735"/>
      <c r="L108" s="736"/>
      <c r="M108" s="737"/>
      <c r="N108" s="738"/>
      <c r="O108" s="739"/>
      <c r="P108" s="740"/>
      <c r="Q108" s="814"/>
      <c r="R108" s="731"/>
      <c r="S108" s="733">
        <f t="shared" si="13"/>
        <v>0</v>
      </c>
      <c r="T108" s="707"/>
      <c r="U108" s="742"/>
      <c r="V108" s="742"/>
      <c r="W108" s="742"/>
      <c r="X108" s="742"/>
      <c r="Y108" s="720"/>
      <c r="Z108" s="720"/>
    </row>
    <row r="109" spans="1:26">
      <c r="A109" s="727" t="s">
        <v>533</v>
      </c>
      <c r="B109" s="727" t="s">
        <v>405</v>
      </c>
      <c r="C109" s="728">
        <v>100</v>
      </c>
      <c r="D109" s="729" t="str">
        <f>+A109</f>
        <v>1910</v>
      </c>
      <c r="E109" s="730" t="s">
        <v>534</v>
      </c>
      <c r="F109" s="731">
        <v>0</v>
      </c>
      <c r="G109" s="813">
        <v>0</v>
      </c>
      <c r="H109" s="733">
        <v>0</v>
      </c>
      <c r="I109" s="733">
        <v>0</v>
      </c>
      <c r="J109" s="734">
        <v>0</v>
      </c>
      <c r="K109" s="735">
        <v>0</v>
      </c>
      <c r="L109" s="736">
        <v>0</v>
      </c>
      <c r="M109" s="737">
        <v>0</v>
      </c>
      <c r="N109" s="738">
        <v>0</v>
      </c>
      <c r="O109" s="739">
        <v>0</v>
      </c>
      <c r="P109" s="740">
        <v>0</v>
      </c>
      <c r="Q109" s="814">
        <v>0</v>
      </c>
      <c r="R109" s="731">
        <v>318120.33</v>
      </c>
      <c r="S109" s="733">
        <f t="shared" si="13"/>
        <v>13255.01375</v>
      </c>
      <c r="T109" s="707"/>
      <c r="U109" s="742"/>
      <c r="V109" s="742"/>
      <c r="W109" s="743">
        <f>S109</f>
        <v>13255.01375</v>
      </c>
      <c r="X109" s="742"/>
      <c r="Y109" s="720"/>
      <c r="Z109" s="720"/>
    </row>
    <row r="110" spans="1:26">
      <c r="A110" s="727"/>
      <c r="B110" s="727"/>
      <c r="C110" s="728">
        <v>101</v>
      </c>
      <c r="D110" s="729"/>
      <c r="E110" s="785"/>
      <c r="F110" s="731"/>
      <c r="G110" s="813"/>
      <c r="H110" s="733"/>
      <c r="I110" s="733"/>
      <c r="J110" s="734"/>
      <c r="K110" s="735"/>
      <c r="L110" s="736"/>
      <c r="M110" s="737"/>
      <c r="N110" s="738"/>
      <c r="O110" s="739"/>
      <c r="P110" s="740"/>
      <c r="Q110" s="814"/>
      <c r="R110" s="731"/>
      <c r="S110" s="733">
        <f t="shared" si="13"/>
        <v>0</v>
      </c>
      <c r="T110" s="707"/>
      <c r="U110" s="742"/>
      <c r="V110" s="742"/>
      <c r="W110" s="742"/>
      <c r="X110" s="742"/>
      <c r="Y110" s="720"/>
      <c r="Z110" s="720"/>
    </row>
    <row r="111" spans="1:26">
      <c r="A111" s="727" t="s">
        <v>535</v>
      </c>
      <c r="B111" s="727" t="s">
        <v>536</v>
      </c>
      <c r="C111" s="728">
        <v>102</v>
      </c>
      <c r="D111" s="729" t="str">
        <f t="shared" ref="D111:D123" si="19">A111&amp;"."&amp;B111</f>
        <v>1810.12</v>
      </c>
      <c r="E111" s="730" t="s">
        <v>537</v>
      </c>
      <c r="F111" s="731">
        <v>78604.129999999903</v>
      </c>
      <c r="G111" s="813">
        <v>78044.67</v>
      </c>
      <c r="H111" s="733">
        <v>77485.210000000006</v>
      </c>
      <c r="I111" s="733">
        <v>76925.75</v>
      </c>
      <c r="J111" s="734">
        <v>76366.289999999994</v>
      </c>
      <c r="K111" s="735">
        <v>75806.83</v>
      </c>
      <c r="L111" s="736">
        <v>75247.37</v>
      </c>
      <c r="M111" s="737">
        <v>74687.91</v>
      </c>
      <c r="N111" s="738">
        <v>74128.45</v>
      </c>
      <c r="O111" s="739">
        <v>73568.989999999903</v>
      </c>
      <c r="P111" s="740">
        <v>73009.529999999897</v>
      </c>
      <c r="Q111" s="814">
        <v>72450.069999999905</v>
      </c>
      <c r="R111" s="731">
        <v>71890.609999999899</v>
      </c>
      <c r="S111" s="733">
        <f t="shared" si="13"/>
        <v>75247.369999999966</v>
      </c>
      <c r="T111" s="707"/>
      <c r="U111" s="742"/>
      <c r="V111" s="742"/>
      <c r="W111" s="742"/>
      <c r="X111" s="742"/>
      <c r="Y111" s="720"/>
      <c r="Z111" s="720"/>
    </row>
    <row r="112" spans="1:26">
      <c r="A112" s="727" t="s">
        <v>535</v>
      </c>
      <c r="B112" s="727" t="s">
        <v>538</v>
      </c>
      <c r="C112" s="728">
        <v>103</v>
      </c>
      <c r="D112" s="729" t="str">
        <f t="shared" si="19"/>
        <v>1810.13</v>
      </c>
      <c r="E112" s="730" t="s">
        <v>539</v>
      </c>
      <c r="F112" s="731">
        <v>66295.419999999896</v>
      </c>
      <c r="G112" s="813">
        <v>65875.820000000007</v>
      </c>
      <c r="H112" s="733">
        <v>65456.22</v>
      </c>
      <c r="I112" s="733">
        <v>65036.62</v>
      </c>
      <c r="J112" s="734">
        <v>64617.02</v>
      </c>
      <c r="K112" s="735">
        <v>64197.42</v>
      </c>
      <c r="L112" s="736">
        <v>63777.82</v>
      </c>
      <c r="M112" s="737">
        <v>63358.22</v>
      </c>
      <c r="N112" s="738">
        <v>62938.62</v>
      </c>
      <c r="O112" s="739">
        <v>62519.02</v>
      </c>
      <c r="P112" s="740">
        <v>62099.42</v>
      </c>
      <c r="Q112" s="814">
        <v>61679.82</v>
      </c>
      <c r="R112" s="731">
        <v>61260.22</v>
      </c>
      <c r="S112" s="733">
        <f t="shared" si="13"/>
        <v>63777.82</v>
      </c>
      <c r="T112" s="707"/>
      <c r="U112" s="742"/>
      <c r="V112" s="742"/>
      <c r="W112" s="742"/>
      <c r="X112" s="742"/>
      <c r="Y112" s="720"/>
      <c r="Z112" s="720"/>
    </row>
    <row r="113" spans="1:26">
      <c r="A113" s="727" t="s">
        <v>535</v>
      </c>
      <c r="B113" s="727" t="s">
        <v>540</v>
      </c>
      <c r="C113" s="728">
        <v>104</v>
      </c>
      <c r="D113" s="729" t="str">
        <f t="shared" si="19"/>
        <v>1810.17</v>
      </c>
      <c r="E113" s="730" t="s">
        <v>541</v>
      </c>
      <c r="F113" s="731">
        <v>1240690.05</v>
      </c>
      <c r="G113" s="813">
        <v>1235272.18</v>
      </c>
      <c r="H113" s="733">
        <v>1229854.31</v>
      </c>
      <c r="I113" s="733">
        <v>1224436.44</v>
      </c>
      <c r="J113" s="734">
        <v>1219018.57</v>
      </c>
      <c r="K113" s="735">
        <v>1213600.7</v>
      </c>
      <c r="L113" s="736">
        <v>1208182.83</v>
      </c>
      <c r="M113" s="737">
        <v>1202764.96</v>
      </c>
      <c r="N113" s="738">
        <v>1197347.0900000001</v>
      </c>
      <c r="O113" s="739">
        <v>1191929.22</v>
      </c>
      <c r="P113" s="740">
        <v>1186511.3500000001</v>
      </c>
      <c r="Q113" s="814">
        <v>1181093.48</v>
      </c>
      <c r="R113" s="731">
        <v>1175675.6100000001</v>
      </c>
      <c r="S113" s="733">
        <f t="shared" si="13"/>
        <v>1208182.83</v>
      </c>
      <c r="T113" s="707"/>
      <c r="U113" s="742"/>
      <c r="V113" s="742"/>
      <c r="W113" s="742"/>
      <c r="X113" s="742"/>
      <c r="Y113" s="720"/>
      <c r="Z113" s="720"/>
    </row>
    <row r="114" spans="1:26">
      <c r="A114" s="727" t="s">
        <v>535</v>
      </c>
      <c r="B114" s="727" t="s">
        <v>542</v>
      </c>
      <c r="C114" s="728">
        <v>105</v>
      </c>
      <c r="D114" s="729" t="str">
        <f t="shared" si="19"/>
        <v>1810.18</v>
      </c>
      <c r="E114" s="730" t="s">
        <v>543</v>
      </c>
      <c r="F114" s="731">
        <v>73826.64</v>
      </c>
      <c r="G114" s="813">
        <v>72478.58</v>
      </c>
      <c r="H114" s="733">
        <v>71130.52</v>
      </c>
      <c r="I114" s="733">
        <v>69782.460000000006</v>
      </c>
      <c r="J114" s="734">
        <v>68434.399999999994</v>
      </c>
      <c r="K114" s="735">
        <v>67086.34</v>
      </c>
      <c r="L114" s="736">
        <v>65738.28</v>
      </c>
      <c r="M114" s="737">
        <v>64390.22</v>
      </c>
      <c r="N114" s="738">
        <v>63042.16</v>
      </c>
      <c r="O114" s="739">
        <v>61694.1</v>
      </c>
      <c r="P114" s="740">
        <v>60346.04</v>
      </c>
      <c r="Q114" s="814">
        <v>58997.98</v>
      </c>
      <c r="R114" s="731">
        <v>57649.919999999998</v>
      </c>
      <c r="S114" s="733">
        <f t="shared" si="13"/>
        <v>65738.28</v>
      </c>
      <c r="T114" s="707"/>
      <c r="U114" s="742"/>
      <c r="V114" s="742"/>
      <c r="W114" s="742"/>
      <c r="X114" s="742"/>
      <c r="Y114" s="720"/>
      <c r="Z114" s="720"/>
    </row>
    <row r="115" spans="1:26">
      <c r="A115" s="727" t="s">
        <v>535</v>
      </c>
      <c r="B115" s="727" t="s">
        <v>544</v>
      </c>
      <c r="C115" s="728">
        <v>106</v>
      </c>
      <c r="D115" s="729" t="str">
        <f t="shared" si="19"/>
        <v>1810.19</v>
      </c>
      <c r="E115" s="730" t="s">
        <v>545</v>
      </c>
      <c r="F115" s="731">
        <v>164515.07999999999</v>
      </c>
      <c r="G115" s="813">
        <v>163867.57999999999</v>
      </c>
      <c r="H115" s="733">
        <v>163220.07999999999</v>
      </c>
      <c r="I115" s="733">
        <v>162572.57999999999</v>
      </c>
      <c r="J115" s="734">
        <v>161925.07999999999</v>
      </c>
      <c r="K115" s="735">
        <v>161277.57999999999</v>
      </c>
      <c r="L115" s="736">
        <v>160630.07999999999</v>
      </c>
      <c r="M115" s="737">
        <v>159982.57999999999</v>
      </c>
      <c r="N115" s="738">
        <v>159335.07999999999</v>
      </c>
      <c r="O115" s="739">
        <v>158687.57999999999</v>
      </c>
      <c r="P115" s="740">
        <v>158040.07999999999</v>
      </c>
      <c r="Q115" s="814">
        <v>157392.57999999999</v>
      </c>
      <c r="R115" s="731">
        <v>156745.07999999999</v>
      </c>
      <c r="S115" s="733">
        <f t="shared" si="13"/>
        <v>160630.08000000002</v>
      </c>
      <c r="T115" s="707"/>
      <c r="U115" s="742"/>
      <c r="V115" s="742"/>
      <c r="W115" s="742"/>
      <c r="X115" s="742"/>
      <c r="Y115" s="720"/>
      <c r="Z115" s="720"/>
    </row>
    <row r="116" spans="1:26">
      <c r="A116" s="727" t="s">
        <v>535</v>
      </c>
      <c r="B116" s="727" t="s">
        <v>546</v>
      </c>
      <c r="C116" s="728">
        <v>107</v>
      </c>
      <c r="D116" s="729" t="str">
        <f t="shared" si="19"/>
        <v>1810.20</v>
      </c>
      <c r="E116" s="818" t="s">
        <v>547</v>
      </c>
      <c r="F116" s="731">
        <v>120596.71</v>
      </c>
      <c r="G116" s="813">
        <v>119548.04</v>
      </c>
      <c r="H116" s="733">
        <v>118499.37</v>
      </c>
      <c r="I116" s="733">
        <v>117450.7</v>
      </c>
      <c r="J116" s="734">
        <v>116402.03</v>
      </c>
      <c r="K116" s="735">
        <v>115353.36</v>
      </c>
      <c r="L116" s="736">
        <v>114304.69</v>
      </c>
      <c r="M116" s="737">
        <v>113256.02</v>
      </c>
      <c r="N116" s="738">
        <v>112207.35</v>
      </c>
      <c r="O116" s="739">
        <v>111158.68</v>
      </c>
      <c r="P116" s="740">
        <v>110110.01</v>
      </c>
      <c r="Q116" s="814">
        <v>109061.34</v>
      </c>
      <c r="R116" s="731">
        <v>108012.67</v>
      </c>
      <c r="S116" s="733">
        <f t="shared" si="13"/>
        <v>114304.69</v>
      </c>
      <c r="T116" s="707"/>
      <c r="U116" s="742"/>
      <c r="V116" s="742"/>
      <c r="W116" s="742"/>
      <c r="X116" s="742"/>
      <c r="Y116" s="720"/>
      <c r="Z116" s="720"/>
    </row>
    <row r="117" spans="1:26">
      <c r="A117" s="727" t="s">
        <v>535</v>
      </c>
      <c r="B117" s="727" t="s">
        <v>548</v>
      </c>
      <c r="C117" s="728">
        <v>108</v>
      </c>
      <c r="D117" s="729" t="str">
        <f t="shared" si="19"/>
        <v>1810.21</v>
      </c>
      <c r="E117" s="818" t="s">
        <v>549</v>
      </c>
      <c r="F117" s="731">
        <v>126678.97</v>
      </c>
      <c r="G117" s="813">
        <v>125840.04</v>
      </c>
      <c r="H117" s="733">
        <v>125001.11</v>
      </c>
      <c r="I117" s="733">
        <v>124162.18</v>
      </c>
      <c r="J117" s="734">
        <v>123323.25</v>
      </c>
      <c r="K117" s="735">
        <v>122484.32</v>
      </c>
      <c r="L117" s="736">
        <v>121645.39</v>
      </c>
      <c r="M117" s="737">
        <v>120806.46</v>
      </c>
      <c r="N117" s="738">
        <v>119967.53</v>
      </c>
      <c r="O117" s="739">
        <v>119128.6</v>
      </c>
      <c r="P117" s="740">
        <v>118289.67</v>
      </c>
      <c r="Q117" s="814">
        <v>117450.74</v>
      </c>
      <c r="R117" s="731">
        <v>116611.81</v>
      </c>
      <c r="S117" s="733">
        <f t="shared" si="13"/>
        <v>121645.38999999997</v>
      </c>
      <c r="T117" s="707"/>
      <c r="U117" s="742"/>
      <c r="V117" s="742"/>
      <c r="W117" s="742"/>
      <c r="X117" s="742"/>
      <c r="Y117" s="720"/>
      <c r="Z117" s="720"/>
    </row>
    <row r="118" spans="1:26">
      <c r="A118" s="727" t="s">
        <v>535</v>
      </c>
      <c r="B118" s="727" t="s">
        <v>509</v>
      </c>
      <c r="C118" s="728">
        <v>109</v>
      </c>
      <c r="D118" s="729" t="str">
        <f t="shared" si="19"/>
        <v>1810.22</v>
      </c>
      <c r="E118" s="818" t="s">
        <v>550</v>
      </c>
      <c r="F118" s="760">
        <v>103750.1</v>
      </c>
      <c r="G118" s="813">
        <v>100291.77</v>
      </c>
      <c r="H118" s="762">
        <v>96833.44</v>
      </c>
      <c r="I118" s="762">
        <v>93375.11</v>
      </c>
      <c r="J118" s="763">
        <v>89916.78</v>
      </c>
      <c r="K118" s="764">
        <v>86458.45</v>
      </c>
      <c r="L118" s="765">
        <v>83000.12</v>
      </c>
      <c r="M118" s="766">
        <v>79541.789999999994</v>
      </c>
      <c r="N118" s="767">
        <v>76083.460000000006</v>
      </c>
      <c r="O118" s="768">
        <v>72625.13</v>
      </c>
      <c r="P118" s="769">
        <v>69166.8</v>
      </c>
      <c r="Q118" s="819">
        <v>65708.47</v>
      </c>
      <c r="R118" s="760">
        <v>62250.14</v>
      </c>
      <c r="S118" s="733">
        <f t="shared" si="13"/>
        <v>83000.12</v>
      </c>
      <c r="T118" s="707"/>
      <c r="U118" s="742"/>
      <c r="V118" s="742"/>
      <c r="W118" s="742"/>
      <c r="X118" s="742"/>
      <c r="Y118" s="720"/>
      <c r="Z118" s="720"/>
    </row>
    <row r="119" spans="1:26">
      <c r="A119" s="727" t="s">
        <v>535</v>
      </c>
      <c r="B119" s="727" t="s">
        <v>551</v>
      </c>
      <c r="C119" s="728">
        <v>110</v>
      </c>
      <c r="D119" s="729" t="str">
        <f t="shared" si="19"/>
        <v>1810.23</v>
      </c>
      <c r="E119" s="818" t="s">
        <v>552</v>
      </c>
      <c r="F119" s="768">
        <v>61144.39</v>
      </c>
      <c r="G119" s="739">
        <v>60967.67</v>
      </c>
      <c r="H119" s="739">
        <v>60790.95</v>
      </c>
      <c r="I119" s="739">
        <v>59506.01</v>
      </c>
      <c r="J119" s="808">
        <v>59332.52</v>
      </c>
      <c r="K119" s="808">
        <v>59159.03</v>
      </c>
      <c r="L119" s="739">
        <v>58985.54</v>
      </c>
      <c r="M119" s="739">
        <v>58812.05</v>
      </c>
      <c r="N119" s="739">
        <v>58638.559999999998</v>
      </c>
      <c r="O119" s="739">
        <v>58465.07</v>
      </c>
      <c r="P119" s="768">
        <v>58291.58</v>
      </c>
      <c r="Q119" s="768">
        <v>58118.09</v>
      </c>
      <c r="R119" s="768">
        <v>57944.6</v>
      </c>
      <c r="S119" s="733">
        <f t="shared" si="13"/>
        <v>59217.630416666652</v>
      </c>
      <c r="T119" s="707"/>
      <c r="U119" s="742"/>
      <c r="V119" s="742"/>
      <c r="W119" s="742"/>
      <c r="X119" s="742"/>
      <c r="Y119" s="720"/>
      <c r="Z119" s="720"/>
    </row>
    <row r="120" spans="1:26">
      <c r="A120" s="727" t="s">
        <v>535</v>
      </c>
      <c r="B120" s="727" t="s">
        <v>553</v>
      </c>
      <c r="C120" s="728">
        <v>111</v>
      </c>
      <c r="D120" s="729" t="str">
        <f t="shared" si="19"/>
        <v>1810.24</v>
      </c>
      <c r="E120" s="818" t="s">
        <v>554</v>
      </c>
      <c r="F120" s="768">
        <v>60452.25</v>
      </c>
      <c r="G120" s="739">
        <v>60322.52</v>
      </c>
      <c r="H120" s="739">
        <v>60192.79</v>
      </c>
      <c r="I120" s="739">
        <v>58941.24</v>
      </c>
      <c r="J120" s="808">
        <v>58813.94</v>
      </c>
      <c r="K120" s="808">
        <v>58686.64</v>
      </c>
      <c r="L120" s="739">
        <v>58559.34</v>
      </c>
      <c r="M120" s="739">
        <v>58432.04</v>
      </c>
      <c r="N120" s="739">
        <v>58304.74</v>
      </c>
      <c r="O120" s="768">
        <v>58177.440000000002</v>
      </c>
      <c r="P120" s="768">
        <v>58050.14</v>
      </c>
      <c r="Q120" s="768">
        <v>57922.84</v>
      </c>
      <c r="R120" s="768">
        <v>57795.54</v>
      </c>
      <c r="S120" s="733">
        <f t="shared" si="13"/>
        <v>58793.963749999995</v>
      </c>
      <c r="T120" s="707"/>
      <c r="U120" s="742"/>
      <c r="V120" s="742"/>
      <c r="W120" s="742"/>
      <c r="X120" s="742"/>
      <c r="Y120" s="720"/>
      <c r="Z120" s="720"/>
    </row>
    <row r="121" spans="1:26">
      <c r="A121" s="727" t="s">
        <v>535</v>
      </c>
      <c r="B121" s="727" t="s">
        <v>555</v>
      </c>
      <c r="C121" s="728">
        <v>112</v>
      </c>
      <c r="D121" s="729" t="str">
        <f t="shared" si="19"/>
        <v>1810.25</v>
      </c>
      <c r="E121" s="818" t="s">
        <v>554</v>
      </c>
      <c r="F121" s="768">
        <v>61497.83</v>
      </c>
      <c r="G121" s="739">
        <v>61321.11</v>
      </c>
      <c r="H121" s="739">
        <v>61144.39</v>
      </c>
      <c r="I121" s="739">
        <v>59852.99</v>
      </c>
      <c r="J121" s="808">
        <v>59679.5</v>
      </c>
      <c r="K121" s="808">
        <v>59506.01</v>
      </c>
      <c r="L121" s="739">
        <v>59332.52</v>
      </c>
      <c r="M121" s="739">
        <v>59159.03</v>
      </c>
      <c r="N121" s="739">
        <v>58985.54</v>
      </c>
      <c r="O121" s="768">
        <v>58812.05</v>
      </c>
      <c r="P121" s="768">
        <v>58638.559999999998</v>
      </c>
      <c r="Q121" s="768">
        <v>58465.07</v>
      </c>
      <c r="R121" s="768">
        <v>58291.58</v>
      </c>
      <c r="S121" s="733">
        <f t="shared" si="13"/>
        <v>59565.956249999988</v>
      </c>
      <c r="T121" s="707"/>
      <c r="U121" s="742"/>
      <c r="V121" s="742"/>
      <c r="W121" s="742"/>
      <c r="X121" s="742"/>
      <c r="Y121" s="720"/>
      <c r="Z121" s="720"/>
    </row>
    <row r="122" spans="1:26">
      <c r="A122" s="727" t="s">
        <v>535</v>
      </c>
      <c r="B122" s="727" t="s">
        <v>556</v>
      </c>
      <c r="C122" s="728">
        <v>113</v>
      </c>
      <c r="D122" s="729" t="str">
        <f t="shared" si="19"/>
        <v>1810.26</v>
      </c>
      <c r="E122" s="818" t="s">
        <v>554</v>
      </c>
      <c r="F122" s="768">
        <v>60711.71</v>
      </c>
      <c r="G122" s="768">
        <v>60581.98</v>
      </c>
      <c r="H122" s="768">
        <v>60452.25</v>
      </c>
      <c r="I122" s="768">
        <v>59195.839999999997</v>
      </c>
      <c r="J122" s="820">
        <v>59068.54</v>
      </c>
      <c r="K122" s="820">
        <v>58941.24</v>
      </c>
      <c r="L122" s="768">
        <v>58813.94</v>
      </c>
      <c r="M122" s="768">
        <v>58686.64</v>
      </c>
      <c r="N122" s="768">
        <v>58559.34</v>
      </c>
      <c r="O122" s="768">
        <v>58432.04</v>
      </c>
      <c r="P122" s="768">
        <v>58304.74</v>
      </c>
      <c r="Q122" s="768">
        <v>58177.440000000002</v>
      </c>
      <c r="R122" s="768">
        <v>58050.14</v>
      </c>
      <c r="S122" s="733">
        <f t="shared" si="13"/>
        <v>59049.576250000006</v>
      </c>
      <c r="T122" s="707"/>
      <c r="U122" s="742"/>
      <c r="V122" s="742"/>
      <c r="W122" s="742"/>
      <c r="X122" s="742"/>
      <c r="Y122" s="720"/>
      <c r="Z122" s="720"/>
    </row>
    <row r="123" spans="1:26">
      <c r="A123" s="727" t="s">
        <v>535</v>
      </c>
      <c r="B123" s="727" t="s">
        <v>1004</v>
      </c>
      <c r="C123" s="728">
        <v>114</v>
      </c>
      <c r="D123" s="729" t="str">
        <f t="shared" si="19"/>
        <v>1810.99</v>
      </c>
      <c r="E123" s="818" t="s">
        <v>1005</v>
      </c>
      <c r="F123" s="779"/>
      <c r="G123" s="739">
        <v>-2104120.19</v>
      </c>
      <c r="H123" s="779">
        <v>-2093227.2</v>
      </c>
      <c r="I123" s="779">
        <v>-2077862.81</v>
      </c>
      <c r="J123" s="821">
        <v>-2066981.14</v>
      </c>
      <c r="K123" s="821">
        <v>-2056099.47</v>
      </c>
      <c r="L123" s="779">
        <v>-2045217.8</v>
      </c>
      <c r="M123" s="779">
        <v>-2034336.13</v>
      </c>
      <c r="N123" s="779">
        <v>-2023454.46</v>
      </c>
      <c r="O123" s="779">
        <v>-2012572.79</v>
      </c>
      <c r="P123" s="779">
        <v>-2001691.12</v>
      </c>
      <c r="Q123" s="779">
        <v>-1990809.45</v>
      </c>
      <c r="R123" s="779">
        <v>-1979927.78</v>
      </c>
      <c r="S123" s="733">
        <f t="shared" si="13"/>
        <v>-1958028.0374999999</v>
      </c>
      <c r="T123" s="707"/>
      <c r="U123" s="742"/>
      <c r="V123" s="742"/>
      <c r="W123" s="742"/>
      <c r="X123" s="742"/>
      <c r="Y123" s="720"/>
      <c r="Z123" s="720"/>
    </row>
    <row r="124" spans="1:26">
      <c r="A124" s="727"/>
      <c r="B124" s="727"/>
      <c r="C124" s="728">
        <v>115</v>
      </c>
      <c r="D124" s="729"/>
      <c r="E124" s="822" t="s">
        <v>557</v>
      </c>
      <c r="F124" s="731">
        <f>SUM(F111:F123)</f>
        <v>2218763.2799999998</v>
      </c>
      <c r="G124" s="731">
        <f t="shared" ref="G124:S124" si="20">SUM(G111:G123)</f>
        <v>100291.77000000002</v>
      </c>
      <c r="H124" s="731">
        <f t="shared" si="20"/>
        <v>96833.440000000177</v>
      </c>
      <c r="I124" s="731">
        <f t="shared" si="20"/>
        <v>93375.10999999987</v>
      </c>
      <c r="J124" s="731">
        <f t="shared" si="20"/>
        <v>89916.780000000028</v>
      </c>
      <c r="K124" s="731">
        <f t="shared" si="20"/>
        <v>86458.450000000419</v>
      </c>
      <c r="L124" s="731">
        <f t="shared" si="20"/>
        <v>83000.120000000345</v>
      </c>
      <c r="M124" s="731">
        <f t="shared" si="20"/>
        <v>79541.790000000037</v>
      </c>
      <c r="N124" s="731">
        <f t="shared" si="20"/>
        <v>76083.460000000428</v>
      </c>
      <c r="O124" s="731">
        <f t="shared" si="20"/>
        <v>72625.130000000354</v>
      </c>
      <c r="P124" s="731">
        <f t="shared" si="20"/>
        <v>69166.800000000047</v>
      </c>
      <c r="Q124" s="731">
        <f t="shared" si="20"/>
        <v>65708.470000000205</v>
      </c>
      <c r="R124" s="731">
        <f t="shared" si="20"/>
        <v>62250.139999999898</v>
      </c>
      <c r="S124" s="731">
        <f t="shared" si="20"/>
        <v>171125.66916666715</v>
      </c>
      <c r="T124" s="707"/>
      <c r="U124" s="743">
        <f>S124</f>
        <v>171125.66916666715</v>
      </c>
      <c r="V124" s="743"/>
      <c r="W124" s="742"/>
      <c r="X124" s="742"/>
      <c r="Y124" s="720"/>
      <c r="Z124" s="720"/>
    </row>
    <row r="125" spans="1:26">
      <c r="A125" s="727"/>
      <c r="B125" s="727"/>
      <c r="C125" s="728">
        <v>116</v>
      </c>
      <c r="D125" s="729"/>
      <c r="E125" s="823"/>
      <c r="F125" s="731"/>
      <c r="G125" s="813"/>
      <c r="H125" s="733"/>
      <c r="I125" s="733"/>
      <c r="J125" s="734"/>
      <c r="K125" s="735"/>
      <c r="L125" s="736"/>
      <c r="M125" s="737"/>
      <c r="N125" s="738"/>
      <c r="O125" s="739"/>
      <c r="P125" s="740"/>
      <c r="Q125" s="814"/>
      <c r="R125" s="731"/>
      <c r="S125" s="733">
        <f t="shared" si="13"/>
        <v>0</v>
      </c>
      <c r="T125" s="707"/>
      <c r="U125" s="742"/>
      <c r="V125" s="742"/>
      <c r="W125" s="742"/>
      <c r="X125" s="742"/>
      <c r="Y125" s="720"/>
      <c r="Z125" s="720"/>
    </row>
    <row r="126" spans="1:26">
      <c r="A126" s="727" t="s">
        <v>558</v>
      </c>
      <c r="B126" s="727" t="s">
        <v>519</v>
      </c>
      <c r="C126" s="728">
        <v>117</v>
      </c>
      <c r="D126" s="729" t="str">
        <f>A126&amp;"."&amp;B126</f>
        <v>1890.01</v>
      </c>
      <c r="E126" s="822" t="s">
        <v>559</v>
      </c>
      <c r="F126" s="731">
        <v>0</v>
      </c>
      <c r="G126" s="813">
        <v>0</v>
      </c>
      <c r="H126" s="733">
        <v>0</v>
      </c>
      <c r="I126" s="733">
        <v>0</v>
      </c>
      <c r="J126" s="734">
        <v>0</v>
      </c>
      <c r="K126" s="735">
        <v>0</v>
      </c>
      <c r="L126" s="736">
        <v>0</v>
      </c>
      <c r="M126" s="737">
        <v>0</v>
      </c>
      <c r="N126" s="738">
        <v>0</v>
      </c>
      <c r="O126" s="739">
        <v>0</v>
      </c>
      <c r="P126" s="740">
        <v>0</v>
      </c>
      <c r="Q126" s="814">
        <v>0</v>
      </c>
      <c r="R126" s="731">
        <v>0</v>
      </c>
      <c r="S126" s="733">
        <f t="shared" si="13"/>
        <v>0</v>
      </c>
      <c r="T126" s="707"/>
      <c r="U126" s="742"/>
      <c r="V126" s="742"/>
      <c r="W126" s="742"/>
      <c r="X126" s="742"/>
      <c r="Y126" s="720"/>
      <c r="Z126" s="720"/>
    </row>
    <row r="127" spans="1:26">
      <c r="A127" s="727" t="s">
        <v>558</v>
      </c>
      <c r="B127" s="727" t="s">
        <v>499</v>
      </c>
      <c r="C127" s="728">
        <v>118</v>
      </c>
      <c r="D127" s="729" t="str">
        <f>A127&amp;"."&amp;B127</f>
        <v>1890.02</v>
      </c>
      <c r="E127" s="730" t="s">
        <v>560</v>
      </c>
      <c r="F127" s="731">
        <v>0</v>
      </c>
      <c r="G127" s="813">
        <v>0</v>
      </c>
      <c r="H127" s="733">
        <v>0</v>
      </c>
      <c r="I127" s="733">
        <v>0</v>
      </c>
      <c r="J127" s="734">
        <v>0</v>
      </c>
      <c r="K127" s="735">
        <v>0</v>
      </c>
      <c r="L127" s="736">
        <v>0</v>
      </c>
      <c r="M127" s="737">
        <v>0</v>
      </c>
      <c r="N127" s="738">
        <v>0</v>
      </c>
      <c r="O127" s="739">
        <v>0</v>
      </c>
      <c r="P127" s="740">
        <v>0</v>
      </c>
      <c r="Q127" s="814">
        <v>0</v>
      </c>
      <c r="R127" s="731">
        <v>0</v>
      </c>
      <c r="S127" s="733">
        <f t="shared" si="13"/>
        <v>0</v>
      </c>
      <c r="T127" s="707"/>
      <c r="U127" s="742"/>
      <c r="V127" s="742"/>
      <c r="W127" s="742"/>
      <c r="X127" s="742"/>
      <c r="Y127" s="720"/>
      <c r="Z127" s="720"/>
    </row>
    <row r="128" spans="1:26">
      <c r="A128" s="727" t="s">
        <v>558</v>
      </c>
      <c r="B128" s="727" t="s">
        <v>561</v>
      </c>
      <c r="C128" s="728">
        <v>119</v>
      </c>
      <c r="D128" s="729" t="str">
        <f>A128&amp;"."&amp;B128</f>
        <v>1890.03</v>
      </c>
      <c r="E128" s="730" t="s">
        <v>562</v>
      </c>
      <c r="F128" s="731">
        <v>0</v>
      </c>
      <c r="G128" s="813">
        <v>0</v>
      </c>
      <c r="H128" s="733">
        <v>0</v>
      </c>
      <c r="I128" s="733">
        <v>0</v>
      </c>
      <c r="J128" s="734">
        <v>0</v>
      </c>
      <c r="K128" s="735">
        <v>0</v>
      </c>
      <c r="L128" s="736">
        <v>0</v>
      </c>
      <c r="M128" s="737">
        <v>0</v>
      </c>
      <c r="N128" s="738">
        <v>0</v>
      </c>
      <c r="O128" s="739">
        <v>0</v>
      </c>
      <c r="P128" s="740">
        <v>0</v>
      </c>
      <c r="Q128" s="814">
        <v>0</v>
      </c>
      <c r="R128" s="731">
        <v>0</v>
      </c>
      <c r="S128" s="733">
        <f t="shared" si="13"/>
        <v>0</v>
      </c>
      <c r="T128" s="707"/>
      <c r="U128" s="742"/>
      <c r="V128" s="742"/>
      <c r="W128" s="742"/>
      <c r="X128" s="742"/>
      <c r="Y128" s="720"/>
      <c r="Z128" s="720"/>
    </row>
    <row r="129" spans="1:26">
      <c r="A129" s="727" t="s">
        <v>558</v>
      </c>
      <c r="B129" s="727" t="s">
        <v>563</v>
      </c>
      <c r="C129" s="728">
        <v>120</v>
      </c>
      <c r="D129" s="729" t="str">
        <f>A129&amp;"."&amp;B129</f>
        <v>1890.04</v>
      </c>
      <c r="E129" s="730" t="s">
        <v>564</v>
      </c>
      <c r="F129" s="731">
        <v>867212.39</v>
      </c>
      <c r="G129" s="813">
        <v>863798.17</v>
      </c>
      <c r="H129" s="733">
        <v>860383.95</v>
      </c>
      <c r="I129" s="733">
        <v>856969.73</v>
      </c>
      <c r="J129" s="734">
        <v>853555.51</v>
      </c>
      <c r="K129" s="735">
        <v>850141.29</v>
      </c>
      <c r="L129" s="736">
        <v>846727.07</v>
      </c>
      <c r="M129" s="737">
        <v>843312.85</v>
      </c>
      <c r="N129" s="738">
        <v>839898.63</v>
      </c>
      <c r="O129" s="739">
        <v>836484.41</v>
      </c>
      <c r="P129" s="740">
        <v>833070.19</v>
      </c>
      <c r="Q129" s="814">
        <v>829655.97</v>
      </c>
      <c r="R129" s="731">
        <v>826241.75</v>
      </c>
      <c r="S129" s="733">
        <f t="shared" si="13"/>
        <v>846727.07000000018</v>
      </c>
      <c r="T129" s="707"/>
      <c r="U129" s="742"/>
      <c r="V129" s="742"/>
      <c r="W129" s="742"/>
      <c r="X129" s="742"/>
      <c r="Y129" s="720"/>
      <c r="Z129" s="720"/>
    </row>
    <row r="130" spans="1:26">
      <c r="A130" s="727" t="s">
        <v>558</v>
      </c>
      <c r="B130" s="727"/>
      <c r="C130" s="728">
        <v>121</v>
      </c>
      <c r="D130" s="729"/>
      <c r="E130" s="730" t="s">
        <v>565</v>
      </c>
      <c r="F130" s="731">
        <v>0</v>
      </c>
      <c r="G130" s="824">
        <v>0</v>
      </c>
      <c r="H130" s="733">
        <v>0</v>
      </c>
      <c r="I130" s="733">
        <v>0</v>
      </c>
      <c r="J130" s="734">
        <v>0</v>
      </c>
      <c r="K130" s="735">
        <v>0</v>
      </c>
      <c r="L130" s="736">
        <v>0</v>
      </c>
      <c r="M130" s="737">
        <v>0</v>
      </c>
      <c r="N130" s="738">
        <v>0</v>
      </c>
      <c r="O130" s="739">
        <v>0</v>
      </c>
      <c r="P130" s="740">
        <v>0</v>
      </c>
      <c r="Q130" s="819">
        <v>0</v>
      </c>
      <c r="R130" s="731">
        <v>0</v>
      </c>
      <c r="S130" s="733">
        <f t="shared" si="13"/>
        <v>0</v>
      </c>
      <c r="T130" s="707"/>
      <c r="U130" s="742"/>
      <c r="V130" s="742"/>
      <c r="W130" s="742"/>
      <c r="X130" s="742"/>
      <c r="Y130" s="720"/>
      <c r="Z130" s="720"/>
    </row>
    <row r="131" spans="1:26">
      <c r="A131" s="727"/>
      <c r="B131" s="727"/>
      <c r="C131" s="728">
        <v>122</v>
      </c>
      <c r="D131" s="729"/>
      <c r="E131" s="730"/>
      <c r="F131" s="744"/>
      <c r="G131" s="816"/>
      <c r="H131" s="746"/>
      <c r="I131" s="746"/>
      <c r="J131" s="747"/>
      <c r="K131" s="748"/>
      <c r="L131" s="749"/>
      <c r="M131" s="750"/>
      <c r="N131" s="751"/>
      <c r="O131" s="752"/>
      <c r="P131" s="753"/>
      <c r="Q131" s="817"/>
      <c r="R131" s="744"/>
      <c r="S131" s="733">
        <f t="shared" si="13"/>
        <v>0</v>
      </c>
      <c r="T131" s="707"/>
      <c r="U131" s="742"/>
      <c r="V131" s="742"/>
      <c r="W131" s="742"/>
      <c r="X131" s="742"/>
      <c r="Y131" s="720"/>
      <c r="Z131" s="720"/>
    </row>
    <row r="132" spans="1:26">
      <c r="A132" s="727"/>
      <c r="B132" s="727"/>
      <c r="C132" s="728">
        <v>123</v>
      </c>
      <c r="D132" s="729"/>
      <c r="E132" s="730" t="s">
        <v>557</v>
      </c>
      <c r="F132" s="755">
        <f>SUM(F126:F130)</f>
        <v>867212.39</v>
      </c>
      <c r="G132" s="755">
        <f t="shared" ref="G132:S132" si="21">SUM(G126:G130)</f>
        <v>863798.17</v>
      </c>
      <c r="H132" s="755">
        <f t="shared" si="21"/>
        <v>860383.95</v>
      </c>
      <c r="I132" s="755">
        <f t="shared" si="21"/>
        <v>856969.73</v>
      </c>
      <c r="J132" s="755">
        <f t="shared" si="21"/>
        <v>853555.51</v>
      </c>
      <c r="K132" s="755">
        <f t="shared" si="21"/>
        <v>850141.29</v>
      </c>
      <c r="L132" s="755">
        <f t="shared" si="21"/>
        <v>846727.07</v>
      </c>
      <c r="M132" s="755">
        <f t="shared" si="21"/>
        <v>843312.85</v>
      </c>
      <c r="N132" s="755">
        <f t="shared" si="21"/>
        <v>839898.63</v>
      </c>
      <c r="O132" s="755">
        <f t="shared" si="21"/>
        <v>836484.41</v>
      </c>
      <c r="P132" s="755">
        <f t="shared" si="21"/>
        <v>833070.19</v>
      </c>
      <c r="Q132" s="755">
        <f t="shared" si="21"/>
        <v>829655.97</v>
      </c>
      <c r="R132" s="755">
        <f t="shared" si="21"/>
        <v>826241.75</v>
      </c>
      <c r="S132" s="755">
        <f t="shared" si="21"/>
        <v>846727.07000000018</v>
      </c>
      <c r="T132" s="707"/>
      <c r="U132" s="743">
        <f>S132</f>
        <v>846727.07000000018</v>
      </c>
      <c r="V132" s="743"/>
      <c r="W132" s="742"/>
      <c r="X132" s="742"/>
      <c r="Y132" s="720"/>
      <c r="Z132" s="720"/>
    </row>
    <row r="133" spans="1:26">
      <c r="A133" s="727"/>
      <c r="B133" s="727"/>
      <c r="C133" s="728">
        <v>124</v>
      </c>
      <c r="D133" s="729"/>
      <c r="E133" s="785"/>
      <c r="F133" s="731"/>
      <c r="G133" s="813"/>
      <c r="H133" s="733"/>
      <c r="I133" s="733"/>
      <c r="J133" s="734"/>
      <c r="K133" s="735"/>
      <c r="L133" s="736"/>
      <c r="M133" s="737"/>
      <c r="N133" s="738"/>
      <c r="O133" s="739"/>
      <c r="P133" s="740"/>
      <c r="Q133" s="814"/>
      <c r="R133" s="731"/>
      <c r="S133" s="733">
        <f t="shared" si="13"/>
        <v>0</v>
      </c>
      <c r="T133" s="707"/>
      <c r="U133" s="742"/>
      <c r="V133" s="742"/>
      <c r="W133" s="742"/>
      <c r="X133" s="742"/>
      <c r="Y133" s="720"/>
      <c r="Z133" s="720"/>
    </row>
    <row r="134" spans="1:26">
      <c r="A134" s="727" t="s">
        <v>518</v>
      </c>
      <c r="B134" s="727" t="s">
        <v>499</v>
      </c>
      <c r="C134" s="728">
        <v>125</v>
      </c>
      <c r="D134" s="729" t="str">
        <f>A134&amp;"."&amp;B134</f>
        <v>1750.02</v>
      </c>
      <c r="E134" s="730" t="s">
        <v>566</v>
      </c>
      <c r="F134" s="731">
        <v>0</v>
      </c>
      <c r="G134" s="813">
        <v>0</v>
      </c>
      <c r="H134" s="733">
        <v>0</v>
      </c>
      <c r="I134" s="733">
        <v>0</v>
      </c>
      <c r="J134" s="734">
        <v>0</v>
      </c>
      <c r="K134" s="735">
        <v>0</v>
      </c>
      <c r="L134" s="736">
        <v>0</v>
      </c>
      <c r="M134" s="737">
        <v>0</v>
      </c>
      <c r="N134" s="738">
        <v>0</v>
      </c>
      <c r="O134" s="739">
        <v>0</v>
      </c>
      <c r="P134" s="740">
        <v>0</v>
      </c>
      <c r="Q134" s="814">
        <v>0</v>
      </c>
      <c r="R134" s="731">
        <v>0</v>
      </c>
      <c r="S134" s="733">
        <f t="shared" si="13"/>
        <v>0</v>
      </c>
      <c r="T134" s="707"/>
      <c r="U134" s="742"/>
      <c r="V134" s="742"/>
      <c r="W134" s="742"/>
      <c r="X134" s="742"/>
      <c r="Y134" s="720"/>
      <c r="Z134" s="720"/>
    </row>
    <row r="135" spans="1:26">
      <c r="A135" s="727" t="s">
        <v>506</v>
      </c>
      <c r="B135" s="727" t="s">
        <v>567</v>
      </c>
      <c r="C135" s="728">
        <v>126</v>
      </c>
      <c r="D135" s="729" t="str">
        <f>A135&amp;"."&amp;B135</f>
        <v>1659.[21]</v>
      </c>
      <c r="E135" s="730" t="s">
        <v>512</v>
      </c>
      <c r="F135" s="731">
        <v>0</v>
      </c>
      <c r="G135" s="813">
        <v>0</v>
      </c>
      <c r="H135" s="733">
        <v>0</v>
      </c>
      <c r="I135" s="733">
        <v>0</v>
      </c>
      <c r="J135" s="734">
        <v>0</v>
      </c>
      <c r="K135" s="735">
        <v>0</v>
      </c>
      <c r="L135" s="736">
        <v>0</v>
      </c>
      <c r="M135" s="737">
        <v>0</v>
      </c>
      <c r="N135" s="738">
        <v>0</v>
      </c>
      <c r="O135" s="739">
        <v>0</v>
      </c>
      <c r="P135" s="740">
        <v>0</v>
      </c>
      <c r="Q135" s="814">
        <v>0</v>
      </c>
      <c r="R135" s="731">
        <v>0</v>
      </c>
      <c r="S135" s="733">
        <f t="shared" si="13"/>
        <v>0</v>
      </c>
      <c r="T135" s="707"/>
      <c r="U135" s="742"/>
      <c r="V135" s="742"/>
      <c r="W135" s="742"/>
      <c r="X135" s="742"/>
      <c r="Y135" s="720"/>
      <c r="Z135" s="720"/>
    </row>
    <row r="136" spans="1:26">
      <c r="A136" s="727" t="s">
        <v>568</v>
      </c>
      <c r="B136" s="727" t="s">
        <v>405</v>
      </c>
      <c r="C136" s="728">
        <v>127</v>
      </c>
      <c r="D136" s="825" t="str">
        <f>+A136</f>
        <v>1823</v>
      </c>
      <c r="E136" s="730" t="s">
        <v>569</v>
      </c>
      <c r="F136" s="731">
        <v>51471119.32</v>
      </c>
      <c r="G136" s="813">
        <v>51474103.770000003</v>
      </c>
      <c r="H136" s="733">
        <v>51477105.710000001</v>
      </c>
      <c r="I136" s="733">
        <v>52358916.280000001</v>
      </c>
      <c r="J136" s="734">
        <v>52361745.270000003</v>
      </c>
      <c r="K136" s="735">
        <v>52364591.909999996</v>
      </c>
      <c r="L136" s="736">
        <v>52367591.340000004</v>
      </c>
      <c r="M136" s="737">
        <v>52400689.82</v>
      </c>
      <c r="N136" s="738">
        <v>52517843.890000001</v>
      </c>
      <c r="O136" s="739">
        <v>52859086.200000003</v>
      </c>
      <c r="P136" s="740">
        <v>53863817.210000001</v>
      </c>
      <c r="Q136" s="814">
        <v>52299664.549999997</v>
      </c>
      <c r="R136" s="731">
        <v>49627340.659999996</v>
      </c>
      <c r="S136" s="733">
        <f t="shared" si="13"/>
        <v>52241198.828333326</v>
      </c>
      <c r="T136" s="707"/>
      <c r="U136" s="742"/>
      <c r="V136" s="742"/>
      <c r="W136" s="742"/>
      <c r="X136" s="743">
        <f>S136</f>
        <v>52241198.828333326</v>
      </c>
      <c r="Y136" s="720"/>
      <c r="Z136" s="720"/>
    </row>
    <row r="137" spans="1:26">
      <c r="A137" s="727" t="s">
        <v>570</v>
      </c>
      <c r="B137" s="727" t="s">
        <v>405</v>
      </c>
      <c r="C137" s="728">
        <v>128</v>
      </c>
      <c r="D137" s="825" t="str">
        <f>+A137</f>
        <v>1840</v>
      </c>
      <c r="E137" s="730" t="s">
        <v>571</v>
      </c>
      <c r="F137" s="731">
        <v>-67632.320000000007</v>
      </c>
      <c r="G137" s="813">
        <v>-113186.96</v>
      </c>
      <c r="H137" s="733">
        <v>-63619.71</v>
      </c>
      <c r="I137" s="733">
        <v>-145417.21</v>
      </c>
      <c r="J137" s="734">
        <v>-161351.10999999999</v>
      </c>
      <c r="K137" s="735">
        <v>-127223.8</v>
      </c>
      <c r="L137" s="736">
        <v>-111028.91</v>
      </c>
      <c r="M137" s="737">
        <v>-91144.65</v>
      </c>
      <c r="N137" s="738">
        <v>-131459.70000000001</v>
      </c>
      <c r="O137" s="739">
        <v>-150701.76999999999</v>
      </c>
      <c r="P137" s="740">
        <v>-159252.68</v>
      </c>
      <c r="Q137" s="814">
        <v>-109616.47</v>
      </c>
      <c r="R137" s="731">
        <v>-64198.02</v>
      </c>
      <c r="S137" s="733">
        <f t="shared" si="13"/>
        <v>-119159.84499999999</v>
      </c>
      <c r="T137" s="707"/>
      <c r="U137" s="742"/>
      <c r="V137" s="742"/>
      <c r="W137" s="742"/>
      <c r="X137" s="743">
        <f>S137</f>
        <v>-119159.84499999999</v>
      </c>
      <c r="Y137" s="720"/>
      <c r="Z137" s="720"/>
    </row>
    <row r="138" spans="1:26">
      <c r="A138" s="727" t="s">
        <v>572</v>
      </c>
      <c r="B138" s="727" t="s">
        <v>405</v>
      </c>
      <c r="C138" s="728">
        <v>129</v>
      </c>
      <c r="D138" s="729" t="s">
        <v>573</v>
      </c>
      <c r="E138" s="730" t="s">
        <v>574</v>
      </c>
      <c r="F138" s="731">
        <v>10483.599999999904</v>
      </c>
      <c r="G138" s="813">
        <v>-18042.14999999998</v>
      </c>
      <c r="H138" s="733">
        <v>-35788.390000000007</v>
      </c>
      <c r="I138" s="733">
        <v>-81566.23000000001</v>
      </c>
      <c r="J138" s="734">
        <v>-75237.210000000021</v>
      </c>
      <c r="K138" s="735">
        <v>-87120.2</v>
      </c>
      <c r="L138" s="736">
        <v>-142541.12</v>
      </c>
      <c r="M138" s="737">
        <v>-155721.53</v>
      </c>
      <c r="N138" s="738">
        <v>-128242.37999999998</v>
      </c>
      <c r="O138" s="739">
        <v>-104739.90000000002</v>
      </c>
      <c r="P138" s="740">
        <v>-68900.88</v>
      </c>
      <c r="Q138" s="814">
        <v>-15703.479999999996</v>
      </c>
      <c r="R138" s="731">
        <v>168813.16999999998</v>
      </c>
      <c r="S138" s="733">
        <f t="shared" si="13"/>
        <v>-68662.923750000002</v>
      </c>
      <c r="T138" s="707"/>
      <c r="U138" s="742"/>
      <c r="V138" s="742"/>
      <c r="W138" s="742"/>
      <c r="X138" s="743">
        <f>S138</f>
        <v>-68662.923750000002</v>
      </c>
      <c r="Y138" s="720"/>
      <c r="Z138" s="720"/>
    </row>
    <row r="139" spans="1:26">
      <c r="A139" s="727" t="s">
        <v>513</v>
      </c>
      <c r="B139" s="727" t="s">
        <v>575</v>
      </c>
      <c r="C139" s="728">
        <v>130</v>
      </c>
      <c r="D139" s="729" t="str">
        <f t="shared" ref="D139:D145" si="22">A139&amp;"."&amp;B139</f>
        <v>1860.205*</v>
      </c>
      <c r="E139" s="730" t="s">
        <v>576</v>
      </c>
      <c r="F139" s="731">
        <v>0</v>
      </c>
      <c r="G139" s="813">
        <v>0</v>
      </c>
      <c r="H139" s="733">
        <v>0</v>
      </c>
      <c r="I139" s="733">
        <v>0</v>
      </c>
      <c r="J139" s="734">
        <v>0</v>
      </c>
      <c r="K139" s="735">
        <v>0</v>
      </c>
      <c r="L139" s="736">
        <v>0</v>
      </c>
      <c r="M139" s="737">
        <v>0</v>
      </c>
      <c r="N139" s="738">
        <v>0</v>
      </c>
      <c r="O139" s="739">
        <v>0</v>
      </c>
      <c r="P139" s="740">
        <v>0</v>
      </c>
      <c r="Q139" s="814">
        <v>0</v>
      </c>
      <c r="R139" s="731">
        <v>0</v>
      </c>
      <c r="S139" s="733">
        <f t="shared" si="13"/>
        <v>0</v>
      </c>
      <c r="T139" s="707"/>
      <c r="U139" s="742"/>
      <c r="V139" s="742"/>
      <c r="W139" s="742"/>
      <c r="X139" s="742"/>
      <c r="Y139" s="720"/>
      <c r="Z139" s="720"/>
    </row>
    <row r="140" spans="1:26">
      <c r="A140" s="727" t="s">
        <v>513</v>
      </c>
      <c r="B140" s="727" t="s">
        <v>577</v>
      </c>
      <c r="C140" s="728">
        <v>131</v>
      </c>
      <c r="D140" s="729" t="str">
        <f t="shared" si="22"/>
        <v>1860.201*</v>
      </c>
      <c r="E140" s="730" t="s">
        <v>578</v>
      </c>
      <c r="F140" s="731">
        <v>0</v>
      </c>
      <c r="G140" s="813">
        <v>0</v>
      </c>
      <c r="H140" s="733">
        <v>0</v>
      </c>
      <c r="I140" s="733">
        <v>0</v>
      </c>
      <c r="J140" s="734">
        <v>0</v>
      </c>
      <c r="K140" s="735">
        <v>0</v>
      </c>
      <c r="L140" s="736">
        <v>0</v>
      </c>
      <c r="M140" s="737">
        <v>0</v>
      </c>
      <c r="N140" s="738">
        <v>0</v>
      </c>
      <c r="O140" s="739">
        <v>0</v>
      </c>
      <c r="P140" s="740">
        <v>0</v>
      </c>
      <c r="Q140" s="814">
        <v>0</v>
      </c>
      <c r="R140" s="731">
        <v>0</v>
      </c>
      <c r="S140" s="733">
        <f t="shared" ref="S140:S203" si="23">((F140+R140)+((G140+H140+I140+J140+K140+L140+M140+N140+O140+P140+Q140)*2))/24</f>
        <v>0</v>
      </c>
      <c r="T140" s="707"/>
      <c r="U140" s="742"/>
      <c r="V140" s="742"/>
      <c r="W140" s="742"/>
      <c r="X140" s="742"/>
      <c r="Y140" s="720"/>
      <c r="Z140" s="720"/>
    </row>
    <row r="141" spans="1:26">
      <c r="A141" s="727" t="s">
        <v>513</v>
      </c>
      <c r="B141" s="727" t="s">
        <v>579</v>
      </c>
      <c r="C141" s="728">
        <v>132</v>
      </c>
      <c r="D141" s="729" t="str">
        <f t="shared" si="22"/>
        <v>1860.202*</v>
      </c>
      <c r="E141" s="730" t="s">
        <v>580</v>
      </c>
      <c r="F141" s="731">
        <v>998935.74</v>
      </c>
      <c r="G141" s="813">
        <v>985897.7</v>
      </c>
      <c r="H141" s="733">
        <v>970609.92</v>
      </c>
      <c r="I141" s="733">
        <v>954524.1</v>
      </c>
      <c r="J141" s="734">
        <v>938438.28</v>
      </c>
      <c r="K141" s="735">
        <v>962286.22</v>
      </c>
      <c r="L141" s="736">
        <v>953634.98</v>
      </c>
      <c r="M141" s="737">
        <v>945067.25</v>
      </c>
      <c r="N141" s="738">
        <v>936499.52</v>
      </c>
      <c r="O141" s="739">
        <v>927931.79</v>
      </c>
      <c r="P141" s="740">
        <v>944933.42</v>
      </c>
      <c r="Q141" s="814">
        <v>938997.83</v>
      </c>
      <c r="R141" s="731">
        <v>1321815.02</v>
      </c>
      <c r="S141" s="733">
        <f t="shared" si="23"/>
        <v>968266.36583333311</v>
      </c>
      <c r="T141" s="707"/>
      <c r="U141" s="742"/>
      <c r="V141" s="742"/>
      <c r="W141" s="742"/>
      <c r="X141" s="743">
        <f>S141</f>
        <v>968266.36583333311</v>
      </c>
      <c r="Y141" s="720"/>
      <c r="Z141" s="720"/>
    </row>
    <row r="142" spans="1:26">
      <c r="A142" s="703" t="s">
        <v>513</v>
      </c>
      <c r="B142" s="703" t="s">
        <v>581</v>
      </c>
      <c r="C142" s="728">
        <v>133</v>
      </c>
      <c r="D142" s="705" t="str">
        <f t="shared" si="22"/>
        <v>1860.20206</v>
      </c>
      <c r="E142" s="730" t="s">
        <v>582</v>
      </c>
      <c r="F142" s="731">
        <v>0</v>
      </c>
      <c r="G142" s="813">
        <v>0</v>
      </c>
      <c r="H142" s="733">
        <v>0</v>
      </c>
      <c r="I142" s="733">
        <v>0</v>
      </c>
      <c r="J142" s="734">
        <v>0</v>
      </c>
      <c r="K142" s="735">
        <v>0</v>
      </c>
      <c r="L142" s="736">
        <v>0</v>
      </c>
      <c r="M142" s="737">
        <v>0</v>
      </c>
      <c r="N142" s="738">
        <v>0</v>
      </c>
      <c r="O142" s="739">
        <v>0</v>
      </c>
      <c r="P142" s="740">
        <v>0</v>
      </c>
      <c r="Q142" s="814">
        <v>0</v>
      </c>
      <c r="R142" s="731">
        <v>0</v>
      </c>
      <c r="S142" s="733">
        <f t="shared" si="23"/>
        <v>0</v>
      </c>
      <c r="T142" s="707"/>
      <c r="U142" s="742"/>
      <c r="V142" s="742"/>
      <c r="W142" s="742"/>
      <c r="X142" s="742"/>
      <c r="Y142" s="720"/>
      <c r="Z142" s="720"/>
    </row>
    <row r="143" spans="1:26">
      <c r="A143" s="703" t="s">
        <v>513</v>
      </c>
      <c r="B143" s="703" t="s">
        <v>583</v>
      </c>
      <c r="C143" s="728">
        <v>134</v>
      </c>
      <c r="D143" s="705" t="str">
        <f t="shared" si="22"/>
        <v>1860.[20426,20427]</v>
      </c>
      <c r="E143" s="730" t="s">
        <v>584</v>
      </c>
      <c r="F143" s="731">
        <v>0</v>
      </c>
      <c r="G143" s="813">
        <v>0</v>
      </c>
      <c r="H143" s="733">
        <v>0</v>
      </c>
      <c r="I143" s="733">
        <v>0</v>
      </c>
      <c r="J143" s="734">
        <v>0</v>
      </c>
      <c r="K143" s="735">
        <v>0</v>
      </c>
      <c r="L143" s="736">
        <v>0</v>
      </c>
      <c r="M143" s="737">
        <v>0</v>
      </c>
      <c r="N143" s="738">
        <v>0</v>
      </c>
      <c r="O143" s="739">
        <v>0</v>
      </c>
      <c r="P143" s="740">
        <v>0</v>
      </c>
      <c r="Q143" s="814">
        <v>0</v>
      </c>
      <c r="R143" s="731">
        <v>0</v>
      </c>
      <c r="S143" s="733">
        <f t="shared" si="23"/>
        <v>0</v>
      </c>
      <c r="T143" s="707"/>
      <c r="U143" s="742"/>
      <c r="V143" s="742"/>
      <c r="W143" s="742"/>
      <c r="X143" s="742"/>
      <c r="Y143" s="720"/>
      <c r="Z143" s="720"/>
    </row>
    <row r="144" spans="1:26">
      <c r="A144" s="703" t="s">
        <v>513</v>
      </c>
      <c r="B144" s="703" t="s">
        <v>585</v>
      </c>
      <c r="C144" s="728">
        <v>135</v>
      </c>
      <c r="D144" s="705" t="str">
        <f t="shared" si="22"/>
        <v>1860.[204*,/20424,/20425,/20426,/20427]</v>
      </c>
      <c r="E144" s="730" t="s">
        <v>586</v>
      </c>
      <c r="F144" s="731">
        <v>18201108.41</v>
      </c>
      <c r="G144" s="813">
        <v>18252514.34</v>
      </c>
      <c r="H144" s="733">
        <v>18285672.82</v>
      </c>
      <c r="I144" s="733">
        <v>18303837.34</v>
      </c>
      <c r="J144" s="734">
        <v>18324504.629999999</v>
      </c>
      <c r="K144" s="735">
        <v>18311625.559999999</v>
      </c>
      <c r="L144" s="736">
        <v>18019991.59</v>
      </c>
      <c r="M144" s="737">
        <v>17914168.600000001</v>
      </c>
      <c r="N144" s="738">
        <v>17920822.18</v>
      </c>
      <c r="O144" s="739">
        <v>17986542.59</v>
      </c>
      <c r="P144" s="740">
        <v>18015428.170000002</v>
      </c>
      <c r="Q144" s="814">
        <v>19788910.890000001</v>
      </c>
      <c r="R144" s="731">
        <v>20139439.84</v>
      </c>
      <c r="S144" s="733">
        <f t="shared" si="23"/>
        <v>18357857.736249998</v>
      </c>
      <c r="T144" s="707"/>
      <c r="U144" s="742"/>
      <c r="V144" s="742"/>
      <c r="W144" s="826">
        <v>1911203.44</v>
      </c>
      <c r="X144" s="743">
        <f>S144-W144</f>
        <v>16446654.296249999</v>
      </c>
      <c r="Y144" s="720"/>
      <c r="Z144" s="720"/>
    </row>
    <row r="145" spans="1:26">
      <c r="A145" s="703" t="s">
        <v>587</v>
      </c>
      <c r="B145" s="703" t="s">
        <v>588</v>
      </c>
      <c r="C145" s="728">
        <v>136</v>
      </c>
      <c r="D145" s="705" t="str">
        <f t="shared" si="22"/>
        <v>1862.204*</v>
      </c>
      <c r="E145" s="730" t="s">
        <v>589</v>
      </c>
      <c r="F145" s="731">
        <v>4116785.62</v>
      </c>
      <c r="G145" s="813">
        <v>3830666.35</v>
      </c>
      <c r="H145" s="733">
        <v>3987930.69</v>
      </c>
      <c r="I145" s="733">
        <v>4114032.66</v>
      </c>
      <c r="J145" s="734">
        <v>4606809.47</v>
      </c>
      <c r="K145" s="735">
        <v>4557614.63</v>
      </c>
      <c r="L145" s="736">
        <v>4519160.07</v>
      </c>
      <c r="M145" s="737">
        <v>4851295.3099999996</v>
      </c>
      <c r="N145" s="738">
        <v>4921418.24</v>
      </c>
      <c r="O145" s="739">
        <v>5041102.8899999997</v>
      </c>
      <c r="P145" s="740">
        <v>5041177.71</v>
      </c>
      <c r="Q145" s="814">
        <v>7129938.8700000001</v>
      </c>
      <c r="R145" s="731">
        <v>4013684.71</v>
      </c>
      <c r="S145" s="733">
        <f t="shared" si="23"/>
        <v>4722198.5045833327</v>
      </c>
      <c r="T145" s="707"/>
      <c r="U145" s="742"/>
      <c r="V145" s="742"/>
      <c r="W145" s="743">
        <f>S145</f>
        <v>4722198.5045833327</v>
      </c>
      <c r="X145" s="742"/>
      <c r="Y145" s="720"/>
      <c r="Z145" s="720"/>
    </row>
    <row r="146" spans="1:26">
      <c r="A146" s="703" t="s">
        <v>590</v>
      </c>
      <c r="B146" s="703" t="s">
        <v>405</v>
      </c>
      <c r="C146" s="728">
        <v>137</v>
      </c>
      <c r="D146" s="705" t="str">
        <f>+A146</f>
        <v>1866</v>
      </c>
      <c r="E146" s="739" t="s">
        <v>591</v>
      </c>
      <c r="F146" s="757">
        <v>3597416</v>
      </c>
      <c r="G146" s="757">
        <v>3597416</v>
      </c>
      <c r="H146" s="757">
        <v>3597416</v>
      </c>
      <c r="I146" s="757">
        <v>3555871</v>
      </c>
      <c r="J146" s="757">
        <v>3555871</v>
      </c>
      <c r="K146" s="757">
        <v>3555871</v>
      </c>
      <c r="L146" s="757">
        <v>3555871</v>
      </c>
      <c r="M146" s="757">
        <v>3555871</v>
      </c>
      <c r="N146" s="757">
        <v>3555871</v>
      </c>
      <c r="O146" s="759">
        <v>3555871</v>
      </c>
      <c r="P146" s="757">
        <v>3555871</v>
      </c>
      <c r="Q146" s="757">
        <v>3555871</v>
      </c>
      <c r="R146" s="757">
        <v>3555871</v>
      </c>
      <c r="S146" s="733">
        <f t="shared" si="23"/>
        <v>3564526.2083333335</v>
      </c>
      <c r="T146" s="707"/>
      <c r="U146" s="742"/>
      <c r="V146" s="742"/>
      <c r="W146" s="743">
        <f>S146</f>
        <v>3564526.2083333335</v>
      </c>
      <c r="X146" s="743"/>
      <c r="Y146" s="720"/>
      <c r="Z146" s="720"/>
    </row>
    <row r="147" spans="1:26">
      <c r="A147" s="727"/>
      <c r="B147" s="727"/>
      <c r="C147" s="728">
        <v>138</v>
      </c>
      <c r="D147" s="729"/>
      <c r="E147" s="730" t="s">
        <v>592</v>
      </c>
      <c r="F147" s="755">
        <f>SUM(F134:F146)</f>
        <v>78328216.370000005</v>
      </c>
      <c r="G147" s="755">
        <f t="shared" ref="G147:S147" si="24">SUM(G134:G146)</f>
        <v>78009369.049999997</v>
      </c>
      <c r="H147" s="755">
        <f t="shared" si="24"/>
        <v>78219327.039999992</v>
      </c>
      <c r="I147" s="755">
        <f t="shared" si="24"/>
        <v>79060197.939999998</v>
      </c>
      <c r="J147" s="755">
        <f t="shared" si="24"/>
        <v>79550780.329999998</v>
      </c>
      <c r="K147" s="755">
        <f t="shared" si="24"/>
        <v>79537645.319999993</v>
      </c>
      <c r="L147" s="755">
        <f t="shared" si="24"/>
        <v>79162678.950000018</v>
      </c>
      <c r="M147" s="755">
        <f t="shared" si="24"/>
        <v>79420225.800000012</v>
      </c>
      <c r="N147" s="755">
        <f t="shared" si="24"/>
        <v>79592752.749999985</v>
      </c>
      <c r="O147" s="755">
        <f t="shared" si="24"/>
        <v>80115092.799999997</v>
      </c>
      <c r="P147" s="755">
        <f t="shared" si="24"/>
        <v>81193073.950000003</v>
      </c>
      <c r="Q147" s="755">
        <f t="shared" si="24"/>
        <v>83588063.189999998</v>
      </c>
      <c r="R147" s="755">
        <f t="shared" si="24"/>
        <v>78762766.379999995</v>
      </c>
      <c r="S147" s="755">
        <f t="shared" si="24"/>
        <v>79666224.874583319</v>
      </c>
      <c r="T147" s="707"/>
      <c r="U147" s="742"/>
      <c r="V147" s="742"/>
      <c r="W147" s="742"/>
      <c r="X147" s="742"/>
      <c r="Y147" s="720"/>
      <c r="Z147" s="720"/>
    </row>
    <row r="148" spans="1:26">
      <c r="A148" s="727"/>
      <c r="B148" s="727"/>
      <c r="C148" s="728">
        <v>139</v>
      </c>
      <c r="D148" s="729"/>
      <c r="E148" s="785"/>
      <c r="F148" s="731"/>
      <c r="G148" s="813"/>
      <c r="H148" s="733"/>
      <c r="I148" s="733"/>
      <c r="J148" s="734"/>
      <c r="K148" s="735"/>
      <c r="L148" s="736"/>
      <c r="M148" s="737"/>
      <c r="N148" s="738"/>
      <c r="O148" s="739"/>
      <c r="P148" s="740"/>
      <c r="Q148" s="814"/>
      <c r="R148" s="731"/>
      <c r="S148" s="733">
        <f t="shared" si="23"/>
        <v>0</v>
      </c>
      <c r="T148" s="707"/>
      <c r="U148" s="742"/>
      <c r="V148" s="742"/>
      <c r="W148" s="742"/>
      <c r="X148" s="742"/>
      <c r="Y148" s="720"/>
      <c r="Z148" s="720"/>
    </row>
    <row r="149" spans="1:26">
      <c r="A149" s="727" t="s">
        <v>593</v>
      </c>
      <c r="B149" s="727" t="s">
        <v>405</v>
      </c>
      <c r="C149" s="728">
        <v>140</v>
      </c>
      <c r="D149" s="729"/>
      <c r="E149" s="730" t="s">
        <v>594</v>
      </c>
      <c r="F149" s="731">
        <v>156305207.13</v>
      </c>
      <c r="G149" s="813">
        <v>24421868.41</v>
      </c>
      <c r="H149" s="733">
        <v>41171423.25</v>
      </c>
      <c r="I149" s="733">
        <v>56483768.100000001</v>
      </c>
      <c r="J149" s="734">
        <v>64753779.909999996</v>
      </c>
      <c r="K149" s="735">
        <v>70295784.159999996</v>
      </c>
      <c r="L149" s="736">
        <v>75264580.459999993</v>
      </c>
      <c r="M149" s="737">
        <v>79770220.25</v>
      </c>
      <c r="N149" s="738">
        <v>83874065.469999999</v>
      </c>
      <c r="O149" s="739">
        <v>88861448.659999996</v>
      </c>
      <c r="P149" s="740">
        <v>98160199.450000003</v>
      </c>
      <c r="Q149" s="814">
        <v>110210704.31</v>
      </c>
      <c r="R149" s="731">
        <v>135117509.71000001</v>
      </c>
      <c r="S149" s="733">
        <f t="shared" si="23"/>
        <v>78248266.737500012</v>
      </c>
      <c r="T149" s="707"/>
      <c r="U149" s="742"/>
      <c r="V149" s="742"/>
      <c r="W149" s="742"/>
      <c r="X149" s="742"/>
      <c r="Y149" s="720"/>
      <c r="Z149" s="720"/>
    </row>
    <row r="150" spans="1:26">
      <c r="A150" s="727" t="s">
        <v>595</v>
      </c>
      <c r="B150" s="727" t="s">
        <v>405</v>
      </c>
      <c r="C150" s="728">
        <v>141</v>
      </c>
      <c r="D150" s="729"/>
      <c r="E150" s="730" t="s">
        <v>596</v>
      </c>
      <c r="F150" s="731">
        <v>46817597.850000001</v>
      </c>
      <c r="G150" s="813">
        <v>4329047.46</v>
      </c>
      <c r="H150" s="733">
        <v>8144824.2199999997</v>
      </c>
      <c r="I150" s="733">
        <v>11913582.199999999</v>
      </c>
      <c r="J150" s="734">
        <v>15629660.82</v>
      </c>
      <c r="K150" s="735">
        <v>19641103.890000001</v>
      </c>
      <c r="L150" s="736">
        <v>23808301.02</v>
      </c>
      <c r="M150" s="737">
        <v>27425881.100000001</v>
      </c>
      <c r="N150" s="738">
        <v>31996474.899999999</v>
      </c>
      <c r="O150" s="739">
        <v>36090125.700000003</v>
      </c>
      <c r="P150" s="740">
        <v>40028030.579999998</v>
      </c>
      <c r="Q150" s="814">
        <v>44017177.710000001</v>
      </c>
      <c r="R150" s="731">
        <v>48703743.799999997</v>
      </c>
      <c r="S150" s="733">
        <f t="shared" si="23"/>
        <v>25898740.035416666</v>
      </c>
      <c r="T150" s="707"/>
      <c r="U150" s="742"/>
      <c r="V150" s="742"/>
      <c r="W150" s="742"/>
      <c r="X150" s="742"/>
      <c r="Y150" s="720"/>
      <c r="Z150" s="720"/>
    </row>
    <row r="151" spans="1:26">
      <c r="A151" s="703" t="s">
        <v>597</v>
      </c>
      <c r="B151" s="703" t="s">
        <v>598</v>
      </c>
      <c r="C151" s="728">
        <v>142</v>
      </c>
      <c r="D151" s="705"/>
      <c r="E151" s="730" t="s">
        <v>599</v>
      </c>
      <c r="F151" s="731">
        <v>0</v>
      </c>
      <c r="G151" s="813">
        <v>315.98</v>
      </c>
      <c r="H151" s="733">
        <v>315.98</v>
      </c>
      <c r="I151" s="733">
        <v>315.98</v>
      </c>
      <c r="J151" s="734">
        <v>315.98</v>
      </c>
      <c r="K151" s="735">
        <v>315.98</v>
      </c>
      <c r="L151" s="736">
        <v>315.98</v>
      </c>
      <c r="M151" s="737">
        <v>315.98</v>
      </c>
      <c r="N151" s="738">
        <v>315.98</v>
      </c>
      <c r="O151" s="739">
        <v>315.98</v>
      </c>
      <c r="P151" s="740">
        <v>315.98</v>
      </c>
      <c r="Q151" s="814">
        <v>315.98</v>
      </c>
      <c r="R151" s="731">
        <v>315.98</v>
      </c>
      <c r="S151" s="733">
        <f t="shared" si="23"/>
        <v>302.81416666666672</v>
      </c>
      <c r="T151" s="707"/>
      <c r="U151" s="742"/>
      <c r="V151" s="742"/>
      <c r="W151" s="742"/>
      <c r="X151" s="742"/>
      <c r="Y151" s="720"/>
      <c r="Z151" s="720"/>
    </row>
    <row r="152" spans="1:26">
      <c r="A152" s="703" t="s">
        <v>600</v>
      </c>
      <c r="B152" s="703" t="s">
        <v>405</v>
      </c>
      <c r="C152" s="728">
        <v>143</v>
      </c>
      <c r="D152" s="705"/>
      <c r="E152" s="730" t="s">
        <v>601</v>
      </c>
      <c r="F152" s="731">
        <v>5473309.9500000002</v>
      </c>
      <c r="G152" s="813">
        <v>429269.29</v>
      </c>
      <c r="H152" s="733">
        <v>844912.97</v>
      </c>
      <c r="I152" s="733">
        <v>1337555.07</v>
      </c>
      <c r="J152" s="734">
        <v>1801041.39</v>
      </c>
      <c r="K152" s="735">
        <v>2272948.0699999998</v>
      </c>
      <c r="L152" s="736">
        <v>2748701.28</v>
      </c>
      <c r="M152" s="737">
        <v>3219897.06</v>
      </c>
      <c r="N152" s="738">
        <v>3771772.86</v>
      </c>
      <c r="O152" s="739">
        <v>4251828.58</v>
      </c>
      <c r="P152" s="740">
        <v>4693376.74</v>
      </c>
      <c r="Q152" s="814">
        <v>5170135.07</v>
      </c>
      <c r="R152" s="731">
        <v>5729641.6100000003</v>
      </c>
      <c r="S152" s="733">
        <f t="shared" si="23"/>
        <v>3011909.5133333337</v>
      </c>
      <c r="T152" s="707"/>
      <c r="U152" s="742"/>
      <c r="V152" s="742"/>
      <c r="W152" s="742"/>
      <c r="X152" s="742"/>
      <c r="Y152" s="720"/>
      <c r="Z152" s="720"/>
    </row>
    <row r="153" spans="1:26">
      <c r="A153" s="703"/>
      <c r="B153" s="703"/>
      <c r="C153" s="728">
        <v>144</v>
      </c>
      <c r="D153" s="705"/>
      <c r="E153" s="730" t="s">
        <v>602</v>
      </c>
      <c r="F153" s="755">
        <f>SUM(F149:F152)</f>
        <v>208596114.92999998</v>
      </c>
      <c r="G153" s="755">
        <f t="shared" ref="G153:S153" si="25">SUM(G149:G152)</f>
        <v>29180501.140000001</v>
      </c>
      <c r="H153" s="755">
        <f t="shared" si="25"/>
        <v>50161476.419999994</v>
      </c>
      <c r="I153" s="755">
        <f t="shared" si="25"/>
        <v>69735221.349999994</v>
      </c>
      <c r="J153" s="755">
        <f t="shared" si="25"/>
        <v>82184798.099999994</v>
      </c>
      <c r="K153" s="755">
        <f t="shared" si="25"/>
        <v>92210152.099999994</v>
      </c>
      <c r="L153" s="755">
        <f t="shared" si="25"/>
        <v>101821898.73999999</v>
      </c>
      <c r="M153" s="755">
        <f t="shared" si="25"/>
        <v>110416314.39</v>
      </c>
      <c r="N153" s="755">
        <f t="shared" si="25"/>
        <v>119642629.21000001</v>
      </c>
      <c r="O153" s="755">
        <f t="shared" si="25"/>
        <v>129203718.92</v>
      </c>
      <c r="P153" s="755">
        <f t="shared" si="25"/>
        <v>142881922.75</v>
      </c>
      <c r="Q153" s="755">
        <f t="shared" si="25"/>
        <v>159398333.06999999</v>
      </c>
      <c r="R153" s="755">
        <f t="shared" si="25"/>
        <v>189551211.09999999</v>
      </c>
      <c r="S153" s="755">
        <f t="shared" si="25"/>
        <v>107159219.10041668</v>
      </c>
      <c r="T153" s="707"/>
      <c r="U153" s="743">
        <f>S153</f>
        <v>107159219.10041668</v>
      </c>
      <c r="V153" s="742"/>
      <c r="W153" s="742"/>
      <c r="X153" s="743"/>
      <c r="Y153" s="720"/>
      <c r="Z153" s="720"/>
    </row>
    <row r="154" spans="1:26">
      <c r="A154" s="703"/>
      <c r="B154" s="703"/>
      <c r="C154" s="728">
        <v>145</v>
      </c>
      <c r="D154" s="705"/>
      <c r="E154" s="785"/>
      <c r="F154" s="731"/>
      <c r="G154" s="813"/>
      <c r="H154" s="733"/>
      <c r="I154" s="733"/>
      <c r="J154" s="734"/>
      <c r="K154" s="735"/>
      <c r="L154" s="736"/>
      <c r="M154" s="737"/>
      <c r="N154" s="738"/>
      <c r="O154" s="739"/>
      <c r="P154" s="740"/>
      <c r="Q154" s="814"/>
      <c r="R154" s="731"/>
      <c r="S154" s="733">
        <f t="shared" si="23"/>
        <v>0</v>
      </c>
      <c r="T154" s="707"/>
      <c r="U154" s="742"/>
      <c r="V154" s="742"/>
      <c r="W154" s="742"/>
      <c r="X154" s="742"/>
      <c r="Y154" s="720"/>
      <c r="Z154" s="720"/>
    </row>
    <row r="155" spans="1:26">
      <c r="A155" s="703" t="s">
        <v>603</v>
      </c>
      <c r="B155" s="703" t="s">
        <v>405</v>
      </c>
      <c r="C155" s="728">
        <v>146</v>
      </c>
      <c r="D155" s="705" t="str">
        <f>+A155</f>
        <v>4073</v>
      </c>
      <c r="E155" s="730" t="s">
        <v>604</v>
      </c>
      <c r="F155" s="731">
        <v>0</v>
      </c>
      <c r="G155" s="813">
        <v>0</v>
      </c>
      <c r="H155" s="733">
        <v>0</v>
      </c>
      <c r="I155" s="733">
        <v>0</v>
      </c>
      <c r="J155" s="734">
        <v>0</v>
      </c>
      <c r="K155" s="735">
        <v>0</v>
      </c>
      <c r="L155" s="736">
        <v>0</v>
      </c>
      <c r="M155" s="737">
        <v>0</v>
      </c>
      <c r="N155" s="738">
        <v>0</v>
      </c>
      <c r="O155" s="739">
        <v>0</v>
      </c>
      <c r="P155" s="740">
        <v>0</v>
      </c>
      <c r="Q155" s="814">
        <v>0</v>
      </c>
      <c r="R155" s="731">
        <v>0</v>
      </c>
      <c r="S155" s="733">
        <f t="shared" si="23"/>
        <v>0</v>
      </c>
      <c r="T155" s="707"/>
      <c r="U155" s="742"/>
      <c r="V155" s="742"/>
      <c r="W155" s="742"/>
      <c r="X155" s="742"/>
      <c r="Y155" s="720"/>
      <c r="Z155" s="720"/>
    </row>
    <row r="156" spans="1:26">
      <c r="A156" s="703"/>
      <c r="B156" s="703"/>
      <c r="C156" s="728">
        <v>147</v>
      </c>
      <c r="D156" s="705"/>
      <c r="E156" s="785"/>
      <c r="F156" s="731"/>
      <c r="G156" s="813"/>
      <c r="H156" s="733"/>
      <c r="I156" s="733"/>
      <c r="J156" s="734"/>
      <c r="K156" s="735"/>
      <c r="L156" s="736"/>
      <c r="M156" s="737"/>
      <c r="N156" s="738"/>
      <c r="O156" s="739"/>
      <c r="P156" s="740"/>
      <c r="Q156" s="814"/>
      <c r="R156" s="731"/>
      <c r="S156" s="733">
        <f t="shared" si="23"/>
        <v>0</v>
      </c>
      <c r="T156" s="707"/>
      <c r="U156" s="742"/>
      <c r="V156" s="742"/>
      <c r="W156" s="742"/>
      <c r="X156" s="742"/>
      <c r="Y156" s="720"/>
      <c r="Z156" s="720"/>
    </row>
    <row r="157" spans="1:26">
      <c r="A157" s="727" t="s">
        <v>605</v>
      </c>
      <c r="B157" s="727" t="s">
        <v>405</v>
      </c>
      <c r="C157" s="728">
        <v>148</v>
      </c>
      <c r="D157" s="729" t="str">
        <f>+A157</f>
        <v>4081</v>
      </c>
      <c r="E157" s="730" t="s">
        <v>606</v>
      </c>
      <c r="F157" s="731">
        <v>24749541.870000001</v>
      </c>
      <c r="G157" s="813">
        <v>3836972.66</v>
      </c>
      <c r="H157" s="733">
        <v>6751554.4400000004</v>
      </c>
      <c r="I157" s="733">
        <v>9432019.3200000003</v>
      </c>
      <c r="J157" s="734">
        <v>11257476.91</v>
      </c>
      <c r="K157" s="735">
        <v>12596899.210000001</v>
      </c>
      <c r="L157" s="736">
        <v>13829823.17</v>
      </c>
      <c r="M157" s="737">
        <v>14936881.880000001</v>
      </c>
      <c r="N157" s="738">
        <v>15914791.720000001</v>
      </c>
      <c r="O157" s="739">
        <v>17067350.68</v>
      </c>
      <c r="P157" s="740">
        <v>18557185.190000001</v>
      </c>
      <c r="Q157" s="814">
        <v>20462300.530000001</v>
      </c>
      <c r="R157" s="731">
        <v>23821833.370000001</v>
      </c>
      <c r="S157" s="733">
        <f t="shared" si="23"/>
        <v>14077411.944166668</v>
      </c>
      <c r="T157" s="707"/>
      <c r="U157" s="742"/>
      <c r="V157" s="742"/>
      <c r="W157" s="742"/>
      <c r="X157" s="742"/>
      <c r="Y157" s="720"/>
      <c r="Z157" s="720"/>
    </row>
    <row r="158" spans="1:26">
      <c r="A158" s="727" t="s">
        <v>607</v>
      </c>
      <c r="B158" s="727" t="s">
        <v>405</v>
      </c>
      <c r="C158" s="728">
        <v>149</v>
      </c>
      <c r="D158" s="729" t="s">
        <v>608</v>
      </c>
      <c r="E158" s="730" t="s">
        <v>609</v>
      </c>
      <c r="F158" s="731">
        <v>2089762.22</v>
      </c>
      <c r="G158" s="813">
        <v>211533.78</v>
      </c>
      <c r="H158" s="733">
        <v>420032.08</v>
      </c>
      <c r="I158" s="733">
        <v>640876.53</v>
      </c>
      <c r="J158" s="734">
        <v>843451.4</v>
      </c>
      <c r="K158" s="735">
        <v>1017339.53</v>
      </c>
      <c r="L158" s="736">
        <v>1186862.9099999999</v>
      </c>
      <c r="M158" s="737">
        <v>1239648.44</v>
      </c>
      <c r="N158" s="738">
        <v>1429082.66</v>
      </c>
      <c r="O158" s="739">
        <v>1601150.82</v>
      </c>
      <c r="P158" s="740">
        <v>1756791.44</v>
      </c>
      <c r="Q158" s="814">
        <v>1915268.6</v>
      </c>
      <c r="R158" s="731">
        <v>2104822.19</v>
      </c>
      <c r="S158" s="733">
        <f t="shared" si="23"/>
        <v>1196610.86625</v>
      </c>
      <c r="T158" s="707"/>
      <c r="U158" s="742"/>
      <c r="V158" s="742"/>
      <c r="W158" s="742"/>
      <c r="X158" s="742"/>
      <c r="Y158" s="720"/>
      <c r="Z158" s="720"/>
    </row>
    <row r="159" spans="1:26">
      <c r="A159" s="727"/>
      <c r="B159" s="727"/>
      <c r="C159" s="728">
        <v>150</v>
      </c>
      <c r="D159" s="729"/>
      <c r="E159" s="785" t="s">
        <v>610</v>
      </c>
      <c r="F159" s="755">
        <f>+F157+F158</f>
        <v>26839304.09</v>
      </c>
      <c r="G159" s="755">
        <f t="shared" ref="G159:S159" si="26">+G157+G158</f>
        <v>4048506.44</v>
      </c>
      <c r="H159" s="755">
        <f t="shared" si="26"/>
        <v>7171586.5200000005</v>
      </c>
      <c r="I159" s="755">
        <f t="shared" si="26"/>
        <v>10072895.85</v>
      </c>
      <c r="J159" s="755">
        <f t="shared" si="26"/>
        <v>12100928.310000001</v>
      </c>
      <c r="K159" s="755">
        <f t="shared" si="26"/>
        <v>13614238.74</v>
      </c>
      <c r="L159" s="755">
        <f t="shared" si="26"/>
        <v>15016686.08</v>
      </c>
      <c r="M159" s="755">
        <f t="shared" si="26"/>
        <v>16176530.32</v>
      </c>
      <c r="N159" s="755">
        <f t="shared" si="26"/>
        <v>17343874.379999999</v>
      </c>
      <c r="O159" s="755">
        <f t="shared" si="26"/>
        <v>18668501.5</v>
      </c>
      <c r="P159" s="755">
        <f t="shared" si="26"/>
        <v>20313976.630000003</v>
      </c>
      <c r="Q159" s="755">
        <f t="shared" si="26"/>
        <v>22377569.130000003</v>
      </c>
      <c r="R159" s="755">
        <f t="shared" si="26"/>
        <v>25926655.560000002</v>
      </c>
      <c r="S159" s="755">
        <f t="shared" si="26"/>
        <v>15274022.810416669</v>
      </c>
      <c r="T159" s="707"/>
      <c r="U159" s="743">
        <f>S159</f>
        <v>15274022.810416669</v>
      </c>
      <c r="V159" s="742"/>
      <c r="W159" s="742"/>
      <c r="X159" s="743"/>
      <c r="Y159" s="720"/>
      <c r="Z159" s="720"/>
    </row>
    <row r="160" spans="1:26">
      <c r="A160" s="727"/>
      <c r="B160" s="727"/>
      <c r="C160" s="728">
        <v>151</v>
      </c>
      <c r="D160" s="729"/>
      <c r="E160" s="785"/>
      <c r="F160" s="731"/>
      <c r="G160" s="813"/>
      <c r="H160" s="733"/>
      <c r="I160" s="733"/>
      <c r="J160" s="734"/>
      <c r="K160" s="735"/>
      <c r="L160" s="736"/>
      <c r="M160" s="737"/>
      <c r="N160" s="738"/>
      <c r="O160" s="739"/>
      <c r="P160" s="740"/>
      <c r="Q160" s="814"/>
      <c r="R160" s="731"/>
      <c r="S160" s="733">
        <f t="shared" si="23"/>
        <v>0</v>
      </c>
      <c r="T160" s="707"/>
      <c r="U160" s="742"/>
      <c r="V160" s="742"/>
      <c r="W160" s="742"/>
      <c r="X160" s="742"/>
      <c r="Y160" s="720"/>
      <c r="Z160" s="720"/>
    </row>
    <row r="161" spans="1:26">
      <c r="A161" s="727" t="s">
        <v>611</v>
      </c>
      <c r="B161" s="727" t="s">
        <v>405</v>
      </c>
      <c r="C161" s="728">
        <v>152</v>
      </c>
      <c r="D161" s="729" t="str">
        <f>+A161</f>
        <v>4032</v>
      </c>
      <c r="E161" s="730" t="s">
        <v>612</v>
      </c>
      <c r="F161" s="731">
        <v>25145321.359999999</v>
      </c>
      <c r="G161" s="813">
        <v>1807641.44</v>
      </c>
      <c r="H161" s="733">
        <v>3662870.53</v>
      </c>
      <c r="I161" s="733">
        <v>5500503.2699999996</v>
      </c>
      <c r="J161" s="734">
        <v>7345620.5999999996</v>
      </c>
      <c r="K161" s="735">
        <v>9204261.5399999991</v>
      </c>
      <c r="L161" s="736">
        <v>11070351.52</v>
      </c>
      <c r="M161" s="737">
        <v>12942828.140000001</v>
      </c>
      <c r="N161" s="738">
        <v>14826797.029999999</v>
      </c>
      <c r="O161" s="739">
        <v>16728621.310000001</v>
      </c>
      <c r="P161" s="740">
        <v>18641977.399999999</v>
      </c>
      <c r="Q161" s="814">
        <v>20568906.449999999</v>
      </c>
      <c r="R161" s="731">
        <v>22501731.329999998</v>
      </c>
      <c r="S161" s="733">
        <f t="shared" si="23"/>
        <v>12176992.13125</v>
      </c>
      <c r="T161" s="707"/>
      <c r="U161" s="742"/>
      <c r="V161" s="742"/>
      <c r="W161" s="742"/>
      <c r="X161" s="742"/>
      <c r="Y161" s="720"/>
      <c r="Z161" s="720"/>
    </row>
    <row r="162" spans="1:26">
      <c r="A162" s="727" t="s">
        <v>613</v>
      </c>
      <c r="B162" s="727" t="s">
        <v>405</v>
      </c>
      <c r="C162" s="728">
        <v>153</v>
      </c>
      <c r="D162" s="729" t="str">
        <f>+A162</f>
        <v>4042</v>
      </c>
      <c r="E162" s="730" t="s">
        <v>614</v>
      </c>
      <c r="F162" s="731">
        <v>2538010.06</v>
      </c>
      <c r="G162" s="813">
        <v>243401.61</v>
      </c>
      <c r="H162" s="733">
        <v>489696.84</v>
      </c>
      <c r="I162" s="733">
        <v>699331.25</v>
      </c>
      <c r="J162" s="734">
        <v>936229.3</v>
      </c>
      <c r="K162" s="735">
        <v>1172861.54</v>
      </c>
      <c r="L162" s="736">
        <v>1409534.14</v>
      </c>
      <c r="M162" s="737">
        <v>1630631.32</v>
      </c>
      <c r="N162" s="738">
        <v>1851728.5</v>
      </c>
      <c r="O162" s="739">
        <v>2072825.68</v>
      </c>
      <c r="P162" s="740">
        <v>2294485.88</v>
      </c>
      <c r="Q162" s="814">
        <v>2515583.06</v>
      </c>
      <c r="R162" s="731">
        <v>2736728</v>
      </c>
      <c r="S162" s="733">
        <f t="shared" si="23"/>
        <v>1496139.8458333332</v>
      </c>
      <c r="T162" s="707"/>
      <c r="U162" s="742"/>
      <c r="V162" s="742"/>
      <c r="W162" s="742"/>
      <c r="X162" s="742"/>
      <c r="Y162" s="720"/>
      <c r="Z162" s="720"/>
    </row>
    <row r="163" spans="1:26">
      <c r="A163" s="727" t="s">
        <v>615</v>
      </c>
      <c r="B163" s="727" t="s">
        <v>405</v>
      </c>
      <c r="C163" s="728">
        <v>154</v>
      </c>
      <c r="D163" s="729" t="str">
        <f>+A163</f>
        <v>4062</v>
      </c>
      <c r="E163" s="730" t="s">
        <v>616</v>
      </c>
      <c r="F163" s="731">
        <v>0</v>
      </c>
      <c r="G163" s="813">
        <v>0</v>
      </c>
      <c r="H163" s="733">
        <v>0</v>
      </c>
      <c r="I163" s="733">
        <v>0</v>
      </c>
      <c r="J163" s="734">
        <v>0</v>
      </c>
      <c r="K163" s="735">
        <v>0</v>
      </c>
      <c r="L163" s="736">
        <v>0</v>
      </c>
      <c r="M163" s="737">
        <v>0</v>
      </c>
      <c r="N163" s="738">
        <v>0</v>
      </c>
      <c r="O163" s="739">
        <v>0</v>
      </c>
      <c r="P163" s="740">
        <v>0</v>
      </c>
      <c r="Q163" s="814">
        <v>0</v>
      </c>
      <c r="R163" s="731">
        <v>0</v>
      </c>
      <c r="S163" s="733">
        <f t="shared" si="23"/>
        <v>0</v>
      </c>
      <c r="T163" s="707"/>
      <c r="U163" s="742"/>
      <c r="V163" s="742"/>
      <c r="W163" s="742"/>
      <c r="X163" s="742"/>
      <c r="Y163" s="720"/>
      <c r="Z163" s="720"/>
    </row>
    <row r="164" spans="1:26">
      <c r="A164" s="727"/>
      <c r="B164" s="727"/>
      <c r="C164" s="728">
        <v>155</v>
      </c>
      <c r="D164" s="729"/>
      <c r="E164" s="730" t="s">
        <v>617</v>
      </c>
      <c r="F164" s="755">
        <f>SUM(F161:F163)</f>
        <v>27683331.419999998</v>
      </c>
      <c r="G164" s="755">
        <f t="shared" ref="G164:S164" si="27">SUM(G161:G163)</f>
        <v>2051043.0499999998</v>
      </c>
      <c r="H164" s="755">
        <f t="shared" si="27"/>
        <v>4152567.3699999996</v>
      </c>
      <c r="I164" s="755">
        <f t="shared" si="27"/>
        <v>6199834.5199999996</v>
      </c>
      <c r="J164" s="755">
        <f t="shared" si="27"/>
        <v>8281849.8999999994</v>
      </c>
      <c r="K164" s="755">
        <f t="shared" si="27"/>
        <v>10377123.079999998</v>
      </c>
      <c r="L164" s="755">
        <f t="shared" si="27"/>
        <v>12479885.66</v>
      </c>
      <c r="M164" s="755">
        <f t="shared" si="27"/>
        <v>14573459.460000001</v>
      </c>
      <c r="N164" s="755">
        <f t="shared" si="27"/>
        <v>16678525.529999999</v>
      </c>
      <c r="O164" s="755">
        <f t="shared" si="27"/>
        <v>18801446.990000002</v>
      </c>
      <c r="P164" s="755">
        <f t="shared" si="27"/>
        <v>20936463.279999997</v>
      </c>
      <c r="Q164" s="755">
        <f t="shared" si="27"/>
        <v>23084489.509999998</v>
      </c>
      <c r="R164" s="755">
        <f t="shared" si="27"/>
        <v>25238459.329999998</v>
      </c>
      <c r="S164" s="755">
        <f t="shared" si="27"/>
        <v>13673131.977083333</v>
      </c>
      <c r="T164" s="707"/>
      <c r="U164" s="743">
        <f>S164</f>
        <v>13673131.977083333</v>
      </c>
      <c r="V164" s="742"/>
      <c r="W164" s="742"/>
      <c r="X164" s="743"/>
      <c r="Y164" s="720"/>
      <c r="Z164" s="720"/>
    </row>
    <row r="165" spans="1:26">
      <c r="A165" s="727"/>
      <c r="B165" s="727"/>
      <c r="C165" s="728">
        <v>156</v>
      </c>
      <c r="D165" s="729"/>
      <c r="E165" s="785"/>
      <c r="F165" s="731"/>
      <c r="G165" s="813"/>
      <c r="H165" s="733"/>
      <c r="I165" s="733"/>
      <c r="J165" s="734"/>
      <c r="K165" s="735"/>
      <c r="L165" s="736"/>
      <c r="M165" s="737"/>
      <c r="N165" s="738"/>
      <c r="O165" s="739"/>
      <c r="P165" s="740"/>
      <c r="Q165" s="814"/>
      <c r="R165" s="731"/>
      <c r="S165" s="733">
        <f t="shared" si="23"/>
        <v>0</v>
      </c>
      <c r="T165" s="707"/>
      <c r="U165" s="742"/>
      <c r="V165" s="742"/>
      <c r="W165" s="742"/>
      <c r="X165" s="742"/>
      <c r="Y165" s="720"/>
      <c r="Z165" s="720"/>
    </row>
    <row r="166" spans="1:26">
      <c r="A166" s="727" t="s">
        <v>618</v>
      </c>
      <c r="B166" s="727" t="s">
        <v>405</v>
      </c>
      <c r="C166" s="728">
        <v>157</v>
      </c>
      <c r="D166" s="729" t="str">
        <f>+A166</f>
        <v>4271</v>
      </c>
      <c r="E166" s="730" t="s">
        <v>619</v>
      </c>
      <c r="F166" s="731">
        <v>0</v>
      </c>
      <c r="G166" s="813">
        <v>0</v>
      </c>
      <c r="H166" s="733">
        <v>0</v>
      </c>
      <c r="I166" s="733">
        <v>0</v>
      </c>
      <c r="J166" s="734">
        <v>0</v>
      </c>
      <c r="K166" s="735">
        <v>0</v>
      </c>
      <c r="L166" s="736">
        <v>0</v>
      </c>
      <c r="M166" s="737">
        <v>0</v>
      </c>
      <c r="N166" s="738">
        <v>0</v>
      </c>
      <c r="O166" s="739">
        <v>0</v>
      </c>
      <c r="P166" s="740">
        <v>0</v>
      </c>
      <c r="Q166" s="814">
        <v>0</v>
      </c>
      <c r="R166" s="731">
        <v>0</v>
      </c>
      <c r="S166" s="733">
        <f t="shared" si="23"/>
        <v>0</v>
      </c>
      <c r="T166" s="707"/>
      <c r="U166" s="742"/>
      <c r="V166" s="742"/>
      <c r="W166" s="742"/>
      <c r="X166" s="742"/>
      <c r="Y166" s="720"/>
      <c r="Z166" s="720"/>
    </row>
    <row r="167" spans="1:26">
      <c r="A167" s="727" t="s">
        <v>620</v>
      </c>
      <c r="B167" s="727" t="s">
        <v>405</v>
      </c>
      <c r="C167" s="728">
        <v>158</v>
      </c>
      <c r="D167" s="729" t="str">
        <f>+A167</f>
        <v>4279</v>
      </c>
      <c r="E167" s="730" t="s">
        <v>621</v>
      </c>
      <c r="F167" s="731">
        <v>11047666.279999999</v>
      </c>
      <c r="G167" s="813">
        <v>929093.54</v>
      </c>
      <c r="H167" s="733">
        <v>1857968.35</v>
      </c>
      <c r="I167" s="733">
        <v>2786843.12</v>
      </c>
      <c r="J167" s="734">
        <v>3715717.91</v>
      </c>
      <c r="K167" s="735">
        <v>4644373.96</v>
      </c>
      <c r="L167" s="736">
        <v>5573030.0099999998</v>
      </c>
      <c r="M167" s="737">
        <v>6501686.0499999998</v>
      </c>
      <c r="N167" s="738">
        <v>7430263.3399999999</v>
      </c>
      <c r="O167" s="739">
        <v>8358840.6399999997</v>
      </c>
      <c r="P167" s="740">
        <v>9287417.9199999999</v>
      </c>
      <c r="Q167" s="814">
        <v>10215995.220000001</v>
      </c>
      <c r="R167" s="731">
        <v>11144572.52</v>
      </c>
      <c r="S167" s="733">
        <f t="shared" si="23"/>
        <v>6033112.455000001</v>
      </c>
      <c r="T167" s="707"/>
      <c r="U167" s="742"/>
      <c r="V167" s="742"/>
      <c r="W167" s="742"/>
      <c r="X167" s="742"/>
      <c r="Y167" s="720"/>
      <c r="Z167" s="720"/>
    </row>
    <row r="168" spans="1:26">
      <c r="A168" s="727" t="s">
        <v>620</v>
      </c>
      <c r="B168" s="727" t="s">
        <v>622</v>
      </c>
      <c r="C168" s="728">
        <v>159</v>
      </c>
      <c r="D168" s="729" t="str">
        <f>A168&amp;"."&amp;B168</f>
        <v>4279.1</v>
      </c>
      <c r="E168" s="756" t="s">
        <v>623</v>
      </c>
      <c r="F168" s="731">
        <v>0</v>
      </c>
      <c r="G168" s="813">
        <v>0</v>
      </c>
      <c r="H168" s="733">
        <v>0</v>
      </c>
      <c r="I168" s="733">
        <v>0</v>
      </c>
      <c r="J168" s="734">
        <v>0</v>
      </c>
      <c r="K168" s="735">
        <v>0</v>
      </c>
      <c r="L168" s="736">
        <v>0</v>
      </c>
      <c r="M168" s="737">
        <v>0</v>
      </c>
      <c r="N168" s="738">
        <v>0</v>
      </c>
      <c r="O168" s="739">
        <v>0</v>
      </c>
      <c r="P168" s="740">
        <v>0</v>
      </c>
      <c r="Q168" s="814">
        <v>0</v>
      </c>
      <c r="R168" s="731">
        <v>0</v>
      </c>
      <c r="S168" s="733">
        <f t="shared" si="23"/>
        <v>0</v>
      </c>
      <c r="T168" s="707"/>
      <c r="U168" s="742"/>
      <c r="V168" s="742"/>
      <c r="W168" s="742"/>
      <c r="X168" s="742"/>
      <c r="Y168" s="720"/>
      <c r="Z168" s="720"/>
    </row>
    <row r="169" spans="1:26">
      <c r="A169" s="727" t="s">
        <v>624</v>
      </c>
      <c r="B169" s="727" t="s">
        <v>625</v>
      </c>
      <c r="C169" s="728">
        <v>160</v>
      </c>
      <c r="D169" s="729" t="str">
        <f>+A169</f>
        <v>4310</v>
      </c>
      <c r="E169" s="730" t="s">
        <v>321</v>
      </c>
      <c r="F169" s="731">
        <v>227969.41</v>
      </c>
      <c r="G169" s="813">
        <v>30677.119999999999</v>
      </c>
      <c r="H169" s="733">
        <v>81587.850000000006</v>
      </c>
      <c r="I169" s="733">
        <v>149632.70000000001</v>
      </c>
      <c r="J169" s="734">
        <v>228625.65</v>
      </c>
      <c r="K169" s="735">
        <v>311878.78999999998</v>
      </c>
      <c r="L169" s="736">
        <v>391659.7</v>
      </c>
      <c r="M169" s="737">
        <v>436010.29</v>
      </c>
      <c r="N169" s="738">
        <v>501177.14</v>
      </c>
      <c r="O169" s="739">
        <v>556392.51</v>
      </c>
      <c r="P169" s="740">
        <v>607614.67000000004</v>
      </c>
      <c r="Q169" s="814">
        <v>631236.1</v>
      </c>
      <c r="R169" s="731">
        <v>653866.05000000005</v>
      </c>
      <c r="S169" s="733">
        <f t="shared" si="23"/>
        <v>363950.85416666669</v>
      </c>
      <c r="T169" s="707"/>
      <c r="U169" s="742"/>
      <c r="V169" s="742"/>
      <c r="W169" s="742"/>
      <c r="X169" s="742"/>
      <c r="Y169" s="720"/>
      <c r="Z169" s="720"/>
    </row>
    <row r="170" spans="1:26">
      <c r="A170" s="727" t="s">
        <v>624</v>
      </c>
      <c r="B170" s="727" t="s">
        <v>626</v>
      </c>
      <c r="C170" s="728">
        <v>161</v>
      </c>
      <c r="D170" s="827" t="s">
        <v>627</v>
      </c>
      <c r="E170" s="730" t="s">
        <v>628</v>
      </c>
      <c r="F170" s="731">
        <v>27310</v>
      </c>
      <c r="G170" s="813">
        <v>0</v>
      </c>
      <c r="H170" s="733">
        <v>0</v>
      </c>
      <c r="I170" s="733">
        <v>0</v>
      </c>
      <c r="J170" s="734">
        <v>0</v>
      </c>
      <c r="K170" s="735">
        <v>0</v>
      </c>
      <c r="L170" s="736">
        <v>0</v>
      </c>
      <c r="M170" s="737">
        <v>0</v>
      </c>
      <c r="N170" s="738">
        <v>0</v>
      </c>
      <c r="O170" s="739">
        <v>0</v>
      </c>
      <c r="P170" s="740">
        <v>0</v>
      </c>
      <c r="Q170" s="814">
        <v>0</v>
      </c>
      <c r="R170" s="731">
        <v>0</v>
      </c>
      <c r="S170" s="733">
        <f t="shared" si="23"/>
        <v>1137.9166666666667</v>
      </c>
      <c r="T170" s="707"/>
      <c r="U170" s="742"/>
      <c r="V170" s="742"/>
      <c r="W170" s="742"/>
      <c r="X170" s="742"/>
      <c r="Y170" s="720"/>
      <c r="Z170" s="720"/>
    </row>
    <row r="171" spans="1:26">
      <c r="A171" s="727" t="s">
        <v>629</v>
      </c>
      <c r="B171" s="727" t="s">
        <v>405</v>
      </c>
      <c r="C171" s="728">
        <v>162</v>
      </c>
      <c r="D171" s="729" t="str">
        <f>+A171</f>
        <v>4280</v>
      </c>
      <c r="E171" s="730" t="s">
        <v>630</v>
      </c>
      <c r="F171" s="731">
        <v>172248.52</v>
      </c>
      <c r="G171" s="813">
        <v>14351.32</v>
      </c>
      <c r="H171" s="733">
        <v>28702.639999999999</v>
      </c>
      <c r="I171" s="733">
        <v>42872.84</v>
      </c>
      <c r="J171" s="734">
        <v>57212.84</v>
      </c>
      <c r="K171" s="735">
        <v>71552.84</v>
      </c>
      <c r="L171" s="736">
        <v>85892.84</v>
      </c>
      <c r="M171" s="737">
        <v>100232.84</v>
      </c>
      <c r="N171" s="738">
        <v>114572.84</v>
      </c>
      <c r="O171" s="739">
        <v>128912.84</v>
      </c>
      <c r="P171" s="740">
        <v>143252.84</v>
      </c>
      <c r="Q171" s="814">
        <v>157592.84</v>
      </c>
      <c r="R171" s="731">
        <v>171932.84</v>
      </c>
      <c r="S171" s="733">
        <f t="shared" si="23"/>
        <v>93103.349999999977</v>
      </c>
      <c r="T171" s="707"/>
      <c r="U171" s="742"/>
      <c r="V171" s="742"/>
      <c r="W171" s="742"/>
      <c r="X171" s="742"/>
      <c r="Y171" s="720"/>
      <c r="Z171" s="720"/>
    </row>
    <row r="172" spans="1:26">
      <c r="A172" s="727" t="s">
        <v>631</v>
      </c>
      <c r="B172" s="727" t="s">
        <v>405</v>
      </c>
      <c r="C172" s="728">
        <v>163</v>
      </c>
      <c r="D172" s="729" t="str">
        <f>+A172</f>
        <v>4281</v>
      </c>
      <c r="E172" s="730" t="s">
        <v>632</v>
      </c>
      <c r="F172" s="731">
        <v>40970.639999999999</v>
      </c>
      <c r="G172" s="813">
        <v>3414.22</v>
      </c>
      <c r="H172" s="733">
        <v>6828.44</v>
      </c>
      <c r="I172" s="733">
        <v>10242.66</v>
      </c>
      <c r="J172" s="734">
        <v>13656.88</v>
      </c>
      <c r="K172" s="735">
        <v>17071.099999999999</v>
      </c>
      <c r="L172" s="736">
        <v>20485.32</v>
      </c>
      <c r="M172" s="737">
        <v>23899.54</v>
      </c>
      <c r="N172" s="738">
        <v>27313.759999999998</v>
      </c>
      <c r="O172" s="739">
        <v>30727.98</v>
      </c>
      <c r="P172" s="740">
        <v>34142.199999999997</v>
      </c>
      <c r="Q172" s="814">
        <v>37556.42</v>
      </c>
      <c r="R172" s="731">
        <v>40970.639999999999</v>
      </c>
      <c r="S172" s="733">
        <f t="shared" si="23"/>
        <v>22192.429999999997</v>
      </c>
      <c r="T172" s="707"/>
      <c r="U172" s="742"/>
      <c r="V172" s="742"/>
      <c r="W172" s="742"/>
      <c r="X172" s="742"/>
      <c r="Y172" s="720"/>
      <c r="Z172" s="720"/>
    </row>
    <row r="173" spans="1:26">
      <c r="A173" s="727"/>
      <c r="B173" s="727"/>
      <c r="C173" s="728">
        <v>164</v>
      </c>
      <c r="D173" s="729"/>
      <c r="E173" s="730" t="s">
        <v>633</v>
      </c>
      <c r="F173" s="755">
        <f>SUM(F166:F172)</f>
        <v>11516164.85</v>
      </c>
      <c r="G173" s="755">
        <f t="shared" ref="G173:S173" si="28">SUM(G166:G172)</f>
        <v>977536.2</v>
      </c>
      <c r="H173" s="755">
        <f t="shared" si="28"/>
        <v>1975087.28</v>
      </c>
      <c r="I173" s="755">
        <f t="shared" si="28"/>
        <v>2989591.3200000003</v>
      </c>
      <c r="J173" s="755">
        <f t="shared" si="28"/>
        <v>4015213.28</v>
      </c>
      <c r="K173" s="755">
        <f t="shared" si="28"/>
        <v>5044876.6899999995</v>
      </c>
      <c r="L173" s="755">
        <f t="shared" si="28"/>
        <v>6071067.8700000001</v>
      </c>
      <c r="M173" s="755">
        <f t="shared" si="28"/>
        <v>7061828.7199999997</v>
      </c>
      <c r="N173" s="755">
        <f t="shared" si="28"/>
        <v>8073327.0799999991</v>
      </c>
      <c r="O173" s="755">
        <f t="shared" si="28"/>
        <v>9074873.9700000007</v>
      </c>
      <c r="P173" s="755">
        <f t="shared" si="28"/>
        <v>10072427.629999999</v>
      </c>
      <c r="Q173" s="755">
        <f t="shared" si="28"/>
        <v>11042380.58</v>
      </c>
      <c r="R173" s="755">
        <f t="shared" si="28"/>
        <v>12011342.050000001</v>
      </c>
      <c r="S173" s="755">
        <f t="shared" si="28"/>
        <v>6513497.0058333343</v>
      </c>
      <c r="T173" s="707"/>
      <c r="U173" s="743">
        <f>S173</f>
        <v>6513497.0058333343</v>
      </c>
      <c r="V173" s="742"/>
      <c r="W173" s="742"/>
      <c r="X173" s="743"/>
      <c r="Y173" s="720"/>
      <c r="Z173" s="720"/>
    </row>
    <row r="174" spans="1:26">
      <c r="A174" s="727"/>
      <c r="B174" s="727"/>
      <c r="C174" s="728">
        <v>165</v>
      </c>
      <c r="D174" s="729"/>
      <c r="E174" s="730"/>
      <c r="F174" s="731"/>
      <c r="G174" s="813"/>
      <c r="H174" s="733"/>
      <c r="I174" s="733"/>
      <c r="J174" s="734"/>
      <c r="K174" s="735"/>
      <c r="L174" s="736"/>
      <c r="M174" s="737"/>
      <c r="N174" s="738"/>
      <c r="O174" s="739"/>
      <c r="P174" s="740"/>
      <c r="Q174" s="814"/>
      <c r="R174" s="731"/>
      <c r="S174" s="733">
        <f t="shared" si="23"/>
        <v>0</v>
      </c>
      <c r="T174" s="707"/>
      <c r="U174" s="742"/>
      <c r="V174" s="742"/>
      <c r="W174" s="742"/>
      <c r="X174" s="742"/>
      <c r="Y174" s="720"/>
      <c r="Z174" s="720"/>
    </row>
    <row r="175" spans="1:26">
      <c r="A175" s="727" t="s">
        <v>634</v>
      </c>
      <c r="B175" s="727" t="s">
        <v>405</v>
      </c>
      <c r="C175" s="728">
        <v>166</v>
      </c>
      <c r="D175" s="729" t="str">
        <f t="shared" ref="D175:D181" si="29">+A175</f>
        <v>4091</v>
      </c>
      <c r="E175" s="730" t="s">
        <v>635</v>
      </c>
      <c r="F175" s="731">
        <v>3112194.93</v>
      </c>
      <c r="G175" s="813">
        <v>2557266.35</v>
      </c>
      <c r="H175" s="733">
        <v>4076844.5</v>
      </c>
      <c r="I175" s="733">
        <v>5601669.1900000004</v>
      </c>
      <c r="J175" s="734">
        <v>5723490.9400000004</v>
      </c>
      <c r="K175" s="735">
        <v>5087405.2699999996</v>
      </c>
      <c r="L175" s="736">
        <v>3936066.91</v>
      </c>
      <c r="M175" s="737">
        <v>3299654.61</v>
      </c>
      <c r="N175" s="738">
        <v>2254452.36</v>
      </c>
      <c r="O175" s="739">
        <v>342403.22</v>
      </c>
      <c r="P175" s="740">
        <v>694977.99</v>
      </c>
      <c r="Q175" s="814">
        <v>767944.27</v>
      </c>
      <c r="R175" s="731">
        <v>4577015.2699999996</v>
      </c>
      <c r="S175" s="733">
        <f t="shared" si="23"/>
        <v>3182231.7258333336</v>
      </c>
      <c r="T175" s="707"/>
      <c r="U175" s="742"/>
      <c r="V175" s="742"/>
      <c r="W175" s="742"/>
      <c r="X175" s="742"/>
      <c r="Y175" s="720"/>
      <c r="Z175" s="720"/>
    </row>
    <row r="176" spans="1:26">
      <c r="A176" s="727" t="s">
        <v>636</v>
      </c>
      <c r="B176" s="727" t="s">
        <v>405</v>
      </c>
      <c r="C176" s="728">
        <v>167</v>
      </c>
      <c r="D176" s="729" t="str">
        <f t="shared" si="29"/>
        <v>4092</v>
      </c>
      <c r="E176" s="730" t="s">
        <v>637</v>
      </c>
      <c r="F176" s="731">
        <v>2861307.83</v>
      </c>
      <c r="G176" s="813">
        <v>1791.34</v>
      </c>
      <c r="H176" s="733">
        <v>-4072.77</v>
      </c>
      <c r="I176" s="733">
        <v>6168.62</v>
      </c>
      <c r="J176" s="734">
        <v>12619.45</v>
      </c>
      <c r="K176" s="735">
        <v>29679.09</v>
      </c>
      <c r="L176" s="736">
        <v>46194.23</v>
      </c>
      <c r="M176" s="737">
        <v>58088.959999999999</v>
      </c>
      <c r="N176" s="738">
        <v>124414.75</v>
      </c>
      <c r="O176" s="739">
        <v>-3959.8000000000202</v>
      </c>
      <c r="P176" s="740">
        <v>-158977.68</v>
      </c>
      <c r="Q176" s="814">
        <v>-68477.759999999995</v>
      </c>
      <c r="R176" s="731">
        <v>-202120.14</v>
      </c>
      <c r="S176" s="733">
        <f t="shared" si="23"/>
        <v>114421.85625</v>
      </c>
      <c r="T176" s="707"/>
      <c r="U176" s="742"/>
      <c r="V176" s="742"/>
      <c r="W176" s="742"/>
      <c r="X176" s="742"/>
      <c r="Y176" s="720"/>
      <c r="Z176" s="720"/>
    </row>
    <row r="177" spans="1:26">
      <c r="A177" s="727" t="s">
        <v>638</v>
      </c>
      <c r="B177" s="727" t="s">
        <v>405</v>
      </c>
      <c r="C177" s="728">
        <v>168</v>
      </c>
      <c r="D177" s="729" t="str">
        <f t="shared" si="29"/>
        <v>4101</v>
      </c>
      <c r="E177" s="730" t="s">
        <v>639</v>
      </c>
      <c r="F177" s="731">
        <v>41338.980000000003</v>
      </c>
      <c r="G177" s="813">
        <v>-43647.16</v>
      </c>
      <c r="H177" s="733">
        <v>-87294.41</v>
      </c>
      <c r="I177" s="733">
        <v>-479450.32</v>
      </c>
      <c r="J177" s="734">
        <v>-635749.15</v>
      </c>
      <c r="K177" s="735">
        <v>-792047.99</v>
      </c>
      <c r="L177" s="736">
        <v>-547043.65</v>
      </c>
      <c r="M177" s="737">
        <v>-636507.4</v>
      </c>
      <c r="N177" s="738">
        <v>-725971.16</v>
      </c>
      <c r="O177" s="739">
        <v>452676.07</v>
      </c>
      <c r="P177" s="740">
        <v>330098.7</v>
      </c>
      <c r="Q177" s="814">
        <v>2214308.3199999998</v>
      </c>
      <c r="R177" s="731">
        <v>1569439.44</v>
      </c>
      <c r="S177" s="733">
        <f t="shared" si="23"/>
        <v>-12103.245000000034</v>
      </c>
      <c r="T177" s="707"/>
      <c r="U177" s="742"/>
      <c r="V177" s="742"/>
      <c r="W177" s="742"/>
      <c r="X177" s="742"/>
      <c r="Y177" s="720"/>
      <c r="Z177" s="720"/>
    </row>
    <row r="178" spans="1:26">
      <c r="A178" s="727" t="s">
        <v>640</v>
      </c>
      <c r="B178" s="727" t="s">
        <v>405</v>
      </c>
      <c r="C178" s="728">
        <v>169</v>
      </c>
      <c r="D178" s="828" t="str">
        <f t="shared" si="29"/>
        <v>4102</v>
      </c>
      <c r="E178" s="730" t="s">
        <v>641</v>
      </c>
      <c r="F178" s="731">
        <v>0</v>
      </c>
      <c r="G178" s="813">
        <v>0</v>
      </c>
      <c r="H178" s="733">
        <v>0</v>
      </c>
      <c r="I178" s="733">
        <v>0</v>
      </c>
      <c r="J178" s="734">
        <v>0</v>
      </c>
      <c r="K178" s="735">
        <v>0</v>
      </c>
      <c r="L178" s="736">
        <v>0</v>
      </c>
      <c r="M178" s="737">
        <v>0</v>
      </c>
      <c r="N178" s="738">
        <v>0</v>
      </c>
      <c r="O178" s="739">
        <v>0</v>
      </c>
      <c r="P178" s="740">
        <v>0</v>
      </c>
      <c r="Q178" s="814">
        <v>0</v>
      </c>
      <c r="R178" s="731">
        <v>0</v>
      </c>
      <c r="S178" s="733">
        <f t="shared" si="23"/>
        <v>0</v>
      </c>
      <c r="T178" s="707"/>
      <c r="U178" s="742"/>
      <c r="V178" s="742"/>
      <c r="W178" s="742"/>
      <c r="X178" s="742"/>
      <c r="Y178" s="720"/>
      <c r="Z178" s="720"/>
    </row>
    <row r="179" spans="1:26">
      <c r="A179" s="727" t="s">
        <v>642</v>
      </c>
      <c r="B179" s="727" t="s">
        <v>405</v>
      </c>
      <c r="C179" s="728">
        <v>170</v>
      </c>
      <c r="D179" s="829" t="str">
        <f t="shared" si="29"/>
        <v>4111</v>
      </c>
      <c r="E179" s="730" t="s">
        <v>643</v>
      </c>
      <c r="F179" s="731">
        <v>0</v>
      </c>
      <c r="G179" s="813">
        <v>0</v>
      </c>
      <c r="H179" s="733">
        <v>0</v>
      </c>
      <c r="I179" s="733">
        <v>0</v>
      </c>
      <c r="J179" s="734">
        <v>0</v>
      </c>
      <c r="K179" s="735">
        <v>0</v>
      </c>
      <c r="L179" s="736">
        <v>0</v>
      </c>
      <c r="M179" s="737">
        <v>0</v>
      </c>
      <c r="N179" s="738">
        <v>0</v>
      </c>
      <c r="O179" s="739">
        <v>0</v>
      </c>
      <c r="P179" s="740">
        <v>0</v>
      </c>
      <c r="Q179" s="814">
        <v>0</v>
      </c>
      <c r="R179" s="731">
        <v>0</v>
      </c>
      <c r="S179" s="733">
        <f t="shared" si="23"/>
        <v>0</v>
      </c>
      <c r="T179" s="707"/>
      <c r="U179" s="742"/>
      <c r="V179" s="742"/>
      <c r="W179" s="742"/>
      <c r="X179" s="742"/>
      <c r="Y179" s="720"/>
      <c r="Z179" s="720"/>
    </row>
    <row r="180" spans="1:26">
      <c r="A180" s="727" t="s">
        <v>644</v>
      </c>
      <c r="B180" s="727" t="s">
        <v>405</v>
      </c>
      <c r="C180" s="728">
        <v>171</v>
      </c>
      <c r="D180" s="828" t="str">
        <f t="shared" si="29"/>
        <v>4112</v>
      </c>
      <c r="E180" s="730" t="s">
        <v>645</v>
      </c>
      <c r="F180" s="731">
        <v>0</v>
      </c>
      <c r="G180" s="813">
        <v>0</v>
      </c>
      <c r="H180" s="733">
        <v>0</v>
      </c>
      <c r="I180" s="733">
        <v>0</v>
      </c>
      <c r="J180" s="734">
        <v>0</v>
      </c>
      <c r="K180" s="735">
        <v>0</v>
      </c>
      <c r="L180" s="736">
        <v>0</v>
      </c>
      <c r="M180" s="737">
        <v>0</v>
      </c>
      <c r="N180" s="738">
        <v>0</v>
      </c>
      <c r="O180" s="739">
        <v>0</v>
      </c>
      <c r="P180" s="740">
        <v>0</v>
      </c>
      <c r="Q180" s="814">
        <v>0</v>
      </c>
      <c r="R180" s="731">
        <v>0</v>
      </c>
      <c r="S180" s="733">
        <f t="shared" si="23"/>
        <v>0</v>
      </c>
      <c r="T180" s="707"/>
      <c r="U180" s="742"/>
      <c r="V180" s="742"/>
      <c r="W180" s="742"/>
      <c r="X180" s="742"/>
      <c r="Y180" s="720"/>
      <c r="Z180" s="720"/>
    </row>
    <row r="181" spans="1:26">
      <c r="A181" s="727" t="s">
        <v>646</v>
      </c>
      <c r="B181" s="727" t="s">
        <v>405</v>
      </c>
      <c r="C181" s="728">
        <v>172</v>
      </c>
      <c r="D181" s="729" t="str">
        <f t="shared" si="29"/>
        <v>[4200,4114]</v>
      </c>
      <c r="E181" s="730" t="s">
        <v>647</v>
      </c>
      <c r="F181" s="731">
        <v>-52577</v>
      </c>
      <c r="G181" s="813">
        <v>-4126.08</v>
      </c>
      <c r="H181" s="733">
        <v>-8252.17</v>
      </c>
      <c r="I181" s="733">
        <v>-12378.25</v>
      </c>
      <c r="J181" s="734">
        <v>-16504.330000000002</v>
      </c>
      <c r="K181" s="735">
        <v>-20630.419999999998</v>
      </c>
      <c r="L181" s="736">
        <v>-24404</v>
      </c>
      <c r="M181" s="737">
        <v>-28471.33</v>
      </c>
      <c r="N181" s="738">
        <v>-32538.67</v>
      </c>
      <c r="O181" s="739">
        <v>-36606</v>
      </c>
      <c r="P181" s="740">
        <v>-40673.33</v>
      </c>
      <c r="Q181" s="814">
        <v>-44766.67</v>
      </c>
      <c r="R181" s="731">
        <v>-48834</v>
      </c>
      <c r="S181" s="733">
        <f t="shared" si="23"/>
        <v>-26671.395833333332</v>
      </c>
      <c r="T181" s="707"/>
      <c r="U181" s="742"/>
      <c r="V181" s="742"/>
      <c r="W181" s="742"/>
      <c r="X181" s="742"/>
      <c r="Y181" s="720"/>
      <c r="Z181" s="720"/>
    </row>
    <row r="182" spans="1:26">
      <c r="A182" s="727"/>
      <c r="B182" s="727"/>
      <c r="C182" s="728">
        <v>173</v>
      </c>
      <c r="D182" s="729"/>
      <c r="E182" s="730" t="s">
        <v>648</v>
      </c>
      <c r="F182" s="755">
        <f>SUM(F175:F181)</f>
        <v>5962264.7400000002</v>
      </c>
      <c r="G182" s="755">
        <f t="shared" ref="G182:S182" si="30">SUM(G175:G181)</f>
        <v>2511284.4499999997</v>
      </c>
      <c r="H182" s="755">
        <f t="shared" si="30"/>
        <v>3977225.15</v>
      </c>
      <c r="I182" s="755">
        <f t="shared" si="30"/>
        <v>5116009.24</v>
      </c>
      <c r="J182" s="755">
        <f t="shared" si="30"/>
        <v>5083856.91</v>
      </c>
      <c r="K182" s="755">
        <f t="shared" si="30"/>
        <v>4304405.9499999993</v>
      </c>
      <c r="L182" s="755">
        <f t="shared" si="30"/>
        <v>3410813.49</v>
      </c>
      <c r="M182" s="755">
        <f t="shared" si="30"/>
        <v>2692764.84</v>
      </c>
      <c r="N182" s="755">
        <f t="shared" si="30"/>
        <v>1620357.2799999998</v>
      </c>
      <c r="O182" s="755">
        <f t="shared" si="30"/>
        <v>754513.49</v>
      </c>
      <c r="P182" s="755">
        <f t="shared" si="30"/>
        <v>825425.68</v>
      </c>
      <c r="Q182" s="755">
        <f t="shared" si="30"/>
        <v>2869008.16</v>
      </c>
      <c r="R182" s="755">
        <f t="shared" si="30"/>
        <v>5895500.5700000003</v>
      </c>
      <c r="S182" s="755">
        <f t="shared" si="30"/>
        <v>3257878.9412500001</v>
      </c>
      <c r="T182" s="707"/>
      <c r="U182" s="743">
        <f>S182</f>
        <v>3257878.9412500001</v>
      </c>
      <c r="V182" s="742"/>
      <c r="W182" s="742"/>
      <c r="X182" s="743"/>
      <c r="Y182" s="720"/>
      <c r="Z182" s="720"/>
    </row>
    <row r="183" spans="1:26">
      <c r="A183" s="727"/>
      <c r="B183" s="727"/>
      <c r="C183" s="728">
        <v>174</v>
      </c>
      <c r="D183" s="729"/>
      <c r="E183" s="730"/>
      <c r="F183" s="731"/>
      <c r="G183" s="813"/>
      <c r="H183" s="733"/>
      <c r="I183" s="733"/>
      <c r="J183" s="734"/>
      <c r="K183" s="735"/>
      <c r="L183" s="736"/>
      <c r="M183" s="737"/>
      <c r="N183" s="738"/>
      <c r="O183" s="739"/>
      <c r="P183" s="740"/>
      <c r="Q183" s="814"/>
      <c r="R183" s="731"/>
      <c r="S183" s="733">
        <f t="shared" si="23"/>
        <v>0</v>
      </c>
      <c r="T183" s="707"/>
      <c r="U183" s="742"/>
      <c r="V183" s="742"/>
      <c r="W183" s="742"/>
      <c r="X183" s="742"/>
      <c r="Y183" s="720"/>
      <c r="Z183" s="720"/>
    </row>
    <row r="184" spans="1:26">
      <c r="A184" s="727"/>
      <c r="B184" s="727"/>
      <c r="C184" s="728">
        <v>175</v>
      </c>
      <c r="D184" s="729"/>
      <c r="E184" s="730"/>
      <c r="F184" s="731"/>
      <c r="G184" s="813"/>
      <c r="H184" s="733"/>
      <c r="I184" s="733"/>
      <c r="J184" s="734"/>
      <c r="K184" s="735"/>
      <c r="L184" s="736"/>
      <c r="M184" s="737"/>
      <c r="N184" s="738"/>
      <c r="O184" s="739"/>
      <c r="P184" s="740"/>
      <c r="Q184" s="814"/>
      <c r="R184" s="731"/>
      <c r="S184" s="733">
        <f t="shared" si="23"/>
        <v>0</v>
      </c>
      <c r="T184" s="707"/>
      <c r="U184" s="742"/>
      <c r="V184" s="742"/>
      <c r="W184" s="742"/>
      <c r="X184" s="742"/>
      <c r="Y184" s="720"/>
      <c r="Z184" s="720"/>
    </row>
    <row r="185" spans="1:26">
      <c r="A185" s="727" t="s">
        <v>649</v>
      </c>
      <c r="B185" s="727" t="s">
        <v>405</v>
      </c>
      <c r="C185" s="728">
        <v>176</v>
      </c>
      <c r="D185" s="830" t="s">
        <v>649</v>
      </c>
      <c r="E185" s="730" t="s">
        <v>650</v>
      </c>
      <c r="F185" s="731">
        <v>0</v>
      </c>
      <c r="G185" s="813">
        <v>0</v>
      </c>
      <c r="H185" s="733">
        <v>0</v>
      </c>
      <c r="I185" s="733">
        <v>0</v>
      </c>
      <c r="J185" s="734">
        <v>0</v>
      </c>
      <c r="K185" s="735">
        <v>0</v>
      </c>
      <c r="L185" s="736">
        <v>0</v>
      </c>
      <c r="M185" s="737">
        <v>0</v>
      </c>
      <c r="N185" s="738">
        <v>0</v>
      </c>
      <c r="O185" s="739">
        <v>0</v>
      </c>
      <c r="P185" s="740">
        <v>0</v>
      </c>
      <c r="Q185" s="814">
        <v>0</v>
      </c>
      <c r="R185" s="731">
        <v>0</v>
      </c>
      <c r="S185" s="733">
        <f t="shared" si="23"/>
        <v>0</v>
      </c>
      <c r="T185" s="707"/>
      <c r="U185" s="742"/>
      <c r="V185" s="742"/>
      <c r="W185" s="742"/>
      <c r="X185" s="742"/>
      <c r="Y185" s="720"/>
      <c r="Z185" s="720"/>
    </row>
    <row r="186" spans="1:26">
      <c r="A186" s="727" t="s">
        <v>651</v>
      </c>
      <c r="B186" s="727" t="s">
        <v>405</v>
      </c>
      <c r="C186" s="728">
        <v>177</v>
      </c>
      <c r="D186" s="830" t="s">
        <v>651</v>
      </c>
      <c r="E186" s="730" t="s">
        <v>356</v>
      </c>
      <c r="F186" s="731">
        <v>0</v>
      </c>
      <c r="G186" s="813">
        <v>0</v>
      </c>
      <c r="H186" s="733">
        <v>0</v>
      </c>
      <c r="I186" s="733">
        <v>0</v>
      </c>
      <c r="J186" s="734">
        <v>0</v>
      </c>
      <c r="K186" s="735">
        <v>0</v>
      </c>
      <c r="L186" s="736">
        <v>0</v>
      </c>
      <c r="M186" s="737">
        <v>0</v>
      </c>
      <c r="N186" s="738">
        <v>0</v>
      </c>
      <c r="O186" s="739">
        <v>0</v>
      </c>
      <c r="P186" s="740">
        <v>0</v>
      </c>
      <c r="Q186" s="814">
        <v>0</v>
      </c>
      <c r="R186" s="731">
        <v>0</v>
      </c>
      <c r="S186" s="733">
        <f t="shared" si="23"/>
        <v>0</v>
      </c>
      <c r="T186" s="707"/>
      <c r="U186" s="742"/>
      <c r="V186" s="742"/>
      <c r="W186" s="742"/>
      <c r="X186" s="742"/>
      <c r="Y186" s="720"/>
      <c r="Z186" s="720"/>
    </row>
    <row r="187" spans="1:26">
      <c r="A187" s="727" t="s">
        <v>652</v>
      </c>
      <c r="B187" s="727" t="s">
        <v>405</v>
      </c>
      <c r="C187" s="728">
        <v>178</v>
      </c>
      <c r="D187" s="827" t="s">
        <v>653</v>
      </c>
      <c r="E187" s="730" t="s">
        <v>358</v>
      </c>
      <c r="F187" s="731">
        <v>263833.14</v>
      </c>
      <c r="G187" s="813">
        <v>14753.75</v>
      </c>
      <c r="H187" s="733">
        <v>43293.75</v>
      </c>
      <c r="I187" s="733">
        <v>60860.21</v>
      </c>
      <c r="J187" s="734">
        <v>74110.210000000006</v>
      </c>
      <c r="K187" s="735">
        <v>78050.210000000006</v>
      </c>
      <c r="L187" s="736">
        <v>82558.600000000006</v>
      </c>
      <c r="M187" s="737">
        <v>107911.98</v>
      </c>
      <c r="N187" s="738">
        <v>136956.31</v>
      </c>
      <c r="O187" s="808">
        <v>195295.73</v>
      </c>
      <c r="P187" s="740">
        <v>214414.6</v>
      </c>
      <c r="Q187" s="814">
        <v>224245.8</v>
      </c>
      <c r="R187" s="731">
        <v>232468.15</v>
      </c>
      <c r="S187" s="733">
        <f t="shared" si="23"/>
        <v>123383.48291666666</v>
      </c>
      <c r="T187" s="711"/>
      <c r="U187" s="742"/>
      <c r="V187" s="742"/>
      <c r="W187" s="742"/>
      <c r="X187" s="742"/>
      <c r="Y187" s="720"/>
      <c r="Z187" s="720"/>
    </row>
    <row r="188" spans="1:26">
      <c r="A188" s="727" t="s">
        <v>654</v>
      </c>
      <c r="B188" s="809" t="s">
        <v>405</v>
      </c>
      <c r="C188" s="728">
        <v>179</v>
      </c>
      <c r="D188" s="827" t="s">
        <v>655</v>
      </c>
      <c r="E188" s="730" t="s">
        <v>362</v>
      </c>
      <c r="F188" s="731">
        <v>275000</v>
      </c>
      <c r="G188" s="813">
        <v>0</v>
      </c>
      <c r="H188" s="733">
        <v>0</v>
      </c>
      <c r="I188" s="733">
        <v>39.04</v>
      </c>
      <c r="J188" s="734">
        <v>1138.45</v>
      </c>
      <c r="K188" s="735">
        <v>1138.45</v>
      </c>
      <c r="L188" s="736">
        <v>1138.45</v>
      </c>
      <c r="M188" s="737">
        <v>1183.79</v>
      </c>
      <c r="N188" s="738">
        <v>1183.79</v>
      </c>
      <c r="O188" s="739">
        <v>251183.79</v>
      </c>
      <c r="P188" s="740">
        <v>1001183.79</v>
      </c>
      <c r="Q188" s="814">
        <v>1001183.79</v>
      </c>
      <c r="R188" s="731">
        <v>1001183.79</v>
      </c>
      <c r="S188" s="733">
        <f t="shared" si="23"/>
        <v>241455.43625</v>
      </c>
      <c r="T188" s="707"/>
      <c r="U188" s="742"/>
      <c r="V188" s="742"/>
      <c r="W188" s="742"/>
      <c r="X188" s="742"/>
      <c r="Y188" s="720"/>
      <c r="Z188" s="720"/>
    </row>
    <row r="189" spans="1:26">
      <c r="A189" s="727" t="s">
        <v>405</v>
      </c>
      <c r="B189" s="727" t="s">
        <v>656</v>
      </c>
      <c r="C189" s="728">
        <v>180</v>
      </c>
      <c r="D189" s="827" t="s">
        <v>656</v>
      </c>
      <c r="E189" s="730" t="s">
        <v>657</v>
      </c>
      <c r="F189" s="731">
        <v>140881.34</v>
      </c>
      <c r="G189" s="813">
        <v>10696.89</v>
      </c>
      <c r="H189" s="733">
        <v>22607.64</v>
      </c>
      <c r="I189" s="733">
        <v>36018.39</v>
      </c>
      <c r="J189" s="734">
        <v>45929.14</v>
      </c>
      <c r="K189" s="735">
        <v>50839.89</v>
      </c>
      <c r="L189" s="736">
        <v>62856.41</v>
      </c>
      <c r="M189" s="737">
        <v>74025.3</v>
      </c>
      <c r="N189" s="738">
        <v>83998.75</v>
      </c>
      <c r="O189" s="808">
        <v>94998.41</v>
      </c>
      <c r="P189" s="740">
        <v>101488.85</v>
      </c>
      <c r="Q189" s="814">
        <v>112743.55</v>
      </c>
      <c r="R189" s="731">
        <v>128203.67</v>
      </c>
      <c r="S189" s="733">
        <f t="shared" si="23"/>
        <v>69228.810416666674</v>
      </c>
      <c r="T189" s="707"/>
      <c r="U189" s="742"/>
      <c r="V189" s="742"/>
      <c r="W189" s="742"/>
      <c r="X189" s="742"/>
      <c r="Y189" s="720"/>
      <c r="Z189" s="720"/>
    </row>
    <row r="190" spans="1:26">
      <c r="A190" s="727" t="s">
        <v>658</v>
      </c>
      <c r="B190" s="727" t="s">
        <v>405</v>
      </c>
      <c r="C190" s="728">
        <v>181</v>
      </c>
      <c r="D190" s="827" t="s">
        <v>659</v>
      </c>
      <c r="E190" s="730" t="s">
        <v>366</v>
      </c>
      <c r="F190" s="731">
        <v>213923.08</v>
      </c>
      <c r="G190" s="813">
        <v>0</v>
      </c>
      <c r="H190" s="733">
        <v>0</v>
      </c>
      <c r="I190" s="733">
        <v>631.73</v>
      </c>
      <c r="J190" s="734">
        <v>631.73</v>
      </c>
      <c r="K190" s="735">
        <v>631.73</v>
      </c>
      <c r="L190" s="736">
        <v>631.73</v>
      </c>
      <c r="M190" s="737">
        <v>816.73</v>
      </c>
      <c r="N190" s="738">
        <v>1126.73</v>
      </c>
      <c r="O190" s="808">
        <v>1126.73</v>
      </c>
      <c r="P190" s="740">
        <v>1126.73</v>
      </c>
      <c r="Q190" s="814">
        <v>1436.73</v>
      </c>
      <c r="R190" s="731">
        <v>1436.73</v>
      </c>
      <c r="S190" s="733">
        <f t="shared" si="23"/>
        <v>9653.3729166666672</v>
      </c>
      <c r="T190" s="707"/>
      <c r="U190" s="742"/>
      <c r="V190" s="742"/>
      <c r="W190" s="742"/>
      <c r="X190" s="742"/>
      <c r="Y190" s="720"/>
      <c r="Z190" s="720"/>
    </row>
    <row r="191" spans="1:26">
      <c r="A191" s="727" t="s">
        <v>660</v>
      </c>
      <c r="B191" s="727" t="s">
        <v>405</v>
      </c>
      <c r="C191" s="728">
        <v>182</v>
      </c>
      <c r="D191" s="827" t="s">
        <v>661</v>
      </c>
      <c r="E191" s="730" t="s">
        <v>662</v>
      </c>
      <c r="F191" s="731">
        <v>0</v>
      </c>
      <c r="G191" s="813">
        <v>0</v>
      </c>
      <c r="H191" s="733">
        <v>0</v>
      </c>
      <c r="I191" s="733">
        <v>0</v>
      </c>
      <c r="J191" s="734">
        <v>0</v>
      </c>
      <c r="K191" s="735">
        <v>0</v>
      </c>
      <c r="L191" s="736">
        <v>0</v>
      </c>
      <c r="M191" s="737">
        <v>0</v>
      </c>
      <c r="N191" s="738">
        <v>0</v>
      </c>
      <c r="O191" s="739">
        <v>0</v>
      </c>
      <c r="P191" s="740">
        <v>0</v>
      </c>
      <c r="Q191" s="814">
        <v>0</v>
      </c>
      <c r="R191" s="731">
        <v>0</v>
      </c>
      <c r="S191" s="733">
        <f t="shared" si="23"/>
        <v>0</v>
      </c>
      <c r="T191" s="707"/>
      <c r="U191" s="742"/>
      <c r="V191" s="742"/>
      <c r="W191" s="742"/>
      <c r="X191" s="742"/>
      <c r="Y191" s="720"/>
      <c r="Z191" s="720"/>
    </row>
    <row r="192" spans="1:26">
      <c r="A192" s="703" t="s">
        <v>663</v>
      </c>
      <c r="B192" s="703" t="s">
        <v>661</v>
      </c>
      <c r="C192" s="728">
        <v>183</v>
      </c>
      <c r="D192" s="705" t="str">
        <f>A192&amp;"."&amp;B192</f>
        <v>6011.4171</v>
      </c>
      <c r="E192" s="831" t="s">
        <v>664</v>
      </c>
      <c r="F192" s="731">
        <v>0</v>
      </c>
      <c r="G192" s="813">
        <v>0</v>
      </c>
      <c r="H192" s="733">
        <v>0</v>
      </c>
      <c r="I192" s="733">
        <v>0</v>
      </c>
      <c r="J192" s="734">
        <v>0</v>
      </c>
      <c r="K192" s="735">
        <v>0</v>
      </c>
      <c r="L192" s="736">
        <v>0</v>
      </c>
      <c r="M192" s="737">
        <v>0</v>
      </c>
      <c r="N192" s="738">
        <v>0</v>
      </c>
      <c r="O192" s="739">
        <v>0</v>
      </c>
      <c r="P192" s="740">
        <v>0</v>
      </c>
      <c r="Q192" s="814">
        <v>0</v>
      </c>
      <c r="R192" s="731">
        <v>0</v>
      </c>
      <c r="S192" s="733">
        <f t="shared" si="23"/>
        <v>0</v>
      </c>
      <c r="T192" s="707"/>
      <c r="U192" s="742"/>
      <c r="V192" s="742"/>
      <c r="W192" s="742"/>
      <c r="X192" s="742"/>
      <c r="Y192" s="720"/>
      <c r="Z192" s="720"/>
    </row>
    <row r="193" spans="1:26">
      <c r="A193" s="727" t="s">
        <v>665</v>
      </c>
      <c r="B193" s="727" t="s">
        <v>405</v>
      </c>
      <c r="C193" s="728">
        <v>184</v>
      </c>
      <c r="D193" s="729" t="str">
        <f>+A193</f>
        <v>4082</v>
      </c>
      <c r="E193" s="730" t="s">
        <v>666</v>
      </c>
      <c r="F193" s="731">
        <v>2940.1</v>
      </c>
      <c r="G193" s="813">
        <v>0</v>
      </c>
      <c r="H193" s="733">
        <v>0</v>
      </c>
      <c r="I193" s="733">
        <v>0</v>
      </c>
      <c r="J193" s="734">
        <v>1582.18</v>
      </c>
      <c r="K193" s="735">
        <v>1582.18</v>
      </c>
      <c r="L193" s="736">
        <v>1582.18</v>
      </c>
      <c r="M193" s="737">
        <v>1582.18</v>
      </c>
      <c r="N193" s="738">
        <v>3164.36</v>
      </c>
      <c r="O193" s="739">
        <v>3164.36</v>
      </c>
      <c r="P193" s="740">
        <v>3164.36</v>
      </c>
      <c r="Q193" s="814">
        <v>3164.36</v>
      </c>
      <c r="R193" s="731">
        <v>3164.36</v>
      </c>
      <c r="S193" s="733">
        <f t="shared" si="23"/>
        <v>1836.5325</v>
      </c>
      <c r="T193" s="707"/>
      <c r="U193" s="742"/>
      <c r="V193" s="742"/>
      <c r="W193" s="742"/>
      <c r="X193" s="742"/>
      <c r="Y193" s="720"/>
      <c r="Z193" s="720"/>
    </row>
    <row r="194" spans="1:26">
      <c r="A194" s="727"/>
      <c r="B194" s="727"/>
      <c r="C194" s="728">
        <v>185</v>
      </c>
      <c r="D194" s="729"/>
      <c r="E194" s="730" t="s">
        <v>667</v>
      </c>
      <c r="F194" s="755">
        <f>SUM(F185:F193)</f>
        <v>896577.65999999992</v>
      </c>
      <c r="G194" s="755">
        <f t="shared" ref="G194:S194" si="31">SUM(G185:G193)</f>
        <v>25450.639999999999</v>
      </c>
      <c r="H194" s="755">
        <f t="shared" si="31"/>
        <v>65901.39</v>
      </c>
      <c r="I194" s="755">
        <f t="shared" si="31"/>
        <v>97549.37</v>
      </c>
      <c r="J194" s="755">
        <f t="shared" si="31"/>
        <v>123391.70999999999</v>
      </c>
      <c r="K194" s="755">
        <f t="shared" si="31"/>
        <v>132242.46</v>
      </c>
      <c r="L194" s="755">
        <f t="shared" si="31"/>
        <v>148767.37000000002</v>
      </c>
      <c r="M194" s="755">
        <f t="shared" si="31"/>
        <v>185519.98</v>
      </c>
      <c r="N194" s="755">
        <f t="shared" si="31"/>
        <v>226429.94</v>
      </c>
      <c r="O194" s="755">
        <f t="shared" si="31"/>
        <v>545769.02</v>
      </c>
      <c r="P194" s="755">
        <f t="shared" si="31"/>
        <v>1321378.3300000003</v>
      </c>
      <c r="Q194" s="755">
        <f t="shared" si="31"/>
        <v>1342774.2300000002</v>
      </c>
      <c r="R194" s="755">
        <f t="shared" si="31"/>
        <v>1366456.7</v>
      </c>
      <c r="S194" s="755">
        <f t="shared" si="31"/>
        <v>445557.63500000001</v>
      </c>
      <c r="T194" s="707"/>
      <c r="U194" s="743">
        <f>S194</f>
        <v>445557.63500000001</v>
      </c>
      <c r="V194" s="742"/>
      <c r="W194" s="742"/>
      <c r="X194" s="743"/>
      <c r="Y194" s="720"/>
      <c r="Z194" s="720"/>
    </row>
    <row r="195" spans="1:26">
      <c r="A195" s="727"/>
      <c r="B195" s="727"/>
      <c r="C195" s="728">
        <v>186</v>
      </c>
      <c r="D195" s="729"/>
      <c r="E195" s="730"/>
      <c r="F195" s="731"/>
      <c r="G195" s="813"/>
      <c r="H195" s="733"/>
      <c r="I195" s="733"/>
      <c r="J195" s="734"/>
      <c r="K195" s="735"/>
      <c r="L195" s="736"/>
      <c r="M195" s="737"/>
      <c r="N195" s="738"/>
      <c r="O195" s="739"/>
      <c r="P195" s="740"/>
      <c r="Q195" s="814"/>
      <c r="R195" s="731"/>
      <c r="S195" s="733">
        <f t="shared" si="23"/>
        <v>0</v>
      </c>
      <c r="T195" s="707"/>
      <c r="U195" s="742"/>
      <c r="V195" s="742"/>
      <c r="W195" s="742"/>
      <c r="X195" s="742"/>
      <c r="Y195" s="720"/>
      <c r="Z195" s="720"/>
    </row>
    <row r="196" spans="1:26">
      <c r="A196" s="727" t="s">
        <v>668</v>
      </c>
      <c r="B196" s="727" t="s">
        <v>405</v>
      </c>
      <c r="C196" s="728">
        <v>187</v>
      </c>
      <c r="D196" s="729" t="str">
        <f>+A196</f>
        <v>4380</v>
      </c>
      <c r="E196" s="730" t="s">
        <v>669</v>
      </c>
      <c r="F196" s="731">
        <v>16640000</v>
      </c>
      <c r="G196" s="813">
        <v>0</v>
      </c>
      <c r="H196" s="733">
        <v>4160000</v>
      </c>
      <c r="I196" s="733">
        <v>4160000</v>
      </c>
      <c r="J196" s="734">
        <v>4160000</v>
      </c>
      <c r="K196" s="735">
        <v>8320000</v>
      </c>
      <c r="L196" s="736">
        <v>8320000</v>
      </c>
      <c r="M196" s="737">
        <v>8320000</v>
      </c>
      <c r="N196" s="738">
        <v>12480000</v>
      </c>
      <c r="O196" s="739">
        <v>12480000</v>
      </c>
      <c r="P196" s="740">
        <v>12480000</v>
      </c>
      <c r="Q196" s="814">
        <v>16640000</v>
      </c>
      <c r="R196" s="731">
        <v>16640000</v>
      </c>
      <c r="S196" s="733">
        <f t="shared" si="23"/>
        <v>9013333.333333334</v>
      </c>
      <c r="T196" s="707"/>
      <c r="U196" s="742"/>
      <c r="V196" s="742"/>
      <c r="W196" s="742"/>
      <c r="X196" s="742"/>
      <c r="Y196" s="720"/>
      <c r="Z196" s="720"/>
    </row>
    <row r="197" spans="1:26">
      <c r="A197" s="727"/>
      <c r="B197" s="727"/>
      <c r="C197" s="728">
        <v>188</v>
      </c>
      <c r="D197" s="832"/>
      <c r="E197" s="730" t="s">
        <v>670</v>
      </c>
      <c r="F197" s="755">
        <f>+F196</f>
        <v>16640000</v>
      </c>
      <c r="G197" s="755">
        <f t="shared" ref="G197:S197" si="32">+G196</f>
        <v>0</v>
      </c>
      <c r="H197" s="755">
        <f t="shared" si="32"/>
        <v>4160000</v>
      </c>
      <c r="I197" s="755">
        <f t="shared" si="32"/>
        <v>4160000</v>
      </c>
      <c r="J197" s="755">
        <f t="shared" si="32"/>
        <v>4160000</v>
      </c>
      <c r="K197" s="755">
        <f t="shared" si="32"/>
        <v>8320000</v>
      </c>
      <c r="L197" s="755">
        <f t="shared" si="32"/>
        <v>8320000</v>
      </c>
      <c r="M197" s="755">
        <f t="shared" si="32"/>
        <v>8320000</v>
      </c>
      <c r="N197" s="755">
        <f t="shared" si="32"/>
        <v>12480000</v>
      </c>
      <c r="O197" s="755">
        <f t="shared" si="32"/>
        <v>12480000</v>
      </c>
      <c r="P197" s="755">
        <f t="shared" si="32"/>
        <v>12480000</v>
      </c>
      <c r="Q197" s="755">
        <f t="shared" si="32"/>
        <v>16640000</v>
      </c>
      <c r="R197" s="755">
        <f t="shared" si="32"/>
        <v>16640000</v>
      </c>
      <c r="S197" s="755">
        <f t="shared" si="32"/>
        <v>9013333.333333334</v>
      </c>
      <c r="T197" s="707"/>
      <c r="U197" s="743">
        <f>S197</f>
        <v>9013333.333333334</v>
      </c>
      <c r="V197" s="742"/>
      <c r="W197" s="742"/>
      <c r="X197" s="743"/>
      <c r="Y197" s="720"/>
      <c r="Z197" s="720"/>
    </row>
    <row r="198" spans="1:26">
      <c r="A198" s="727"/>
      <c r="B198" s="727"/>
      <c r="C198" s="728">
        <v>189</v>
      </c>
      <c r="D198" s="729"/>
      <c r="E198" s="730"/>
      <c r="F198" s="744"/>
      <c r="G198" s="816"/>
      <c r="H198" s="746"/>
      <c r="I198" s="746"/>
      <c r="J198" s="747"/>
      <c r="K198" s="748"/>
      <c r="L198" s="749"/>
      <c r="M198" s="750"/>
      <c r="N198" s="751"/>
      <c r="O198" s="752"/>
      <c r="P198" s="753"/>
      <c r="Q198" s="817"/>
      <c r="R198" s="744"/>
      <c r="S198" s="733">
        <f t="shared" si="23"/>
        <v>0</v>
      </c>
      <c r="T198" s="707"/>
      <c r="U198" s="742"/>
      <c r="V198" s="742"/>
      <c r="W198" s="742"/>
      <c r="X198" s="742"/>
      <c r="Y198" s="720"/>
      <c r="Z198" s="720"/>
    </row>
    <row r="199" spans="1:26" ht="16.5" thickBot="1">
      <c r="A199" s="727"/>
      <c r="B199" s="727"/>
      <c r="C199" s="728">
        <v>190</v>
      </c>
      <c r="D199" s="729"/>
      <c r="E199" s="730" t="s">
        <v>671</v>
      </c>
      <c r="F199" s="833">
        <f>+F197+F194+F182+F173+F164+F159+F155+F153+F147+F132+F124+F109+F107+F106+F104+F100+F90+F81+F49+F39+F33+F29+F45</f>
        <v>957808188.95999992</v>
      </c>
      <c r="G199" s="833">
        <f t="shared" ref="G199:S199" si="33">+G197+G194+G182+G173+G164+G159+G155+G153+G147+G132+G124+G109+G107+G106+G104+G100+G90+G81+G49+G39+G33+G29+G45</f>
        <v>702758578.59000003</v>
      </c>
      <c r="H199" s="833">
        <f t="shared" si="33"/>
        <v>735000254.91000009</v>
      </c>
      <c r="I199" s="833">
        <f t="shared" si="33"/>
        <v>765442960.05999994</v>
      </c>
      <c r="J199" s="833">
        <f t="shared" si="33"/>
        <v>772363559.80999994</v>
      </c>
      <c r="K199" s="833">
        <f t="shared" si="33"/>
        <v>787640044.00999975</v>
      </c>
      <c r="L199" s="833">
        <f t="shared" si="33"/>
        <v>797992253.00999999</v>
      </c>
      <c r="M199" s="833">
        <f t="shared" si="33"/>
        <v>804112169.54999995</v>
      </c>
      <c r="N199" s="833">
        <f t="shared" si="33"/>
        <v>813852966.13999999</v>
      </c>
      <c r="O199" s="833">
        <f t="shared" si="33"/>
        <v>825107690.84000003</v>
      </c>
      <c r="P199" s="833">
        <f t="shared" si="33"/>
        <v>852872870.34000003</v>
      </c>
      <c r="Q199" s="833">
        <f t="shared" si="33"/>
        <v>886611525.82000017</v>
      </c>
      <c r="R199" s="833">
        <f t="shared" si="33"/>
        <v>945811407.76999998</v>
      </c>
      <c r="S199" s="833">
        <f t="shared" si="33"/>
        <v>807963722.62041652</v>
      </c>
      <c r="T199" s="707"/>
      <c r="U199" s="742"/>
      <c r="V199" s="742"/>
      <c r="W199" s="742"/>
      <c r="X199" s="742"/>
      <c r="Y199" s="720"/>
      <c r="Z199" s="720"/>
    </row>
    <row r="200" spans="1:26" ht="16.5" thickTop="1">
      <c r="A200" s="727"/>
      <c r="B200" s="727"/>
      <c r="C200" s="728">
        <v>191</v>
      </c>
      <c r="D200" s="729"/>
      <c r="E200" s="730"/>
      <c r="F200" s="731"/>
      <c r="G200" s="813"/>
      <c r="H200" s="733"/>
      <c r="I200" s="733"/>
      <c r="J200" s="734"/>
      <c r="K200" s="735"/>
      <c r="L200" s="736"/>
      <c r="M200" s="737"/>
      <c r="N200" s="738"/>
      <c r="O200" s="739"/>
      <c r="P200" s="740"/>
      <c r="Q200" s="814"/>
      <c r="R200" s="731"/>
      <c r="S200" s="733">
        <f t="shared" si="23"/>
        <v>0</v>
      </c>
      <c r="T200" s="707"/>
      <c r="U200" s="742"/>
      <c r="V200" s="742"/>
      <c r="W200" s="742"/>
      <c r="X200" s="742"/>
      <c r="Y200" s="720"/>
      <c r="Z200" s="720"/>
    </row>
    <row r="201" spans="1:26">
      <c r="A201" s="727"/>
      <c r="B201" s="727"/>
      <c r="C201" s="728">
        <v>192</v>
      </c>
      <c r="D201" s="729"/>
      <c r="E201" s="730"/>
      <c r="F201" s="731"/>
      <c r="G201" s="813"/>
      <c r="H201" s="733"/>
      <c r="I201" s="733"/>
      <c r="J201" s="734"/>
      <c r="K201" s="735"/>
      <c r="L201" s="736"/>
      <c r="M201" s="737"/>
      <c r="N201" s="738"/>
      <c r="O201" s="739"/>
      <c r="P201" s="740"/>
      <c r="Q201" s="814"/>
      <c r="R201" s="731"/>
      <c r="S201" s="733">
        <f t="shared" si="23"/>
        <v>0</v>
      </c>
      <c r="T201" s="707"/>
      <c r="U201" s="742"/>
      <c r="V201" s="742"/>
      <c r="W201" s="742"/>
      <c r="X201" s="742"/>
      <c r="Y201" s="720"/>
      <c r="Z201" s="720"/>
    </row>
    <row r="202" spans="1:26">
      <c r="A202" s="727" t="s">
        <v>672</v>
      </c>
      <c r="B202" s="727" t="s">
        <v>405</v>
      </c>
      <c r="C202" s="728">
        <v>193</v>
      </c>
      <c r="D202" s="727" t="str">
        <f>+A202</f>
        <v>2010</v>
      </c>
      <c r="E202" s="785" t="s">
        <v>673</v>
      </c>
      <c r="F202" s="731">
        <v>-1000</v>
      </c>
      <c r="G202" s="813">
        <v>-1000</v>
      </c>
      <c r="H202" s="733">
        <v>-1000</v>
      </c>
      <c r="I202" s="733">
        <v>-1000</v>
      </c>
      <c r="J202" s="734">
        <v>-1000</v>
      </c>
      <c r="K202" s="735">
        <v>-1000</v>
      </c>
      <c r="L202" s="736">
        <v>-1000</v>
      </c>
      <c r="M202" s="737">
        <v>-1000</v>
      </c>
      <c r="N202" s="738">
        <v>-1000</v>
      </c>
      <c r="O202" s="739">
        <v>-1000</v>
      </c>
      <c r="P202" s="740">
        <v>-1000</v>
      </c>
      <c r="Q202" s="814">
        <v>-1000</v>
      </c>
      <c r="R202" s="731">
        <v>-1000</v>
      </c>
      <c r="S202" s="733">
        <f t="shared" si="23"/>
        <v>-1000</v>
      </c>
      <c r="T202" s="707"/>
      <c r="U202" s="742"/>
      <c r="V202" s="742"/>
      <c r="W202" s="742"/>
      <c r="X202" s="742"/>
      <c r="Y202" s="720"/>
      <c r="Z202" s="720"/>
    </row>
    <row r="203" spans="1:26">
      <c r="A203" s="727" t="s">
        <v>674</v>
      </c>
      <c r="B203" s="727" t="s">
        <v>622</v>
      </c>
      <c r="C203" s="728">
        <v>194</v>
      </c>
      <c r="D203" s="729" t="str">
        <f>A203&amp;"."&amp;B203</f>
        <v>2160.1</v>
      </c>
      <c r="E203" s="785" t="s">
        <v>675</v>
      </c>
      <c r="F203" s="731">
        <v>-44676389.859999999</v>
      </c>
      <c r="G203" s="813">
        <v>-40209183.609999999</v>
      </c>
      <c r="H203" s="733">
        <v>-40209183.609999999</v>
      </c>
      <c r="I203" s="733">
        <v>-40209183.609999999</v>
      </c>
      <c r="J203" s="734">
        <v>-40205542.240000002</v>
      </c>
      <c r="K203" s="735">
        <v>-40205542.240000002</v>
      </c>
      <c r="L203" s="736">
        <v>-40205542.240000002</v>
      </c>
      <c r="M203" s="737">
        <v>-40205542.240000002</v>
      </c>
      <c r="N203" s="738">
        <v>-40205542.240000002</v>
      </c>
      <c r="O203" s="739">
        <v>-40205542.240000002</v>
      </c>
      <c r="P203" s="740">
        <v>-40205542.240000002</v>
      </c>
      <c r="Q203" s="814">
        <v>-40205542.240000002</v>
      </c>
      <c r="R203" s="731">
        <v>-40205542.240000002</v>
      </c>
      <c r="S203" s="733">
        <f t="shared" si="23"/>
        <v>-40392737.900000006</v>
      </c>
      <c r="T203" s="707"/>
      <c r="U203" s="742"/>
      <c r="V203" s="710"/>
      <c r="W203" s="710"/>
      <c r="X203" s="710"/>
      <c r="Y203" s="720"/>
      <c r="Z203" s="720"/>
    </row>
    <row r="204" spans="1:26">
      <c r="A204" s="727" t="s">
        <v>674</v>
      </c>
      <c r="B204" s="727" t="s">
        <v>676</v>
      </c>
      <c r="C204" s="728">
        <v>195</v>
      </c>
      <c r="D204" s="729" t="str">
        <f>A204&amp;"."&amp;B204</f>
        <v>2160.2</v>
      </c>
      <c r="E204" s="785" t="s">
        <v>677</v>
      </c>
      <c r="F204" s="731">
        <v>3641.37</v>
      </c>
      <c r="G204" s="813">
        <v>3641.37</v>
      </c>
      <c r="H204" s="733">
        <v>3641.37</v>
      </c>
      <c r="I204" s="733">
        <v>3641.37</v>
      </c>
      <c r="J204" s="734">
        <v>0</v>
      </c>
      <c r="K204" s="735">
        <v>0</v>
      </c>
      <c r="L204" s="736">
        <v>0</v>
      </c>
      <c r="M204" s="737">
        <v>0</v>
      </c>
      <c r="N204" s="738">
        <v>0</v>
      </c>
      <c r="O204" s="739">
        <v>0</v>
      </c>
      <c r="P204" s="740">
        <v>0</v>
      </c>
      <c r="Q204" s="814">
        <v>0</v>
      </c>
      <c r="R204" s="731">
        <v>0</v>
      </c>
      <c r="S204" s="733">
        <f t="shared" ref="S204:S267" si="34">((F204+R204)+((G204+H204+I204+J204+K204+L204+M204+N204+O204+P204+Q204)*2))/24</f>
        <v>1062.0662500000001</v>
      </c>
      <c r="T204" s="707"/>
      <c r="U204" s="742"/>
      <c r="V204" s="710"/>
      <c r="W204" s="710"/>
      <c r="X204" s="710"/>
      <c r="Y204" s="720"/>
      <c r="Z204" s="720"/>
    </row>
    <row r="205" spans="1:26">
      <c r="A205" s="727" t="s">
        <v>674</v>
      </c>
      <c r="B205" s="727" t="s">
        <v>678</v>
      </c>
      <c r="C205" s="728">
        <v>196</v>
      </c>
      <c r="D205" s="729" t="str">
        <f>A205&amp;"."&amp;B205</f>
        <v>2160.3</v>
      </c>
      <c r="E205" s="785" t="s">
        <v>679</v>
      </c>
      <c r="F205" s="731">
        <v>7513</v>
      </c>
      <c r="G205" s="813">
        <v>2245</v>
      </c>
      <c r="H205" s="733">
        <v>4490</v>
      </c>
      <c r="I205" s="733">
        <v>6170</v>
      </c>
      <c r="J205" s="734">
        <v>7850</v>
      </c>
      <c r="K205" s="735">
        <v>9530</v>
      </c>
      <c r="L205" s="736">
        <v>11210</v>
      </c>
      <c r="M205" s="737">
        <v>12828</v>
      </c>
      <c r="N205" s="738">
        <v>14446</v>
      </c>
      <c r="O205" s="739">
        <v>16064</v>
      </c>
      <c r="P205" s="740">
        <v>17682</v>
      </c>
      <c r="Q205" s="814">
        <v>19300</v>
      </c>
      <c r="R205" s="731">
        <v>15598</v>
      </c>
      <c r="S205" s="733">
        <f t="shared" si="34"/>
        <v>11114.208333333334</v>
      </c>
      <c r="T205" s="707"/>
      <c r="U205" s="742"/>
      <c r="V205" s="710"/>
      <c r="W205" s="710"/>
      <c r="X205" s="710"/>
      <c r="Y205" s="720"/>
      <c r="Z205" s="720"/>
    </row>
    <row r="206" spans="1:26">
      <c r="A206" s="727" t="s">
        <v>680</v>
      </c>
      <c r="B206" s="727" t="s">
        <v>622</v>
      </c>
      <c r="C206" s="728">
        <v>197</v>
      </c>
      <c r="D206" s="729" t="str">
        <f>A206&amp;"."&amp;B206</f>
        <v>2161.1</v>
      </c>
      <c r="E206" s="785" t="s">
        <v>681</v>
      </c>
      <c r="F206" s="731">
        <v>2000629.64</v>
      </c>
      <c r="G206" s="813">
        <v>2000629.64</v>
      </c>
      <c r="H206" s="733">
        <v>2000629.64</v>
      </c>
      <c r="I206" s="733">
        <v>2000629.64</v>
      </c>
      <c r="J206" s="734">
        <v>2000629.64</v>
      </c>
      <c r="K206" s="735">
        <v>2000629.64</v>
      </c>
      <c r="L206" s="736">
        <v>2000629.64</v>
      </c>
      <c r="M206" s="737">
        <v>2000629.64</v>
      </c>
      <c r="N206" s="738">
        <v>2000629.64</v>
      </c>
      <c r="O206" s="739">
        <v>2000629.64</v>
      </c>
      <c r="P206" s="740">
        <v>2000629.64</v>
      </c>
      <c r="Q206" s="814">
        <v>2000629.64</v>
      </c>
      <c r="R206" s="731">
        <v>2000629.64</v>
      </c>
      <c r="S206" s="733">
        <f t="shared" si="34"/>
        <v>2000629.6400000004</v>
      </c>
      <c r="T206" s="707"/>
      <c r="U206" s="742"/>
      <c r="V206" s="710"/>
      <c r="W206" s="710"/>
      <c r="X206" s="710"/>
      <c r="Y206" s="720"/>
      <c r="Z206" s="720"/>
    </row>
    <row r="207" spans="1:26">
      <c r="A207" s="727" t="s">
        <v>682</v>
      </c>
      <c r="B207" s="727" t="s">
        <v>405</v>
      </c>
      <c r="C207" s="728">
        <v>198</v>
      </c>
      <c r="D207" s="729" t="str">
        <f>+A207</f>
        <v>2071</v>
      </c>
      <c r="E207" s="785" t="s">
        <v>683</v>
      </c>
      <c r="F207" s="731">
        <v>-152703952.19</v>
      </c>
      <c r="G207" s="813">
        <v>-152703952.19</v>
      </c>
      <c r="H207" s="733">
        <v>-152703952.19</v>
      </c>
      <c r="I207" s="733">
        <v>-152698667.75</v>
      </c>
      <c r="J207" s="734">
        <v>-152698667.75</v>
      </c>
      <c r="K207" s="735">
        <v>-152698667.75</v>
      </c>
      <c r="L207" s="736">
        <v>-152698667.75</v>
      </c>
      <c r="M207" s="737">
        <v>-152698667.75</v>
      </c>
      <c r="N207" s="738">
        <v>-152698667.75</v>
      </c>
      <c r="O207" s="739">
        <v>-152698667.75</v>
      </c>
      <c r="P207" s="740">
        <v>-160698667.75</v>
      </c>
      <c r="Q207" s="814">
        <v>-160698667.75</v>
      </c>
      <c r="R207" s="731">
        <v>-160698667.75</v>
      </c>
      <c r="S207" s="733">
        <f t="shared" si="34"/>
        <v>-154366435.34166667</v>
      </c>
      <c r="T207" s="707"/>
      <c r="U207" s="742"/>
      <c r="V207" s="710"/>
      <c r="W207" s="710"/>
      <c r="X207" s="710"/>
      <c r="Y207" s="720"/>
      <c r="Z207" s="720"/>
    </row>
    <row r="208" spans="1:26">
      <c r="A208" s="727" t="s">
        <v>684</v>
      </c>
      <c r="B208" s="727" t="s">
        <v>405</v>
      </c>
      <c r="C208" s="728">
        <v>199</v>
      </c>
      <c r="D208" s="727" t="str">
        <f>+A208</f>
        <v>2100</v>
      </c>
      <c r="E208" s="785" t="s">
        <v>685</v>
      </c>
      <c r="F208" s="731">
        <v>0</v>
      </c>
      <c r="G208" s="813">
        <v>0</v>
      </c>
      <c r="H208" s="733">
        <v>0</v>
      </c>
      <c r="I208" s="733">
        <v>0</v>
      </c>
      <c r="J208" s="734">
        <v>0</v>
      </c>
      <c r="K208" s="735">
        <v>0</v>
      </c>
      <c r="L208" s="736">
        <v>0</v>
      </c>
      <c r="M208" s="737">
        <v>0</v>
      </c>
      <c r="N208" s="738">
        <v>0</v>
      </c>
      <c r="O208" s="739">
        <v>0</v>
      </c>
      <c r="P208" s="740">
        <v>0</v>
      </c>
      <c r="Q208" s="814">
        <v>0</v>
      </c>
      <c r="R208" s="731">
        <v>0</v>
      </c>
      <c r="S208" s="733">
        <f t="shared" si="34"/>
        <v>0</v>
      </c>
      <c r="T208" s="707"/>
      <c r="U208" s="742"/>
      <c r="V208" s="710"/>
      <c r="W208" s="710"/>
      <c r="X208" s="710"/>
      <c r="Y208" s="720"/>
      <c r="Z208" s="720"/>
    </row>
    <row r="209" spans="1:26">
      <c r="A209" s="727" t="s">
        <v>686</v>
      </c>
      <c r="B209" s="727" t="s">
        <v>405</v>
      </c>
      <c r="C209" s="728">
        <v>200</v>
      </c>
      <c r="D209" s="727" t="str">
        <f>+A209</f>
        <v>2110</v>
      </c>
      <c r="E209" s="785" t="s">
        <v>687</v>
      </c>
      <c r="F209" s="731">
        <v>0</v>
      </c>
      <c r="G209" s="813">
        <v>0</v>
      </c>
      <c r="H209" s="733">
        <v>0</v>
      </c>
      <c r="I209" s="733">
        <v>0</v>
      </c>
      <c r="J209" s="734">
        <v>0</v>
      </c>
      <c r="K209" s="735">
        <v>0</v>
      </c>
      <c r="L209" s="736">
        <v>0</v>
      </c>
      <c r="M209" s="737">
        <v>0</v>
      </c>
      <c r="N209" s="738">
        <v>0</v>
      </c>
      <c r="O209" s="739">
        <v>0</v>
      </c>
      <c r="P209" s="740">
        <v>0</v>
      </c>
      <c r="Q209" s="814">
        <v>0</v>
      </c>
      <c r="R209" s="731">
        <v>0</v>
      </c>
      <c r="S209" s="733">
        <f t="shared" si="34"/>
        <v>0</v>
      </c>
      <c r="T209" s="707"/>
      <c r="U209" s="742"/>
      <c r="V209" s="710"/>
      <c r="W209" s="710"/>
      <c r="X209" s="710"/>
      <c r="Y209" s="720"/>
      <c r="Z209" s="720"/>
    </row>
    <row r="210" spans="1:26">
      <c r="A210" s="727" t="s">
        <v>688</v>
      </c>
      <c r="B210" s="727" t="s">
        <v>405</v>
      </c>
      <c r="C210" s="728">
        <v>201</v>
      </c>
      <c r="D210" s="729" t="str">
        <f>+A210</f>
        <v>2190</v>
      </c>
      <c r="E210" s="785" t="s">
        <v>689</v>
      </c>
      <c r="F210" s="731">
        <v>0</v>
      </c>
      <c r="G210" s="813">
        <v>0</v>
      </c>
      <c r="H210" s="733">
        <v>0</v>
      </c>
      <c r="I210" s="733">
        <v>0</v>
      </c>
      <c r="J210" s="734">
        <v>0</v>
      </c>
      <c r="K210" s="735">
        <v>0</v>
      </c>
      <c r="L210" s="736">
        <v>0</v>
      </c>
      <c r="M210" s="737">
        <v>0</v>
      </c>
      <c r="N210" s="738">
        <v>0</v>
      </c>
      <c r="O210" s="739">
        <v>0</v>
      </c>
      <c r="P210" s="740">
        <v>0</v>
      </c>
      <c r="Q210" s="814">
        <v>0</v>
      </c>
      <c r="R210" s="731">
        <v>0</v>
      </c>
      <c r="S210" s="733">
        <f t="shared" si="34"/>
        <v>0</v>
      </c>
      <c r="T210" s="707"/>
      <c r="U210" s="742"/>
      <c r="V210" s="710"/>
      <c r="W210" s="710"/>
      <c r="X210" s="710"/>
      <c r="Y210" s="720"/>
      <c r="Z210" s="720"/>
    </row>
    <row r="211" spans="1:26">
      <c r="A211" s="727" t="s">
        <v>690</v>
      </c>
      <c r="B211" s="727" t="s">
        <v>405</v>
      </c>
      <c r="C211" s="728">
        <v>202</v>
      </c>
      <c r="D211" s="729" t="str">
        <f>+A211</f>
        <v>2141</v>
      </c>
      <c r="E211" s="785" t="s">
        <v>691</v>
      </c>
      <c r="F211" s="731">
        <v>0</v>
      </c>
      <c r="G211" s="813">
        <v>0</v>
      </c>
      <c r="H211" s="733">
        <v>0</v>
      </c>
      <c r="I211" s="733">
        <v>0</v>
      </c>
      <c r="J211" s="734">
        <v>0</v>
      </c>
      <c r="K211" s="735">
        <v>0</v>
      </c>
      <c r="L211" s="736">
        <v>0</v>
      </c>
      <c r="M211" s="737">
        <v>0</v>
      </c>
      <c r="N211" s="738">
        <v>0</v>
      </c>
      <c r="O211" s="739">
        <v>0</v>
      </c>
      <c r="P211" s="740">
        <v>0</v>
      </c>
      <c r="Q211" s="814">
        <v>0</v>
      </c>
      <c r="R211" s="731">
        <v>0</v>
      </c>
      <c r="S211" s="733">
        <f t="shared" si="34"/>
        <v>0</v>
      </c>
      <c r="T211" s="707"/>
      <c r="U211" s="742"/>
      <c r="V211" s="710"/>
      <c r="W211" s="710"/>
      <c r="X211" s="710"/>
      <c r="Y211" s="720"/>
      <c r="Z211" s="720"/>
    </row>
    <row r="212" spans="1:26">
      <c r="A212" s="727"/>
      <c r="B212" s="727"/>
      <c r="C212" s="728">
        <v>203</v>
      </c>
      <c r="D212" s="729"/>
      <c r="E212" s="785"/>
      <c r="F212" s="731"/>
      <c r="G212" s="813"/>
      <c r="H212" s="733"/>
      <c r="I212" s="733"/>
      <c r="J212" s="734"/>
      <c r="K212" s="735"/>
      <c r="L212" s="736"/>
      <c r="M212" s="737"/>
      <c r="N212" s="738"/>
      <c r="O212" s="739"/>
      <c r="P212" s="740"/>
      <c r="Q212" s="814"/>
      <c r="R212" s="731"/>
      <c r="S212" s="733">
        <f t="shared" si="34"/>
        <v>0</v>
      </c>
      <c r="T212" s="707"/>
      <c r="U212" s="742"/>
      <c r="V212" s="710"/>
      <c r="W212" s="710"/>
      <c r="X212" s="710"/>
      <c r="Y212" s="720"/>
      <c r="Z212" s="720"/>
    </row>
    <row r="213" spans="1:26">
      <c r="A213" s="727"/>
      <c r="B213" s="727"/>
      <c r="C213" s="728">
        <v>204</v>
      </c>
      <c r="D213" s="729"/>
      <c r="E213" s="785" t="s">
        <v>692</v>
      </c>
      <c r="F213" s="755">
        <f>SUM(F202:F211)</f>
        <v>-195369558.03999999</v>
      </c>
      <c r="G213" s="755">
        <f t="shared" ref="G213:S213" si="35">SUM(G202:G211)</f>
        <v>-190907619.78999999</v>
      </c>
      <c r="H213" s="755">
        <f t="shared" si="35"/>
        <v>-190905374.78999999</v>
      </c>
      <c r="I213" s="755">
        <f t="shared" si="35"/>
        <v>-190898410.34999999</v>
      </c>
      <c r="J213" s="755">
        <f t="shared" si="35"/>
        <v>-190896730.34999999</v>
      </c>
      <c r="K213" s="755">
        <f t="shared" si="35"/>
        <v>-190895050.34999999</v>
      </c>
      <c r="L213" s="755">
        <f t="shared" si="35"/>
        <v>-190893370.34999999</v>
      </c>
      <c r="M213" s="755">
        <f t="shared" si="35"/>
        <v>-190891752.34999999</v>
      </c>
      <c r="N213" s="755">
        <f t="shared" si="35"/>
        <v>-190890134.34999999</v>
      </c>
      <c r="O213" s="755">
        <f t="shared" si="35"/>
        <v>-190888516.34999999</v>
      </c>
      <c r="P213" s="755">
        <f t="shared" si="35"/>
        <v>-198886898.34999999</v>
      </c>
      <c r="Q213" s="755">
        <f t="shared" si="35"/>
        <v>-198885280.34999999</v>
      </c>
      <c r="R213" s="755">
        <f t="shared" si="35"/>
        <v>-198888982.34999999</v>
      </c>
      <c r="S213" s="755">
        <f t="shared" si="35"/>
        <v>-192747367.32708335</v>
      </c>
      <c r="T213" s="707"/>
      <c r="U213" s="743">
        <f>S213</f>
        <v>-192747367.32708335</v>
      </c>
      <c r="V213" s="710"/>
      <c r="W213" s="710"/>
      <c r="X213" s="710"/>
      <c r="Y213" s="720"/>
      <c r="Z213" s="720"/>
    </row>
    <row r="214" spans="1:26">
      <c r="A214" s="727"/>
      <c r="B214" s="727"/>
      <c r="C214" s="728">
        <v>205</v>
      </c>
      <c r="D214" s="729"/>
      <c r="E214" s="785"/>
      <c r="F214" s="760"/>
      <c r="G214" s="824"/>
      <c r="H214" s="762"/>
      <c r="I214" s="762"/>
      <c r="J214" s="763"/>
      <c r="K214" s="764"/>
      <c r="L214" s="765"/>
      <c r="M214" s="766"/>
      <c r="N214" s="767"/>
      <c r="O214" s="768"/>
      <c r="P214" s="769"/>
      <c r="Q214" s="819"/>
      <c r="R214" s="760"/>
      <c r="S214" s="733">
        <f t="shared" si="34"/>
        <v>0</v>
      </c>
      <c r="T214" s="707"/>
      <c r="U214" s="742"/>
      <c r="V214" s="710"/>
      <c r="W214" s="710"/>
      <c r="X214" s="710"/>
      <c r="Y214" s="720"/>
      <c r="Z214" s="720"/>
    </row>
    <row r="215" spans="1:26">
      <c r="A215" s="727" t="s">
        <v>693</v>
      </c>
      <c r="B215" s="727" t="s">
        <v>536</v>
      </c>
      <c r="C215" s="728">
        <v>206</v>
      </c>
      <c r="D215" s="729" t="str">
        <f t="shared" ref="D215:D233" si="36">A215&amp;"."&amp;B215</f>
        <v>2240.12</v>
      </c>
      <c r="E215" s="834" t="s">
        <v>694</v>
      </c>
      <c r="F215" s="731">
        <v>-20000000</v>
      </c>
      <c r="G215" s="813">
        <v>-20000000</v>
      </c>
      <c r="H215" s="733">
        <v>-20000000</v>
      </c>
      <c r="I215" s="733">
        <v>-20000000</v>
      </c>
      <c r="J215" s="734">
        <v>-20000000</v>
      </c>
      <c r="K215" s="735">
        <v>-20000000</v>
      </c>
      <c r="L215" s="736">
        <v>-20000000</v>
      </c>
      <c r="M215" s="737">
        <v>-20000000</v>
      </c>
      <c r="N215" s="738">
        <v>-20000000</v>
      </c>
      <c r="O215" s="739">
        <v>-20000000</v>
      </c>
      <c r="P215" s="740">
        <v>-20000000</v>
      </c>
      <c r="Q215" s="814">
        <v>-20000000</v>
      </c>
      <c r="R215" s="731">
        <v>-20000000</v>
      </c>
      <c r="S215" s="733">
        <f t="shared" si="34"/>
        <v>-20000000</v>
      </c>
      <c r="T215" s="707"/>
      <c r="U215" s="742"/>
      <c r="V215" s="710"/>
      <c r="W215" s="710"/>
      <c r="X215" s="710"/>
      <c r="Y215" s="720"/>
      <c r="Z215" s="720"/>
    </row>
    <row r="216" spans="1:26">
      <c r="A216" s="727" t="s">
        <v>693</v>
      </c>
      <c r="B216" s="727" t="s">
        <v>538</v>
      </c>
      <c r="C216" s="728">
        <v>207</v>
      </c>
      <c r="D216" s="729" t="str">
        <f t="shared" si="36"/>
        <v>2240.13</v>
      </c>
      <c r="E216" s="834" t="s">
        <v>695</v>
      </c>
      <c r="F216" s="731">
        <v>-15000000</v>
      </c>
      <c r="G216" s="813">
        <v>-15000000</v>
      </c>
      <c r="H216" s="733">
        <v>-15000000</v>
      </c>
      <c r="I216" s="733">
        <v>-15000000</v>
      </c>
      <c r="J216" s="734">
        <v>-15000000</v>
      </c>
      <c r="K216" s="735">
        <v>-15000000</v>
      </c>
      <c r="L216" s="736">
        <v>-15000000</v>
      </c>
      <c r="M216" s="737">
        <v>-15000000</v>
      </c>
      <c r="N216" s="738">
        <v>-15000000</v>
      </c>
      <c r="O216" s="739">
        <v>-15000000</v>
      </c>
      <c r="P216" s="740">
        <v>-15000000</v>
      </c>
      <c r="Q216" s="814">
        <v>-15000000</v>
      </c>
      <c r="R216" s="731">
        <v>-15000000</v>
      </c>
      <c r="S216" s="733">
        <f t="shared" si="34"/>
        <v>-15000000</v>
      </c>
      <c r="T216" s="707"/>
      <c r="U216" s="742"/>
      <c r="V216" s="710"/>
      <c r="W216" s="710"/>
      <c r="X216" s="710"/>
      <c r="Y216" s="720"/>
      <c r="Z216" s="720"/>
    </row>
    <row r="217" spans="1:26" ht="31.5">
      <c r="A217" s="727" t="s">
        <v>693</v>
      </c>
      <c r="B217" s="727" t="s">
        <v>540</v>
      </c>
      <c r="C217" s="728">
        <v>208</v>
      </c>
      <c r="D217" s="729" t="str">
        <f t="shared" si="36"/>
        <v>2240.17</v>
      </c>
      <c r="E217" s="834" t="s">
        <v>696</v>
      </c>
      <c r="F217" s="731">
        <v>-24589000</v>
      </c>
      <c r="G217" s="813">
        <v>-24589000</v>
      </c>
      <c r="H217" s="733">
        <v>-24539000</v>
      </c>
      <c r="I217" s="733">
        <v>-24539000</v>
      </c>
      <c r="J217" s="734">
        <v>-24539000</v>
      </c>
      <c r="K217" s="735">
        <v>-24489000</v>
      </c>
      <c r="L217" s="736">
        <v>-24489000</v>
      </c>
      <c r="M217" s="737">
        <v>-24489000</v>
      </c>
      <c r="N217" s="738">
        <v>-24471000</v>
      </c>
      <c r="O217" s="739">
        <v>-24471000</v>
      </c>
      <c r="P217" s="740">
        <v>-24471000</v>
      </c>
      <c r="Q217" s="814">
        <v>-24471000</v>
      </c>
      <c r="R217" s="731">
        <v>-24471000</v>
      </c>
      <c r="S217" s="733">
        <f t="shared" si="34"/>
        <v>-24507250</v>
      </c>
      <c r="T217" s="707"/>
      <c r="U217" s="742"/>
      <c r="V217" s="710"/>
      <c r="W217" s="710"/>
      <c r="X217" s="710"/>
      <c r="Y217" s="720"/>
      <c r="Z217" s="720"/>
    </row>
    <row r="218" spans="1:26">
      <c r="A218" s="727" t="s">
        <v>693</v>
      </c>
      <c r="B218" s="727" t="s">
        <v>542</v>
      </c>
      <c r="C218" s="728">
        <v>209</v>
      </c>
      <c r="D218" s="729" t="str">
        <f t="shared" si="36"/>
        <v>2240.18</v>
      </c>
      <c r="E218" s="834" t="s">
        <v>697</v>
      </c>
      <c r="F218" s="731">
        <v>-15000000</v>
      </c>
      <c r="G218" s="813">
        <v>-15000000</v>
      </c>
      <c r="H218" s="733">
        <v>-15000000</v>
      </c>
      <c r="I218" s="733">
        <v>-15000000</v>
      </c>
      <c r="J218" s="734">
        <v>-15000000</v>
      </c>
      <c r="K218" s="735">
        <v>-15000000</v>
      </c>
      <c r="L218" s="736">
        <v>-15000000</v>
      </c>
      <c r="M218" s="737">
        <v>-15000000</v>
      </c>
      <c r="N218" s="738">
        <v>-15000000</v>
      </c>
      <c r="O218" s="739">
        <v>-15000000</v>
      </c>
      <c r="P218" s="740">
        <v>-15000000</v>
      </c>
      <c r="Q218" s="814">
        <v>-15000000</v>
      </c>
      <c r="R218" s="731">
        <v>-15000000</v>
      </c>
      <c r="S218" s="733">
        <f t="shared" si="34"/>
        <v>-15000000</v>
      </c>
      <c r="T218" s="707"/>
      <c r="U218" s="742"/>
      <c r="V218" s="710"/>
      <c r="W218" s="710"/>
      <c r="X218" s="710"/>
      <c r="Y218" s="720"/>
      <c r="Z218" s="720"/>
    </row>
    <row r="219" spans="1:26">
      <c r="A219" s="727" t="s">
        <v>693</v>
      </c>
      <c r="B219" s="727" t="s">
        <v>544</v>
      </c>
      <c r="C219" s="728">
        <v>210</v>
      </c>
      <c r="D219" s="729" t="str">
        <f t="shared" si="36"/>
        <v>2240.19</v>
      </c>
      <c r="E219" s="834" t="s">
        <v>698</v>
      </c>
      <c r="F219" s="731">
        <v>-40000000</v>
      </c>
      <c r="G219" s="813">
        <v>-40000000</v>
      </c>
      <c r="H219" s="733">
        <v>-40000000</v>
      </c>
      <c r="I219" s="733">
        <v>-40000000</v>
      </c>
      <c r="J219" s="734">
        <v>-40000000</v>
      </c>
      <c r="K219" s="735">
        <v>-40000000</v>
      </c>
      <c r="L219" s="736">
        <v>-40000000</v>
      </c>
      <c r="M219" s="737">
        <v>-40000000</v>
      </c>
      <c r="N219" s="738">
        <v>-40000000</v>
      </c>
      <c r="O219" s="739">
        <v>-40000000</v>
      </c>
      <c r="P219" s="740">
        <v>-40000000</v>
      </c>
      <c r="Q219" s="814">
        <v>-40000000</v>
      </c>
      <c r="R219" s="731">
        <v>-40000000</v>
      </c>
      <c r="S219" s="733">
        <f t="shared" si="34"/>
        <v>-40000000</v>
      </c>
      <c r="T219" s="707"/>
      <c r="U219" s="742"/>
      <c r="V219" s="710"/>
      <c r="W219" s="710"/>
      <c r="X219" s="710"/>
      <c r="Y219" s="720"/>
      <c r="Z219" s="720"/>
    </row>
    <row r="220" spans="1:26">
      <c r="A220" s="727" t="s">
        <v>693</v>
      </c>
      <c r="B220" s="727" t="s">
        <v>546</v>
      </c>
      <c r="C220" s="728">
        <v>211</v>
      </c>
      <c r="D220" s="729" t="str">
        <f t="shared" si="36"/>
        <v>2240.20</v>
      </c>
      <c r="E220" s="835" t="s">
        <v>699</v>
      </c>
      <c r="F220" s="731">
        <v>-25000000</v>
      </c>
      <c r="G220" s="813">
        <v>-25000000</v>
      </c>
      <c r="H220" s="733">
        <v>-25000000</v>
      </c>
      <c r="I220" s="733">
        <v>-25000000</v>
      </c>
      <c r="J220" s="734">
        <v>-25000000</v>
      </c>
      <c r="K220" s="735">
        <v>-25000000</v>
      </c>
      <c r="L220" s="736">
        <v>-25000000</v>
      </c>
      <c r="M220" s="737">
        <v>-25000000</v>
      </c>
      <c r="N220" s="738">
        <v>-25000000</v>
      </c>
      <c r="O220" s="739">
        <v>-25000000</v>
      </c>
      <c r="P220" s="740">
        <v>-25000000</v>
      </c>
      <c r="Q220" s="814">
        <v>-25000000</v>
      </c>
      <c r="R220" s="731">
        <v>-25000000</v>
      </c>
      <c r="S220" s="733">
        <f t="shared" si="34"/>
        <v>-25000000</v>
      </c>
      <c r="T220" s="707"/>
      <c r="U220" s="742"/>
      <c r="V220" s="710"/>
      <c r="W220" s="710"/>
      <c r="X220" s="710"/>
      <c r="Y220" s="720"/>
      <c r="Z220" s="720"/>
    </row>
    <row r="221" spans="1:26">
      <c r="A221" s="727" t="s">
        <v>693</v>
      </c>
      <c r="B221" s="727" t="s">
        <v>548</v>
      </c>
      <c r="C221" s="728">
        <v>212</v>
      </c>
      <c r="D221" s="729" t="str">
        <f t="shared" si="36"/>
        <v>2240.21</v>
      </c>
      <c r="E221" s="835" t="s">
        <v>700</v>
      </c>
      <c r="F221" s="731">
        <v>-25000000</v>
      </c>
      <c r="G221" s="813">
        <v>-25000000</v>
      </c>
      <c r="H221" s="733">
        <v>-25000000</v>
      </c>
      <c r="I221" s="733">
        <v>-25000000</v>
      </c>
      <c r="J221" s="734">
        <v>-25000000</v>
      </c>
      <c r="K221" s="735">
        <v>-25000000</v>
      </c>
      <c r="L221" s="736">
        <v>-25000000</v>
      </c>
      <c r="M221" s="737">
        <v>-25000000</v>
      </c>
      <c r="N221" s="738">
        <v>-25000000</v>
      </c>
      <c r="O221" s="739">
        <v>-25000000</v>
      </c>
      <c r="P221" s="740">
        <v>-25000000</v>
      </c>
      <c r="Q221" s="814">
        <v>-25000000</v>
      </c>
      <c r="R221" s="731">
        <v>-25000000</v>
      </c>
      <c r="S221" s="733">
        <f t="shared" si="34"/>
        <v>-25000000</v>
      </c>
      <c r="T221" s="707"/>
      <c r="U221" s="742"/>
      <c r="V221" s="710"/>
      <c r="W221" s="710"/>
      <c r="X221" s="710"/>
      <c r="Y221" s="720"/>
      <c r="Z221" s="720"/>
    </row>
    <row r="222" spans="1:26">
      <c r="A222" s="727" t="s">
        <v>693</v>
      </c>
      <c r="B222" s="727" t="s">
        <v>551</v>
      </c>
      <c r="C222" s="728">
        <v>213</v>
      </c>
      <c r="D222" s="729" t="str">
        <f t="shared" si="36"/>
        <v>2240.23</v>
      </c>
      <c r="E222" s="835" t="s">
        <v>701</v>
      </c>
      <c r="F222" s="739">
        <v>-12500000</v>
      </c>
      <c r="G222" s="739">
        <v>-12500000</v>
      </c>
      <c r="H222" s="739">
        <v>-12500000</v>
      </c>
      <c r="I222" s="739">
        <v>-12500000</v>
      </c>
      <c r="J222" s="808">
        <v>-12500000</v>
      </c>
      <c r="K222" s="808">
        <v>-12500000</v>
      </c>
      <c r="L222" s="739">
        <v>-12500000</v>
      </c>
      <c r="M222" s="739">
        <v>-12500000</v>
      </c>
      <c r="N222" s="739">
        <v>-12500000</v>
      </c>
      <c r="O222" s="739">
        <v>-12500000</v>
      </c>
      <c r="P222" s="739">
        <v>-12500000</v>
      </c>
      <c r="Q222" s="739">
        <v>-12500000</v>
      </c>
      <c r="R222" s="739">
        <v>-12500000</v>
      </c>
      <c r="S222" s="733">
        <f t="shared" si="34"/>
        <v>-12500000</v>
      </c>
      <c r="T222" s="707"/>
      <c r="U222" s="742"/>
      <c r="V222" s="710"/>
      <c r="W222" s="710"/>
      <c r="X222" s="710"/>
      <c r="Y222" s="720"/>
      <c r="Z222" s="720"/>
    </row>
    <row r="223" spans="1:26">
      <c r="A223" s="727" t="s">
        <v>693</v>
      </c>
      <c r="B223" s="727" t="s">
        <v>553</v>
      </c>
      <c r="C223" s="728">
        <v>214</v>
      </c>
      <c r="D223" s="729" t="str">
        <f t="shared" si="36"/>
        <v>2240.24</v>
      </c>
      <c r="E223" s="835" t="s">
        <v>702</v>
      </c>
      <c r="F223" s="739">
        <v>-12500000</v>
      </c>
      <c r="G223" s="739">
        <v>-12500000</v>
      </c>
      <c r="H223" s="739">
        <v>-12500000</v>
      </c>
      <c r="I223" s="739">
        <v>-12500000</v>
      </c>
      <c r="J223" s="808">
        <v>-12500000</v>
      </c>
      <c r="K223" s="808">
        <v>-12500000</v>
      </c>
      <c r="L223" s="739">
        <v>-12500000</v>
      </c>
      <c r="M223" s="739">
        <v>-12500000</v>
      </c>
      <c r="N223" s="739">
        <v>-12500000</v>
      </c>
      <c r="O223" s="739">
        <v>-12500000</v>
      </c>
      <c r="P223" s="739">
        <v>-12500000</v>
      </c>
      <c r="Q223" s="739">
        <v>-12500000</v>
      </c>
      <c r="R223" s="739">
        <v>-12500000</v>
      </c>
      <c r="S223" s="733">
        <f t="shared" si="34"/>
        <v>-12500000</v>
      </c>
      <c r="T223" s="707"/>
      <c r="U223" s="742"/>
      <c r="V223" s="710"/>
      <c r="W223" s="710"/>
      <c r="X223" s="710"/>
      <c r="Y223" s="720"/>
      <c r="Z223" s="720"/>
    </row>
    <row r="224" spans="1:26">
      <c r="A224" s="727" t="s">
        <v>693</v>
      </c>
      <c r="B224" s="727" t="s">
        <v>555</v>
      </c>
      <c r="C224" s="728">
        <v>215</v>
      </c>
      <c r="D224" s="729" t="str">
        <f t="shared" si="36"/>
        <v>2240.25</v>
      </c>
      <c r="E224" s="835" t="s">
        <v>702</v>
      </c>
      <c r="F224" s="739">
        <v>-12500000</v>
      </c>
      <c r="G224" s="739">
        <v>-12500000</v>
      </c>
      <c r="H224" s="739">
        <v>-12500000</v>
      </c>
      <c r="I224" s="739">
        <v>-12500000</v>
      </c>
      <c r="J224" s="808">
        <v>-12500000</v>
      </c>
      <c r="K224" s="808">
        <v>-12500000</v>
      </c>
      <c r="L224" s="739">
        <v>-12500000</v>
      </c>
      <c r="M224" s="739">
        <v>-12500000</v>
      </c>
      <c r="N224" s="739">
        <v>-12500000</v>
      </c>
      <c r="O224" s="739">
        <v>-12500000</v>
      </c>
      <c r="P224" s="739">
        <v>-12500000</v>
      </c>
      <c r="Q224" s="739">
        <v>-12500000</v>
      </c>
      <c r="R224" s="739">
        <v>-12500000</v>
      </c>
      <c r="S224" s="733">
        <f t="shared" si="34"/>
        <v>-12500000</v>
      </c>
      <c r="T224" s="707"/>
      <c r="U224" s="742"/>
      <c r="V224" s="710"/>
      <c r="W224" s="710"/>
      <c r="X224" s="710"/>
      <c r="Y224" s="720"/>
      <c r="Z224" s="720"/>
    </row>
    <row r="225" spans="1:26">
      <c r="A225" s="727" t="s">
        <v>693</v>
      </c>
      <c r="B225" s="727" t="s">
        <v>556</v>
      </c>
      <c r="C225" s="728">
        <v>216</v>
      </c>
      <c r="D225" s="729" t="str">
        <f t="shared" si="36"/>
        <v>2240.26</v>
      </c>
      <c r="E225" s="835" t="s">
        <v>702</v>
      </c>
      <c r="F225" s="739">
        <v>-12500000</v>
      </c>
      <c r="G225" s="739">
        <v>-12500000</v>
      </c>
      <c r="H225" s="739">
        <v>-12500000</v>
      </c>
      <c r="I225" s="739">
        <v>-12500000</v>
      </c>
      <c r="J225" s="808">
        <v>-12500000</v>
      </c>
      <c r="K225" s="808">
        <v>-12500000</v>
      </c>
      <c r="L225" s="739">
        <v>-12500000</v>
      </c>
      <c r="M225" s="739">
        <v>-12500000</v>
      </c>
      <c r="N225" s="739">
        <v>-12500000</v>
      </c>
      <c r="O225" s="739">
        <v>-12500000</v>
      </c>
      <c r="P225" s="739">
        <v>-12500000</v>
      </c>
      <c r="Q225" s="739">
        <v>-12500000</v>
      </c>
      <c r="R225" s="739">
        <v>-12500000</v>
      </c>
      <c r="S225" s="733">
        <f t="shared" si="34"/>
        <v>-12500000</v>
      </c>
      <c r="T225" s="707"/>
      <c r="U225" s="742"/>
      <c r="V225" s="710"/>
      <c r="W225" s="710"/>
      <c r="X225" s="710"/>
      <c r="Y225" s="720"/>
      <c r="Z225" s="720"/>
    </row>
    <row r="226" spans="1:26">
      <c r="A226" s="727" t="s">
        <v>693</v>
      </c>
      <c r="B226" s="727" t="s">
        <v>1004</v>
      </c>
      <c r="C226" s="728">
        <v>217</v>
      </c>
      <c r="D226" s="729" t="str">
        <f t="shared" si="36"/>
        <v>2240.99</v>
      </c>
      <c r="E226" s="835" t="s">
        <v>1006</v>
      </c>
      <c r="F226" s="739"/>
      <c r="G226" s="739">
        <v>2104120.19</v>
      </c>
      <c r="H226" s="739">
        <v>2093227.2</v>
      </c>
      <c r="I226" s="739">
        <v>2077862.81</v>
      </c>
      <c r="J226" s="808">
        <v>2066981.14</v>
      </c>
      <c r="K226" s="808">
        <v>2056099.47</v>
      </c>
      <c r="L226" s="739">
        <v>2045217.8</v>
      </c>
      <c r="M226" s="739">
        <v>2034336.13</v>
      </c>
      <c r="N226" s="739">
        <v>2023454.46</v>
      </c>
      <c r="O226" s="739">
        <v>2012572.79</v>
      </c>
      <c r="P226" s="739">
        <v>2001691.12</v>
      </c>
      <c r="Q226" s="739">
        <v>1990809.45</v>
      </c>
      <c r="R226" s="739">
        <v>1979927.78</v>
      </c>
      <c r="S226" s="733">
        <f t="shared" si="34"/>
        <v>1958028.0374999999</v>
      </c>
      <c r="T226" s="707"/>
      <c r="U226" s="742"/>
      <c r="V226" s="710"/>
      <c r="W226" s="710"/>
      <c r="X226" s="710"/>
      <c r="Y226" s="720"/>
      <c r="Z226" s="720"/>
    </row>
    <row r="227" spans="1:26" ht="31.5">
      <c r="A227" s="727" t="s">
        <v>703</v>
      </c>
      <c r="B227" s="727" t="s">
        <v>499</v>
      </c>
      <c r="C227" s="728">
        <v>218</v>
      </c>
      <c r="D227" s="729" t="str">
        <f t="shared" si="36"/>
        <v>2241.02</v>
      </c>
      <c r="E227" s="836" t="s">
        <v>704</v>
      </c>
      <c r="F227" s="731">
        <v>0</v>
      </c>
      <c r="G227" s="813">
        <v>0</v>
      </c>
      <c r="H227" s="733">
        <v>0</v>
      </c>
      <c r="I227" s="733">
        <v>0</v>
      </c>
      <c r="J227" s="734">
        <v>0</v>
      </c>
      <c r="K227" s="735">
        <v>0</v>
      </c>
      <c r="L227" s="736">
        <v>0</v>
      </c>
      <c r="M227" s="737">
        <v>0</v>
      </c>
      <c r="N227" s="738">
        <v>0</v>
      </c>
      <c r="O227" s="739">
        <v>0</v>
      </c>
      <c r="P227" s="740">
        <v>0</v>
      </c>
      <c r="Q227" s="814">
        <v>0</v>
      </c>
      <c r="R227" s="731">
        <v>0</v>
      </c>
      <c r="S227" s="733">
        <f t="shared" si="34"/>
        <v>0</v>
      </c>
      <c r="T227" s="707"/>
      <c r="U227" s="742"/>
      <c r="V227" s="710"/>
      <c r="W227" s="710"/>
      <c r="X227" s="710"/>
      <c r="Y227" s="720"/>
      <c r="Z227" s="720"/>
    </row>
    <row r="228" spans="1:26" ht="31.5">
      <c r="A228" s="727" t="s">
        <v>703</v>
      </c>
      <c r="B228" s="727" t="s">
        <v>561</v>
      </c>
      <c r="C228" s="728">
        <v>219</v>
      </c>
      <c r="D228" s="729" t="str">
        <f t="shared" si="36"/>
        <v>2241.03</v>
      </c>
      <c r="E228" s="836" t="s">
        <v>705</v>
      </c>
      <c r="F228" s="731">
        <v>0</v>
      </c>
      <c r="G228" s="813">
        <v>0</v>
      </c>
      <c r="H228" s="733">
        <v>0</v>
      </c>
      <c r="I228" s="733">
        <v>0</v>
      </c>
      <c r="J228" s="734">
        <v>0</v>
      </c>
      <c r="K228" s="735">
        <v>0</v>
      </c>
      <c r="L228" s="736">
        <v>0</v>
      </c>
      <c r="M228" s="737">
        <v>0</v>
      </c>
      <c r="N228" s="738">
        <v>0</v>
      </c>
      <c r="O228" s="739">
        <v>0</v>
      </c>
      <c r="P228" s="740">
        <v>0</v>
      </c>
      <c r="Q228" s="814">
        <v>0</v>
      </c>
      <c r="R228" s="731">
        <v>0</v>
      </c>
      <c r="S228" s="733">
        <f t="shared" si="34"/>
        <v>0</v>
      </c>
      <c r="T228" s="707"/>
      <c r="U228" s="742"/>
      <c r="V228" s="710"/>
      <c r="W228" s="710"/>
      <c r="X228" s="710"/>
      <c r="Y228" s="720"/>
      <c r="Z228" s="720"/>
    </row>
    <row r="229" spans="1:26" ht="31.5">
      <c r="A229" s="727" t="s">
        <v>703</v>
      </c>
      <c r="B229" s="727" t="s">
        <v>563</v>
      </c>
      <c r="C229" s="728">
        <v>220</v>
      </c>
      <c r="D229" s="729" t="str">
        <f t="shared" si="36"/>
        <v>2241.04</v>
      </c>
      <c r="E229" s="836" t="s">
        <v>706</v>
      </c>
      <c r="F229" s="731">
        <v>0</v>
      </c>
      <c r="G229" s="813">
        <v>0</v>
      </c>
      <c r="H229" s="733">
        <v>0</v>
      </c>
      <c r="I229" s="733">
        <v>0</v>
      </c>
      <c r="J229" s="734">
        <v>0</v>
      </c>
      <c r="K229" s="735">
        <v>0</v>
      </c>
      <c r="L229" s="736">
        <v>0</v>
      </c>
      <c r="M229" s="737">
        <v>0</v>
      </c>
      <c r="N229" s="738">
        <v>0</v>
      </c>
      <c r="O229" s="739">
        <v>0</v>
      </c>
      <c r="P229" s="740">
        <v>0</v>
      </c>
      <c r="Q229" s="814">
        <v>0</v>
      </c>
      <c r="R229" s="731">
        <v>0</v>
      </c>
      <c r="S229" s="733">
        <f t="shared" si="34"/>
        <v>0</v>
      </c>
      <c r="T229" s="707"/>
      <c r="U229" s="742"/>
      <c r="V229" s="710"/>
      <c r="W229" s="710"/>
      <c r="X229" s="710"/>
      <c r="Y229" s="720"/>
      <c r="Z229" s="720"/>
    </row>
    <row r="230" spans="1:26" ht="31.5">
      <c r="A230" s="727" t="s">
        <v>703</v>
      </c>
      <c r="B230" s="727" t="s">
        <v>707</v>
      </c>
      <c r="C230" s="728">
        <v>221</v>
      </c>
      <c r="D230" s="729" t="str">
        <f t="shared" si="36"/>
        <v>2241.06</v>
      </c>
      <c r="E230" s="836" t="s">
        <v>708</v>
      </c>
      <c r="F230" s="731">
        <v>0</v>
      </c>
      <c r="G230" s="813">
        <v>0</v>
      </c>
      <c r="H230" s="733">
        <v>0</v>
      </c>
      <c r="I230" s="733">
        <v>0</v>
      </c>
      <c r="J230" s="734">
        <v>0</v>
      </c>
      <c r="K230" s="735">
        <v>0</v>
      </c>
      <c r="L230" s="736">
        <v>0</v>
      </c>
      <c r="M230" s="737">
        <v>0</v>
      </c>
      <c r="N230" s="738">
        <v>0</v>
      </c>
      <c r="O230" s="739">
        <v>0</v>
      </c>
      <c r="P230" s="740">
        <v>0</v>
      </c>
      <c r="Q230" s="814">
        <v>0</v>
      </c>
      <c r="R230" s="731">
        <v>0</v>
      </c>
      <c r="S230" s="733">
        <f t="shared" si="34"/>
        <v>0</v>
      </c>
      <c r="T230" s="707"/>
      <c r="U230" s="742"/>
      <c r="V230" s="710"/>
      <c r="W230" s="710"/>
      <c r="X230" s="710"/>
      <c r="Y230" s="720"/>
      <c r="Z230" s="720"/>
    </row>
    <row r="231" spans="1:26" ht="31.5">
      <c r="A231" s="727" t="s">
        <v>703</v>
      </c>
      <c r="B231" s="727" t="s">
        <v>709</v>
      </c>
      <c r="C231" s="728">
        <v>222</v>
      </c>
      <c r="D231" s="729" t="str">
        <f t="shared" si="36"/>
        <v>2241.07</v>
      </c>
      <c r="E231" s="836" t="s">
        <v>710</v>
      </c>
      <c r="F231" s="731">
        <v>0</v>
      </c>
      <c r="G231" s="813">
        <v>0</v>
      </c>
      <c r="H231" s="733">
        <v>0</v>
      </c>
      <c r="I231" s="733">
        <v>0</v>
      </c>
      <c r="J231" s="734">
        <v>0</v>
      </c>
      <c r="K231" s="735">
        <v>0</v>
      </c>
      <c r="L231" s="736">
        <v>0</v>
      </c>
      <c r="M231" s="737">
        <v>0</v>
      </c>
      <c r="N231" s="738">
        <v>0</v>
      </c>
      <c r="O231" s="739">
        <v>0</v>
      </c>
      <c r="P231" s="740">
        <v>0</v>
      </c>
      <c r="Q231" s="814">
        <v>0</v>
      </c>
      <c r="R231" s="731">
        <v>0</v>
      </c>
      <c r="S231" s="733">
        <f t="shared" si="34"/>
        <v>0</v>
      </c>
      <c r="T231" s="707"/>
      <c r="U231" s="742"/>
      <c r="V231" s="710"/>
      <c r="W231" s="710"/>
      <c r="X231" s="710"/>
      <c r="Y231" s="720"/>
      <c r="Z231" s="720"/>
    </row>
    <row r="232" spans="1:26" ht="31.5">
      <c r="A232" s="727" t="s">
        <v>703</v>
      </c>
      <c r="B232" s="727" t="s">
        <v>711</v>
      </c>
      <c r="C232" s="728">
        <v>223</v>
      </c>
      <c r="D232" s="729" t="str">
        <f t="shared" si="36"/>
        <v>2241.08</v>
      </c>
      <c r="E232" s="836" t="s">
        <v>712</v>
      </c>
      <c r="F232" s="731">
        <v>0</v>
      </c>
      <c r="G232" s="813">
        <v>0</v>
      </c>
      <c r="H232" s="733">
        <v>0</v>
      </c>
      <c r="I232" s="733">
        <v>0</v>
      </c>
      <c r="J232" s="734">
        <v>0</v>
      </c>
      <c r="K232" s="735">
        <v>0</v>
      </c>
      <c r="L232" s="736">
        <v>0</v>
      </c>
      <c r="M232" s="737">
        <v>0</v>
      </c>
      <c r="N232" s="738">
        <v>0</v>
      </c>
      <c r="O232" s="808">
        <v>0</v>
      </c>
      <c r="P232" s="740">
        <v>0</v>
      </c>
      <c r="Q232" s="814">
        <v>0</v>
      </c>
      <c r="R232" s="731">
        <v>0</v>
      </c>
      <c r="S232" s="733">
        <f t="shared" si="34"/>
        <v>0</v>
      </c>
      <c r="T232" s="707"/>
      <c r="U232" s="742"/>
      <c r="V232" s="710"/>
      <c r="W232" s="710"/>
      <c r="X232" s="710"/>
      <c r="Y232" s="720"/>
      <c r="Z232" s="720"/>
    </row>
    <row r="233" spans="1:26">
      <c r="A233" s="727" t="s">
        <v>713</v>
      </c>
      <c r="B233" s="727" t="s">
        <v>519</v>
      </c>
      <c r="C233" s="728">
        <v>224</v>
      </c>
      <c r="D233" s="729" t="str">
        <f t="shared" si="36"/>
        <v>2242.01</v>
      </c>
      <c r="E233" s="727" t="s">
        <v>714</v>
      </c>
      <c r="F233" s="739">
        <v>0</v>
      </c>
      <c r="G233" s="739">
        <v>0</v>
      </c>
      <c r="H233" s="739">
        <v>0</v>
      </c>
      <c r="I233" s="739">
        <v>0</v>
      </c>
      <c r="J233" s="808">
        <v>0</v>
      </c>
      <c r="K233" s="808">
        <v>0</v>
      </c>
      <c r="L233" s="739">
        <v>0</v>
      </c>
      <c r="M233" s="739">
        <v>0</v>
      </c>
      <c r="N233" s="739">
        <v>0</v>
      </c>
      <c r="O233" s="739">
        <v>0</v>
      </c>
      <c r="P233" s="739">
        <v>0</v>
      </c>
      <c r="Q233" s="739">
        <v>0</v>
      </c>
      <c r="R233" s="739">
        <v>0</v>
      </c>
      <c r="S233" s="733">
        <f t="shared" si="34"/>
        <v>0</v>
      </c>
      <c r="T233" s="707"/>
      <c r="U233" s="742"/>
      <c r="V233" s="710"/>
      <c r="W233" s="710"/>
      <c r="X233" s="710"/>
      <c r="Y233" s="720"/>
      <c r="Z233" s="720"/>
    </row>
    <row r="234" spans="1:26">
      <c r="A234" s="727"/>
      <c r="B234" s="727"/>
      <c r="C234" s="728">
        <v>225</v>
      </c>
      <c r="D234" s="729"/>
      <c r="E234" s="785" t="s">
        <v>715</v>
      </c>
      <c r="F234" s="755">
        <f>SUM(F215:F233)</f>
        <v>-214589000</v>
      </c>
      <c r="G234" s="755">
        <f t="shared" ref="G234:S234" si="37">SUM(G215:G233)</f>
        <v>-212484879.81</v>
      </c>
      <c r="H234" s="755">
        <f t="shared" si="37"/>
        <v>-212445772.80000001</v>
      </c>
      <c r="I234" s="755">
        <f t="shared" si="37"/>
        <v>-212461137.19</v>
      </c>
      <c r="J234" s="755">
        <f t="shared" si="37"/>
        <v>-212472018.86000001</v>
      </c>
      <c r="K234" s="755">
        <f t="shared" si="37"/>
        <v>-212432900.53</v>
      </c>
      <c r="L234" s="755">
        <f t="shared" si="37"/>
        <v>-212443782.19999999</v>
      </c>
      <c r="M234" s="755">
        <f t="shared" si="37"/>
        <v>-212454663.87</v>
      </c>
      <c r="N234" s="755">
        <f t="shared" si="37"/>
        <v>-212447545.53999999</v>
      </c>
      <c r="O234" s="755">
        <f t="shared" si="37"/>
        <v>-212458427.21000001</v>
      </c>
      <c r="P234" s="755">
        <f t="shared" si="37"/>
        <v>-212469308.88</v>
      </c>
      <c r="Q234" s="755">
        <f t="shared" si="37"/>
        <v>-212480190.55000001</v>
      </c>
      <c r="R234" s="755">
        <f t="shared" si="37"/>
        <v>-212491072.22</v>
      </c>
      <c r="S234" s="755">
        <f t="shared" si="37"/>
        <v>-212549221.96250001</v>
      </c>
      <c r="T234" s="707"/>
      <c r="U234" s="743">
        <f>S234</f>
        <v>-212549221.96250001</v>
      </c>
      <c r="V234" s="710"/>
      <c r="W234" s="710"/>
      <c r="X234" s="710"/>
      <c r="Y234" s="720"/>
      <c r="Z234" s="720"/>
    </row>
    <row r="235" spans="1:26">
      <c r="A235" s="727"/>
      <c r="B235" s="727"/>
      <c r="C235" s="728">
        <v>226</v>
      </c>
      <c r="D235" s="729"/>
      <c r="E235" s="785"/>
      <c r="F235" s="731"/>
      <c r="G235" s="813"/>
      <c r="H235" s="733"/>
      <c r="I235" s="733"/>
      <c r="J235" s="734"/>
      <c r="K235" s="735"/>
      <c r="L235" s="736"/>
      <c r="M235" s="737"/>
      <c r="N235" s="738"/>
      <c r="O235" s="739"/>
      <c r="P235" s="740"/>
      <c r="Q235" s="814"/>
      <c r="R235" s="731"/>
      <c r="S235" s="733">
        <f t="shared" si="34"/>
        <v>0</v>
      </c>
      <c r="T235" s="707"/>
      <c r="U235" s="742"/>
      <c r="V235" s="710"/>
      <c r="W235" s="710"/>
      <c r="X235" s="710"/>
      <c r="Y235" s="720"/>
      <c r="Z235" s="720"/>
    </row>
    <row r="236" spans="1:26">
      <c r="A236" s="727" t="s">
        <v>716</v>
      </c>
      <c r="B236" s="727" t="s">
        <v>405</v>
      </c>
      <c r="C236" s="728">
        <v>227</v>
      </c>
      <c r="D236" s="727" t="str">
        <f>+A236</f>
        <v>2310</v>
      </c>
      <c r="E236" s="785" t="s">
        <v>717</v>
      </c>
      <c r="F236" s="731">
        <v>0</v>
      </c>
      <c r="G236" s="813">
        <v>0</v>
      </c>
      <c r="H236" s="733">
        <v>0</v>
      </c>
      <c r="I236" s="733">
        <v>0</v>
      </c>
      <c r="J236" s="734">
        <v>0</v>
      </c>
      <c r="K236" s="735">
        <v>0</v>
      </c>
      <c r="L236" s="736">
        <v>0</v>
      </c>
      <c r="M236" s="737">
        <v>0</v>
      </c>
      <c r="N236" s="738">
        <v>0</v>
      </c>
      <c r="O236" s="739">
        <v>0</v>
      </c>
      <c r="P236" s="740">
        <v>0</v>
      </c>
      <c r="Q236" s="814">
        <v>0</v>
      </c>
      <c r="R236" s="731">
        <v>0</v>
      </c>
      <c r="S236" s="733">
        <f t="shared" si="34"/>
        <v>0</v>
      </c>
      <c r="T236" s="707"/>
      <c r="U236" s="743">
        <f>S236</f>
        <v>0</v>
      </c>
      <c r="V236" s="742"/>
      <c r="W236" s="742"/>
      <c r="X236" s="743"/>
      <c r="Y236" s="720"/>
      <c r="Z236" s="720"/>
    </row>
    <row r="237" spans="1:26">
      <c r="A237" s="727" t="s">
        <v>718</v>
      </c>
      <c r="B237" s="727" t="s">
        <v>719</v>
      </c>
      <c r="C237" s="728">
        <v>228</v>
      </c>
      <c r="D237" s="705" t="str">
        <f>A237&amp;"."&amp;B237</f>
        <v>2330.045</v>
      </c>
      <c r="E237" s="727" t="s">
        <v>720</v>
      </c>
      <c r="F237" s="731">
        <v>0</v>
      </c>
      <c r="G237" s="813">
        <v>0</v>
      </c>
      <c r="H237" s="733">
        <v>0</v>
      </c>
      <c r="I237" s="733">
        <v>0</v>
      </c>
      <c r="J237" s="734">
        <v>0</v>
      </c>
      <c r="K237" s="735">
        <v>0</v>
      </c>
      <c r="L237" s="736">
        <v>0</v>
      </c>
      <c r="M237" s="737">
        <v>0</v>
      </c>
      <c r="N237" s="738">
        <v>0</v>
      </c>
      <c r="O237" s="739">
        <v>0</v>
      </c>
      <c r="P237" s="740">
        <v>0</v>
      </c>
      <c r="Q237" s="814">
        <v>0</v>
      </c>
      <c r="R237" s="731">
        <v>0</v>
      </c>
      <c r="S237" s="733">
        <f t="shared" si="34"/>
        <v>0</v>
      </c>
      <c r="T237" s="707"/>
      <c r="U237" s="742"/>
      <c r="V237" s="742"/>
      <c r="W237" s="742"/>
      <c r="X237" s="742"/>
      <c r="Y237" s="720"/>
      <c r="Z237" s="720"/>
    </row>
    <row r="238" spans="1:26">
      <c r="A238" s="727"/>
      <c r="B238" s="727"/>
      <c r="C238" s="728">
        <v>229</v>
      </c>
      <c r="D238" s="729"/>
      <c r="E238" s="785"/>
      <c r="F238" s="731"/>
      <c r="G238" s="813"/>
      <c r="H238" s="733"/>
      <c r="I238" s="733"/>
      <c r="J238" s="734"/>
      <c r="K238" s="735"/>
      <c r="L238" s="736"/>
      <c r="M238" s="737"/>
      <c r="N238" s="738"/>
      <c r="O238" s="739"/>
      <c r="P238" s="740"/>
      <c r="Q238" s="814"/>
      <c r="R238" s="731"/>
      <c r="S238" s="733">
        <f t="shared" si="34"/>
        <v>0</v>
      </c>
      <c r="T238" s="707"/>
      <c r="U238" s="742"/>
      <c r="V238" s="742"/>
      <c r="W238" s="742"/>
      <c r="X238" s="742"/>
      <c r="Y238" s="720"/>
      <c r="Z238" s="720"/>
    </row>
    <row r="239" spans="1:26">
      <c r="A239" s="727" t="s">
        <v>721</v>
      </c>
      <c r="B239" s="727" t="s">
        <v>405</v>
      </c>
      <c r="C239" s="728">
        <v>230</v>
      </c>
      <c r="D239" s="727" t="str">
        <f>+A239</f>
        <v>2321</v>
      </c>
      <c r="E239" s="785" t="s">
        <v>722</v>
      </c>
      <c r="F239" s="731">
        <v>-2632243.14</v>
      </c>
      <c r="G239" s="813">
        <v>-932061.88</v>
      </c>
      <c r="H239" s="733">
        <v>-1268442.46</v>
      </c>
      <c r="I239" s="733">
        <v>-1261061.97</v>
      </c>
      <c r="J239" s="734">
        <v>-2118018.4300000002</v>
      </c>
      <c r="K239" s="735">
        <v>-2776132.13</v>
      </c>
      <c r="L239" s="736">
        <v>-1910577.14</v>
      </c>
      <c r="M239" s="737">
        <v>-1163398.6100000001</v>
      </c>
      <c r="N239" s="738">
        <v>-2492662.4</v>
      </c>
      <c r="O239" s="739">
        <v>-2252485.5099999998</v>
      </c>
      <c r="P239" s="740">
        <v>-1248713.28</v>
      </c>
      <c r="Q239" s="814">
        <v>-1464995.91</v>
      </c>
      <c r="R239" s="731">
        <v>-3872593.05</v>
      </c>
      <c r="S239" s="733">
        <f t="shared" si="34"/>
        <v>-1845080.6512499999</v>
      </c>
      <c r="T239" s="707"/>
      <c r="U239" s="742"/>
      <c r="V239" s="742"/>
      <c r="W239" s="742"/>
      <c r="X239" s="743">
        <f>S239</f>
        <v>-1845080.6512499999</v>
      </c>
      <c r="Y239" s="720"/>
      <c r="Z239" s="720"/>
    </row>
    <row r="240" spans="1:26">
      <c r="A240" s="703" t="s">
        <v>723</v>
      </c>
      <c r="B240" s="727" t="s">
        <v>1007</v>
      </c>
      <c r="C240" s="728">
        <v>231</v>
      </c>
      <c r="D240" s="727" t="s">
        <v>723</v>
      </c>
      <c r="E240" s="748" t="s">
        <v>1008</v>
      </c>
      <c r="F240" s="731">
        <v>0</v>
      </c>
      <c r="G240" s="813">
        <v>0</v>
      </c>
      <c r="H240" s="733">
        <v>0</v>
      </c>
      <c r="I240" s="733">
        <v>0</v>
      </c>
      <c r="J240" s="734">
        <v>0</v>
      </c>
      <c r="K240" s="735">
        <v>-7174.24</v>
      </c>
      <c r="L240" s="736">
        <v>-47647.49</v>
      </c>
      <c r="M240" s="737">
        <v>-13364.19</v>
      </c>
      <c r="N240" s="738">
        <v>-123251.5</v>
      </c>
      <c r="O240" s="739">
        <v>-116359</v>
      </c>
      <c r="P240" s="740">
        <v>-110921.31</v>
      </c>
      <c r="Q240" s="814">
        <v>-20605.52</v>
      </c>
      <c r="R240" s="731">
        <v>-196293.75</v>
      </c>
      <c r="S240" s="733">
        <f t="shared" si="34"/>
        <v>-44789.177083333336</v>
      </c>
      <c r="T240" s="707"/>
      <c r="U240" s="742"/>
      <c r="V240" s="742"/>
      <c r="W240" s="742"/>
      <c r="X240" s="743">
        <f>S240</f>
        <v>-44789.177083333336</v>
      </c>
      <c r="Y240" s="720"/>
      <c r="Z240" s="720"/>
    </row>
    <row r="241" spans="1:26">
      <c r="A241" s="703" t="s">
        <v>723</v>
      </c>
      <c r="B241" s="703" t="s">
        <v>441</v>
      </c>
      <c r="C241" s="728">
        <v>232</v>
      </c>
      <c r="D241" s="705" t="str">
        <f>A241&amp;"."&amp;B241</f>
        <v>2322.1*</v>
      </c>
      <c r="E241" s="785" t="s">
        <v>724</v>
      </c>
      <c r="F241" s="731">
        <v>-18234135.59</v>
      </c>
      <c r="G241" s="813">
        <v>-19391764.940000001</v>
      </c>
      <c r="H241" s="733">
        <v>-13030468.84</v>
      </c>
      <c r="I241" s="733">
        <v>-11601271.02</v>
      </c>
      <c r="J241" s="734">
        <v>-8766764.0800000001</v>
      </c>
      <c r="K241" s="735">
        <v>-7374700.1100000003</v>
      </c>
      <c r="L241" s="736">
        <v>-6311789.5599999996</v>
      </c>
      <c r="M241" s="737">
        <v>-7758729.8399999999</v>
      </c>
      <c r="N241" s="738">
        <v>-8119312.1200000001</v>
      </c>
      <c r="O241" s="739">
        <v>-8761209.8200000003</v>
      </c>
      <c r="P241" s="740">
        <v>-9979998.6999999993</v>
      </c>
      <c r="Q241" s="814">
        <v>-14927334.35</v>
      </c>
      <c r="R241" s="731">
        <v>-22858356.27</v>
      </c>
      <c r="S241" s="733">
        <f t="shared" si="34"/>
        <v>-11380799.109166667</v>
      </c>
      <c r="T241" s="707"/>
      <c r="U241" s="742"/>
      <c r="V241" s="742"/>
      <c r="W241" s="742"/>
      <c r="X241" s="743">
        <f>S241</f>
        <v>-11380799.109166667</v>
      </c>
      <c r="Y241" s="720"/>
      <c r="Z241" s="720"/>
    </row>
    <row r="242" spans="1:26">
      <c r="A242" s="703" t="s">
        <v>723</v>
      </c>
      <c r="B242" s="703" t="s">
        <v>725</v>
      </c>
      <c r="C242" s="728">
        <v>233</v>
      </c>
      <c r="D242" s="705" t="str">
        <f>A242&amp;"."&amp;B242</f>
        <v>2322.[2*,/217]</v>
      </c>
      <c r="E242" s="703" t="s">
        <v>726</v>
      </c>
      <c r="F242" s="731">
        <v>0</v>
      </c>
      <c r="G242" s="813">
        <v>0</v>
      </c>
      <c r="H242" s="733">
        <v>0</v>
      </c>
      <c r="I242" s="733">
        <v>0</v>
      </c>
      <c r="J242" s="734">
        <v>0</v>
      </c>
      <c r="K242" s="735">
        <v>0</v>
      </c>
      <c r="L242" s="736">
        <v>0</v>
      </c>
      <c r="M242" s="737">
        <v>0</v>
      </c>
      <c r="N242" s="738">
        <v>0</v>
      </c>
      <c r="O242" s="739">
        <v>0</v>
      </c>
      <c r="P242" s="740">
        <v>0</v>
      </c>
      <c r="Q242" s="814">
        <v>0</v>
      </c>
      <c r="R242" s="731">
        <v>0</v>
      </c>
      <c r="S242" s="733">
        <f t="shared" si="34"/>
        <v>0</v>
      </c>
      <c r="T242" s="707"/>
      <c r="U242" s="742"/>
      <c r="V242" s="742"/>
      <c r="W242" s="742"/>
      <c r="X242" s="742"/>
      <c r="Y242" s="720"/>
      <c r="Z242" s="720"/>
    </row>
    <row r="243" spans="1:26">
      <c r="A243" s="703" t="s">
        <v>723</v>
      </c>
      <c r="B243" s="703" t="s">
        <v>727</v>
      </c>
      <c r="C243" s="728">
        <v>234</v>
      </c>
      <c r="D243" s="705" t="str">
        <f>A243&amp;"."&amp;B243</f>
        <v>2322.[217*]</v>
      </c>
      <c r="E243" s="703" t="s">
        <v>728</v>
      </c>
      <c r="F243" s="731"/>
      <c r="G243" s="813"/>
      <c r="H243" s="733"/>
      <c r="I243" s="733"/>
      <c r="J243" s="734"/>
      <c r="K243" s="735"/>
      <c r="L243" s="736"/>
      <c r="M243" s="737"/>
      <c r="N243" s="738"/>
      <c r="O243" s="739"/>
      <c r="P243" s="740"/>
      <c r="Q243" s="814"/>
      <c r="R243" s="731">
        <v>-1209848.1399999999</v>
      </c>
      <c r="S243" s="733">
        <f t="shared" si="34"/>
        <v>-50410.339166666665</v>
      </c>
      <c r="T243" s="707"/>
      <c r="U243" s="742"/>
      <c r="V243" s="742"/>
      <c r="W243" s="742"/>
      <c r="X243" s="743">
        <f>+S243</f>
        <v>-50410.339166666665</v>
      </c>
      <c r="Y243" s="720"/>
      <c r="Z243" s="720"/>
    </row>
    <row r="244" spans="1:26">
      <c r="A244" s="703" t="s">
        <v>723</v>
      </c>
      <c r="B244" s="703" t="s">
        <v>729</v>
      </c>
      <c r="C244" s="728">
        <v>235</v>
      </c>
      <c r="D244" s="705" t="str">
        <f>A244&amp;"."&amp;B244</f>
        <v>2322.[4*,009]</v>
      </c>
      <c r="E244" s="785" t="s">
        <v>730</v>
      </c>
      <c r="F244" s="731">
        <v>-1438.53</v>
      </c>
      <c r="G244" s="813">
        <v>0</v>
      </c>
      <c r="H244" s="733">
        <v>-3313.53</v>
      </c>
      <c r="I244" s="733">
        <v>-2109.54</v>
      </c>
      <c r="J244" s="734">
        <v>0</v>
      </c>
      <c r="K244" s="735">
        <v>-3496.21</v>
      </c>
      <c r="L244" s="736">
        <v>-2220.6</v>
      </c>
      <c r="M244" s="737">
        <v>-4.5474735088646402E-13</v>
      </c>
      <c r="N244" s="738">
        <v>-8836.08</v>
      </c>
      <c r="O244" s="739">
        <v>-5388.41</v>
      </c>
      <c r="P244" s="740">
        <v>-4445.25</v>
      </c>
      <c r="Q244" s="814">
        <v>-22386.65</v>
      </c>
      <c r="R244" s="731">
        <v>-359559.65</v>
      </c>
      <c r="S244" s="733">
        <f t="shared" si="34"/>
        <v>-19391.280000000002</v>
      </c>
      <c r="T244" s="707"/>
      <c r="U244" s="742"/>
      <c r="V244" s="742"/>
      <c r="W244" s="742"/>
      <c r="X244" s="743">
        <f>S244</f>
        <v>-19391.280000000002</v>
      </c>
      <c r="Y244" s="720"/>
      <c r="Z244" s="720"/>
    </row>
    <row r="245" spans="1:26">
      <c r="A245" s="703" t="s">
        <v>723</v>
      </c>
      <c r="B245" s="703" t="s">
        <v>731</v>
      </c>
      <c r="C245" s="728">
        <v>236</v>
      </c>
      <c r="D245" s="705" t="str">
        <f>A245&amp;"."&amp;B245</f>
        <v>2322.3*</v>
      </c>
      <c r="E245" s="785" t="s">
        <v>732</v>
      </c>
      <c r="F245" s="731">
        <v>-5893.5800000000199</v>
      </c>
      <c r="G245" s="813">
        <v>-7031.79</v>
      </c>
      <c r="H245" s="733">
        <v>10476.73</v>
      </c>
      <c r="I245" s="733">
        <v>-112571.75</v>
      </c>
      <c r="J245" s="734">
        <v>-108695.88</v>
      </c>
      <c r="K245" s="735">
        <v>12333.46</v>
      </c>
      <c r="L245" s="736">
        <v>14294.76</v>
      </c>
      <c r="M245" s="737">
        <v>11550.38</v>
      </c>
      <c r="N245" s="738">
        <v>-116783.52</v>
      </c>
      <c r="O245" s="739">
        <v>-118590.76</v>
      </c>
      <c r="P245" s="740">
        <v>-3146.2200000000198</v>
      </c>
      <c r="Q245" s="814">
        <v>-7857.6400000000203</v>
      </c>
      <c r="R245" s="731">
        <v>-13011.26</v>
      </c>
      <c r="S245" s="733">
        <f t="shared" si="34"/>
        <v>-36289.554166666669</v>
      </c>
      <c r="T245" s="707"/>
      <c r="U245" s="742"/>
      <c r="V245" s="742"/>
      <c r="W245" s="742"/>
      <c r="X245" s="743">
        <f>S245</f>
        <v>-36289.554166666669</v>
      </c>
      <c r="Y245" s="720"/>
      <c r="Z245" s="720"/>
    </row>
    <row r="246" spans="1:26">
      <c r="A246" s="727" t="s">
        <v>733</v>
      </c>
      <c r="B246" s="727" t="s">
        <v>405</v>
      </c>
      <c r="C246" s="728">
        <v>237</v>
      </c>
      <c r="D246" s="727" t="str">
        <f>+A246</f>
        <v>2323</v>
      </c>
      <c r="E246" s="785" t="s">
        <v>734</v>
      </c>
      <c r="F246" s="731">
        <v>-145487</v>
      </c>
      <c r="G246" s="813">
        <v>-76962.429999999993</v>
      </c>
      <c r="H246" s="733">
        <v>-199193.18</v>
      </c>
      <c r="I246" s="733">
        <v>-540960.78</v>
      </c>
      <c r="J246" s="734">
        <v>-479413.69</v>
      </c>
      <c r="K246" s="735">
        <v>-230955.63</v>
      </c>
      <c r="L246" s="736">
        <v>-394986.89</v>
      </c>
      <c r="M246" s="737">
        <v>-261650.2</v>
      </c>
      <c r="N246" s="738">
        <v>-142219.95000000001</v>
      </c>
      <c r="O246" s="739">
        <v>-620952.82999999996</v>
      </c>
      <c r="P246" s="740">
        <v>-390564.37</v>
      </c>
      <c r="Q246" s="814">
        <v>-307623.27</v>
      </c>
      <c r="R246" s="731">
        <v>-253348.6</v>
      </c>
      <c r="S246" s="733">
        <f t="shared" si="34"/>
        <v>-320408.41833333339</v>
      </c>
      <c r="T246" s="707"/>
      <c r="U246" s="742"/>
      <c r="V246" s="742"/>
      <c r="W246" s="742"/>
      <c r="X246" s="743">
        <f>S246</f>
        <v>-320408.41833333339</v>
      </c>
      <c r="Y246" s="720"/>
      <c r="Z246" s="720"/>
    </row>
    <row r="247" spans="1:26">
      <c r="A247" s="727"/>
      <c r="B247" s="727"/>
      <c r="C247" s="728">
        <v>238</v>
      </c>
      <c r="D247" s="729"/>
      <c r="E247" s="785"/>
      <c r="F247" s="731"/>
      <c r="G247" s="813"/>
      <c r="H247" s="733"/>
      <c r="I247" s="733"/>
      <c r="J247" s="734"/>
      <c r="K247" s="735"/>
      <c r="L247" s="736"/>
      <c r="M247" s="737"/>
      <c r="N247" s="738"/>
      <c r="O247" s="739"/>
      <c r="P247" s="740"/>
      <c r="Q247" s="814"/>
      <c r="R247" s="731"/>
      <c r="S247" s="733">
        <f t="shared" si="34"/>
        <v>0</v>
      </c>
      <c r="T247" s="707"/>
      <c r="U247" s="742"/>
      <c r="V247" s="742"/>
      <c r="W247" s="742"/>
      <c r="X247" s="742"/>
      <c r="Y247" s="720"/>
      <c r="Z247" s="720"/>
    </row>
    <row r="248" spans="1:26">
      <c r="A248" s="727" t="s">
        <v>735</v>
      </c>
      <c r="B248" s="837" t="s">
        <v>736</v>
      </c>
      <c r="C248" s="728">
        <v>239</v>
      </c>
      <c r="D248" s="729" t="str">
        <f t="shared" ref="D248:D258" si="38">A248&amp;"."&amp;B248</f>
        <v>2340.[000,001]</v>
      </c>
      <c r="E248" s="838" t="s">
        <v>737</v>
      </c>
      <c r="F248" s="731">
        <v>-1402673.36</v>
      </c>
      <c r="G248" s="813">
        <v>-1464534.48</v>
      </c>
      <c r="H248" s="733">
        <v>-1369348.79</v>
      </c>
      <c r="I248" s="733">
        <v>-1023239.36</v>
      </c>
      <c r="J248" s="734">
        <v>-717549.77</v>
      </c>
      <c r="K248" s="735">
        <v>-1269623.98</v>
      </c>
      <c r="L248" s="736">
        <v>-1166708.32</v>
      </c>
      <c r="M248" s="737">
        <v>-995927.74</v>
      </c>
      <c r="N248" s="738">
        <v>-1394534.21</v>
      </c>
      <c r="O248" s="739">
        <v>-1382782.44</v>
      </c>
      <c r="P248" s="740">
        <v>-1355123.03</v>
      </c>
      <c r="Q248" s="814">
        <v>-1250012.98</v>
      </c>
      <c r="R248" s="731">
        <v>-1360877.86</v>
      </c>
      <c r="S248" s="733">
        <f t="shared" si="34"/>
        <v>-1230930.0591666668</v>
      </c>
      <c r="T248" s="707"/>
      <c r="U248" s="742"/>
      <c r="V248" s="742"/>
      <c r="W248" s="742"/>
      <c r="X248" s="742"/>
      <c r="Y248" s="720"/>
      <c r="Z248" s="720"/>
    </row>
    <row r="249" spans="1:26">
      <c r="A249" s="727" t="s">
        <v>735</v>
      </c>
      <c r="B249" s="837" t="s">
        <v>738</v>
      </c>
      <c r="C249" s="728">
        <v>240</v>
      </c>
      <c r="D249" s="729" t="str">
        <f t="shared" si="38"/>
        <v>2340.005</v>
      </c>
      <c r="E249" s="785" t="s">
        <v>739</v>
      </c>
      <c r="F249" s="731">
        <v>-53</v>
      </c>
      <c r="G249" s="813">
        <v>-69984.800000000003</v>
      </c>
      <c r="H249" s="733">
        <v>-1668.96000000001</v>
      </c>
      <c r="I249" s="733">
        <v>-20311.650000000001</v>
      </c>
      <c r="J249" s="734">
        <v>-16.1500000000051</v>
      </c>
      <c r="K249" s="735">
        <v>-166.51000000000499</v>
      </c>
      <c r="L249" s="736">
        <v>-36005.4</v>
      </c>
      <c r="M249" s="737">
        <v>-200</v>
      </c>
      <c r="N249" s="738">
        <v>-1627.61</v>
      </c>
      <c r="O249" s="739">
        <v>-37814.57</v>
      </c>
      <c r="P249" s="740">
        <v>-10.75</v>
      </c>
      <c r="Q249" s="814">
        <v>-169061.22</v>
      </c>
      <c r="R249" s="731">
        <v>-13112.75</v>
      </c>
      <c r="S249" s="733">
        <f t="shared" si="34"/>
        <v>-28620.874583333334</v>
      </c>
      <c r="T249" s="707"/>
      <c r="U249" s="742"/>
      <c r="V249" s="742"/>
      <c r="W249" s="742"/>
      <c r="X249" s="742"/>
      <c r="Y249" s="720"/>
      <c r="Z249" s="720"/>
    </row>
    <row r="250" spans="1:26">
      <c r="A250" s="727" t="s">
        <v>735</v>
      </c>
      <c r="B250" s="837" t="s">
        <v>740</v>
      </c>
      <c r="C250" s="728">
        <v>241</v>
      </c>
      <c r="D250" s="729" t="str">
        <f t="shared" si="38"/>
        <v>2340.008</v>
      </c>
      <c r="E250" s="785" t="s">
        <v>741</v>
      </c>
      <c r="F250" s="731">
        <v>-4.5474735088646402E-13</v>
      </c>
      <c r="G250" s="813">
        <v>0</v>
      </c>
      <c r="H250" s="733">
        <v>0</v>
      </c>
      <c r="I250" s="733">
        <v>0</v>
      </c>
      <c r="J250" s="734">
        <v>0</v>
      </c>
      <c r="K250" s="735">
        <v>-1848.77</v>
      </c>
      <c r="L250" s="736">
        <v>-660</v>
      </c>
      <c r="M250" s="737">
        <v>0</v>
      </c>
      <c r="N250" s="738">
        <v>-68.540000000000006</v>
      </c>
      <c r="O250" s="739">
        <v>-11829.4</v>
      </c>
      <c r="P250" s="740">
        <v>-8160</v>
      </c>
      <c r="Q250" s="814">
        <v>-1.8189894035458601E-12</v>
      </c>
      <c r="R250" s="731">
        <v>-1.8189894035458601E-12</v>
      </c>
      <c r="S250" s="733">
        <f t="shared" si="34"/>
        <v>-1880.5591666666667</v>
      </c>
      <c r="T250" s="707"/>
      <c r="U250" s="742"/>
      <c r="V250" s="742"/>
      <c r="W250" s="742"/>
      <c r="X250" s="742"/>
      <c r="Y250" s="720"/>
      <c r="Z250" s="720"/>
    </row>
    <row r="251" spans="1:26">
      <c r="A251" s="727" t="s">
        <v>735</v>
      </c>
      <c r="B251" s="837" t="s">
        <v>742</v>
      </c>
      <c r="C251" s="728">
        <v>242</v>
      </c>
      <c r="D251" s="729" t="str">
        <f t="shared" si="38"/>
        <v>2340.0620</v>
      </c>
      <c r="E251" s="838" t="s">
        <v>743</v>
      </c>
      <c r="F251" s="731">
        <v>-7399.48</v>
      </c>
      <c r="G251" s="813">
        <v>-306.61</v>
      </c>
      <c r="H251" s="733">
        <v>-386.41</v>
      </c>
      <c r="I251" s="733">
        <v>-1679.64</v>
      </c>
      <c r="J251" s="734">
        <v>4.5474735088646402E-13</v>
      </c>
      <c r="K251" s="735">
        <v>-1189.6500000000001</v>
      </c>
      <c r="L251" s="736">
        <v>4.5474735088646402E-13</v>
      </c>
      <c r="M251" s="737">
        <v>-562.83000000000004</v>
      </c>
      <c r="N251" s="738">
        <v>4.5474735088646402E-13</v>
      </c>
      <c r="O251" s="739">
        <v>-1156.43</v>
      </c>
      <c r="P251" s="740">
        <v>4.5474735088646402E-13</v>
      </c>
      <c r="Q251" s="814">
        <v>-1869.12</v>
      </c>
      <c r="R251" s="731">
        <v>4.5474735088646402E-13</v>
      </c>
      <c r="S251" s="733">
        <f t="shared" si="34"/>
        <v>-904.20249999999999</v>
      </c>
      <c r="T251" s="707"/>
      <c r="U251" s="742"/>
      <c r="V251" s="742"/>
      <c r="W251" s="742"/>
      <c r="X251" s="742"/>
      <c r="Y251" s="720"/>
      <c r="Z251" s="720"/>
    </row>
    <row r="252" spans="1:26">
      <c r="A252" s="727" t="s">
        <v>735</v>
      </c>
      <c r="B252" s="837" t="s">
        <v>744</v>
      </c>
      <c r="C252" s="728">
        <v>243</v>
      </c>
      <c r="D252" s="729" t="str">
        <f t="shared" si="38"/>
        <v>2340.0670</v>
      </c>
      <c r="E252" s="838" t="s">
        <v>745</v>
      </c>
      <c r="F252" s="731">
        <v>0</v>
      </c>
      <c r="G252" s="813">
        <v>-6479.78</v>
      </c>
      <c r="H252" s="733">
        <v>-6479.78</v>
      </c>
      <c r="I252" s="733">
        <v>-6479.78</v>
      </c>
      <c r="J252" s="734">
        <v>-6479.78</v>
      </c>
      <c r="K252" s="735">
        <v>-6479.78</v>
      </c>
      <c r="L252" s="736">
        <v>0</v>
      </c>
      <c r="M252" s="737">
        <v>0</v>
      </c>
      <c r="N252" s="738">
        <v>0</v>
      </c>
      <c r="O252" s="814">
        <v>0</v>
      </c>
      <c r="P252" s="814">
        <v>0</v>
      </c>
      <c r="Q252" s="814">
        <v>0</v>
      </c>
      <c r="R252" s="731">
        <v>0</v>
      </c>
      <c r="S252" s="733">
        <f t="shared" si="34"/>
        <v>-2699.9083333333333</v>
      </c>
      <c r="T252" s="707"/>
      <c r="U252" s="742"/>
      <c r="V252" s="742"/>
      <c r="W252" s="742"/>
      <c r="X252" s="742"/>
      <c r="Y252" s="720"/>
      <c r="Z252" s="720"/>
    </row>
    <row r="253" spans="1:26">
      <c r="A253" s="727" t="s">
        <v>735</v>
      </c>
      <c r="B253" s="837" t="s">
        <v>746</v>
      </c>
      <c r="C253" s="728">
        <v>244</v>
      </c>
      <c r="D253" s="729" t="str">
        <f t="shared" si="38"/>
        <v>2340.043</v>
      </c>
      <c r="E253" s="838" t="s">
        <v>747</v>
      </c>
      <c r="F253" s="731">
        <v>0</v>
      </c>
      <c r="G253" s="813">
        <v>0</v>
      </c>
      <c r="H253" s="733">
        <v>0</v>
      </c>
      <c r="I253" s="733">
        <v>0</v>
      </c>
      <c r="J253" s="734">
        <v>0</v>
      </c>
      <c r="K253" s="735">
        <v>0</v>
      </c>
      <c r="L253" s="736">
        <v>0</v>
      </c>
      <c r="M253" s="737">
        <v>0</v>
      </c>
      <c r="N253" s="738">
        <v>0</v>
      </c>
      <c r="O253" s="739">
        <v>0</v>
      </c>
      <c r="P253" s="740">
        <v>0</v>
      </c>
      <c r="Q253" s="814">
        <v>0</v>
      </c>
      <c r="R253" s="731">
        <v>0</v>
      </c>
      <c r="S253" s="733">
        <f t="shared" si="34"/>
        <v>0</v>
      </c>
      <c r="T253" s="707"/>
      <c r="U253" s="742"/>
      <c r="V253" s="742"/>
      <c r="W253" s="742"/>
      <c r="X253" s="742"/>
      <c r="Y253" s="720"/>
      <c r="Z253" s="720"/>
    </row>
    <row r="254" spans="1:26">
      <c r="A254" s="727" t="s">
        <v>735</v>
      </c>
      <c r="B254" s="837" t="s">
        <v>748</v>
      </c>
      <c r="C254" s="728">
        <v>245</v>
      </c>
      <c r="D254" s="729" t="str">
        <f t="shared" si="38"/>
        <v>2340.044</v>
      </c>
      <c r="E254" s="785" t="s">
        <v>749</v>
      </c>
      <c r="F254" s="731">
        <v>0</v>
      </c>
      <c r="G254" s="813">
        <v>0</v>
      </c>
      <c r="H254" s="733">
        <v>0</v>
      </c>
      <c r="I254" s="733">
        <v>0</v>
      </c>
      <c r="J254" s="734">
        <v>0</v>
      </c>
      <c r="K254" s="735">
        <v>0</v>
      </c>
      <c r="L254" s="736">
        <v>0</v>
      </c>
      <c r="M254" s="737">
        <v>0</v>
      </c>
      <c r="N254" s="738">
        <v>0</v>
      </c>
      <c r="O254" s="739">
        <v>0</v>
      </c>
      <c r="P254" s="740">
        <v>0</v>
      </c>
      <c r="Q254" s="814">
        <v>0</v>
      </c>
      <c r="R254" s="731">
        <v>0</v>
      </c>
      <c r="S254" s="733">
        <f t="shared" si="34"/>
        <v>0</v>
      </c>
      <c r="T254" s="707"/>
      <c r="U254" s="742"/>
      <c r="V254" s="742"/>
      <c r="W254" s="742"/>
      <c r="X254" s="742"/>
      <c r="Y254" s="720"/>
      <c r="Z254" s="720"/>
    </row>
    <row r="255" spans="1:26">
      <c r="A255" s="727" t="s">
        <v>735</v>
      </c>
      <c r="B255" s="837" t="s">
        <v>719</v>
      </c>
      <c r="C255" s="728">
        <v>246</v>
      </c>
      <c r="D255" s="729" t="str">
        <f t="shared" si="38"/>
        <v>2340.045</v>
      </c>
      <c r="E255" s="727" t="s">
        <v>750</v>
      </c>
      <c r="F255" s="731">
        <v>0</v>
      </c>
      <c r="G255" s="813">
        <v>0</v>
      </c>
      <c r="H255" s="733">
        <v>0</v>
      </c>
      <c r="I255" s="733">
        <v>0</v>
      </c>
      <c r="J255" s="734">
        <v>0</v>
      </c>
      <c r="K255" s="735">
        <v>0</v>
      </c>
      <c r="L255" s="736">
        <v>0</v>
      </c>
      <c r="M255" s="737">
        <v>0</v>
      </c>
      <c r="N255" s="738">
        <v>0</v>
      </c>
      <c r="O255" s="739">
        <v>0</v>
      </c>
      <c r="P255" s="740">
        <v>0</v>
      </c>
      <c r="Q255" s="814">
        <v>0</v>
      </c>
      <c r="R255" s="731">
        <v>0</v>
      </c>
      <c r="S255" s="733">
        <f t="shared" si="34"/>
        <v>0</v>
      </c>
      <c r="T255" s="707"/>
      <c r="U255" s="742"/>
      <c r="V255" s="742"/>
      <c r="W255" s="742"/>
      <c r="X255" s="742"/>
      <c r="Y255" s="720"/>
      <c r="Z255" s="720"/>
    </row>
    <row r="256" spans="1:26">
      <c r="A256" s="727" t="s">
        <v>735</v>
      </c>
      <c r="B256" s="727" t="s">
        <v>751</v>
      </c>
      <c r="C256" s="728">
        <v>247</v>
      </c>
      <c r="D256" s="729" t="str">
        <f t="shared" si="38"/>
        <v>2340.046</v>
      </c>
      <c r="E256" s="785" t="s">
        <v>752</v>
      </c>
      <c r="F256" s="731">
        <v>0</v>
      </c>
      <c r="G256" s="813">
        <v>0</v>
      </c>
      <c r="H256" s="733">
        <v>0</v>
      </c>
      <c r="I256" s="733">
        <v>0</v>
      </c>
      <c r="J256" s="734">
        <v>0</v>
      </c>
      <c r="K256" s="735">
        <v>0</v>
      </c>
      <c r="L256" s="736">
        <v>0</v>
      </c>
      <c r="M256" s="737">
        <v>0</v>
      </c>
      <c r="N256" s="738">
        <v>0</v>
      </c>
      <c r="O256" s="739">
        <v>0</v>
      </c>
      <c r="P256" s="740">
        <v>0</v>
      </c>
      <c r="Q256" s="814">
        <v>0</v>
      </c>
      <c r="R256" s="731">
        <v>0</v>
      </c>
      <c r="S256" s="733">
        <f t="shared" si="34"/>
        <v>0</v>
      </c>
      <c r="T256" s="707"/>
      <c r="U256" s="742"/>
      <c r="V256" s="742"/>
      <c r="W256" s="742"/>
      <c r="X256" s="742"/>
      <c r="Y256" s="720"/>
      <c r="Z256" s="720"/>
    </row>
    <row r="257" spans="1:26">
      <c r="A257" s="703" t="s">
        <v>735</v>
      </c>
      <c r="B257" s="703" t="s">
        <v>753</v>
      </c>
      <c r="C257" s="728">
        <v>248</v>
      </c>
      <c r="D257" s="705" t="str">
        <f t="shared" si="38"/>
        <v>2340.047</v>
      </c>
      <c r="E257" s="785" t="s">
        <v>754</v>
      </c>
      <c r="F257" s="731">
        <v>0</v>
      </c>
      <c r="G257" s="813">
        <v>0</v>
      </c>
      <c r="H257" s="733">
        <v>0</v>
      </c>
      <c r="I257" s="733">
        <v>0</v>
      </c>
      <c r="J257" s="734">
        <v>0</v>
      </c>
      <c r="K257" s="735">
        <v>0</v>
      </c>
      <c r="L257" s="736">
        <v>0</v>
      </c>
      <c r="M257" s="737">
        <v>0</v>
      </c>
      <c r="N257" s="738">
        <v>0</v>
      </c>
      <c r="O257" s="739">
        <v>0</v>
      </c>
      <c r="P257" s="740">
        <v>0</v>
      </c>
      <c r="Q257" s="814">
        <v>0</v>
      </c>
      <c r="R257" s="731">
        <v>0</v>
      </c>
      <c r="S257" s="733">
        <f t="shared" si="34"/>
        <v>0</v>
      </c>
      <c r="T257" s="707"/>
      <c r="U257" s="742"/>
      <c r="V257" s="742"/>
      <c r="W257" s="742"/>
      <c r="X257" s="742"/>
      <c r="Y257" s="720"/>
      <c r="Z257" s="720"/>
    </row>
    <row r="258" spans="1:26">
      <c r="A258" s="727" t="s">
        <v>735</v>
      </c>
      <c r="B258" s="727" t="s">
        <v>755</v>
      </c>
      <c r="C258" s="728">
        <v>249</v>
      </c>
      <c r="D258" s="729" t="str">
        <f t="shared" si="38"/>
        <v>2340.048</v>
      </c>
      <c r="E258" s="785" t="s">
        <v>756</v>
      </c>
      <c r="F258" s="731">
        <v>-204518.47</v>
      </c>
      <c r="G258" s="813">
        <v>-202024.22</v>
      </c>
      <c r="H258" s="733">
        <v>-217632.66</v>
      </c>
      <c r="I258" s="733">
        <v>-170887.72</v>
      </c>
      <c r="J258" s="734">
        <v>-373661.5</v>
      </c>
      <c r="K258" s="735">
        <v>-197038.37</v>
      </c>
      <c r="L258" s="736">
        <v>-245944.09</v>
      </c>
      <c r="M258" s="737">
        <v>-440497.85</v>
      </c>
      <c r="N258" s="738">
        <v>-217565.91</v>
      </c>
      <c r="O258" s="739">
        <v>-203928.55</v>
      </c>
      <c r="P258" s="740">
        <v>-170616.66</v>
      </c>
      <c r="Q258" s="814">
        <v>-205381.4</v>
      </c>
      <c r="R258" s="731">
        <v>-232776.9</v>
      </c>
      <c r="S258" s="733">
        <f t="shared" si="34"/>
        <v>-238652.21791666668</v>
      </c>
      <c r="T258" s="707"/>
      <c r="U258" s="742"/>
      <c r="V258" s="742"/>
      <c r="W258" s="742"/>
      <c r="X258" s="742"/>
      <c r="Y258" s="720"/>
      <c r="Z258" s="720"/>
    </row>
    <row r="259" spans="1:26">
      <c r="A259" s="727"/>
      <c r="B259" s="727"/>
      <c r="C259" s="728">
        <v>250</v>
      </c>
      <c r="D259" s="729"/>
      <c r="E259" s="785" t="s">
        <v>757</v>
      </c>
      <c r="F259" s="755">
        <f>SUM(F248:F258)</f>
        <v>-1614644.31</v>
      </c>
      <c r="G259" s="755">
        <f t="shared" ref="G259:S259" si="39">SUM(G248:G258)</f>
        <v>-1743329.8900000001</v>
      </c>
      <c r="H259" s="755">
        <f t="shared" si="39"/>
        <v>-1595516.5999999999</v>
      </c>
      <c r="I259" s="755">
        <f t="shared" si="39"/>
        <v>-1222598.1499999999</v>
      </c>
      <c r="J259" s="755">
        <f t="shared" si="39"/>
        <v>-1097707.2000000002</v>
      </c>
      <c r="K259" s="755">
        <f t="shared" si="39"/>
        <v>-1476347.06</v>
      </c>
      <c r="L259" s="755">
        <f t="shared" si="39"/>
        <v>-1449317.81</v>
      </c>
      <c r="M259" s="755">
        <f t="shared" si="39"/>
        <v>-1437188.42</v>
      </c>
      <c r="N259" s="755">
        <f t="shared" si="39"/>
        <v>-1613796.27</v>
      </c>
      <c r="O259" s="755">
        <f t="shared" si="39"/>
        <v>-1637511.39</v>
      </c>
      <c r="P259" s="755">
        <f t="shared" si="39"/>
        <v>-1533910.44</v>
      </c>
      <c r="Q259" s="755">
        <f t="shared" si="39"/>
        <v>-1626324.72</v>
      </c>
      <c r="R259" s="755">
        <f t="shared" si="39"/>
        <v>-1606767.51</v>
      </c>
      <c r="S259" s="755">
        <f t="shared" si="39"/>
        <v>-1503687.8216666668</v>
      </c>
      <c r="T259" s="707"/>
      <c r="U259" s="742"/>
      <c r="V259" s="742"/>
      <c r="W259" s="743">
        <f>S259</f>
        <v>-1503687.8216666668</v>
      </c>
      <c r="X259" s="742"/>
      <c r="Y259" s="720"/>
      <c r="Z259" s="720"/>
    </row>
    <row r="260" spans="1:26">
      <c r="A260" s="727"/>
      <c r="B260" s="727"/>
      <c r="C260" s="728">
        <v>251</v>
      </c>
      <c r="D260" s="729"/>
      <c r="E260" s="785"/>
      <c r="F260" s="731"/>
      <c r="G260" s="813"/>
      <c r="H260" s="733"/>
      <c r="I260" s="733"/>
      <c r="J260" s="734"/>
      <c r="K260" s="735"/>
      <c r="L260" s="736"/>
      <c r="M260" s="737"/>
      <c r="N260" s="738"/>
      <c r="O260" s="739"/>
      <c r="P260" s="740"/>
      <c r="Q260" s="814"/>
      <c r="R260" s="731"/>
      <c r="S260" s="733">
        <f t="shared" si="34"/>
        <v>0</v>
      </c>
      <c r="T260" s="707"/>
      <c r="U260" s="742"/>
      <c r="V260" s="742"/>
      <c r="W260" s="742"/>
      <c r="X260" s="742"/>
      <c r="Y260" s="720"/>
      <c r="Z260" s="720"/>
    </row>
    <row r="261" spans="1:26">
      <c r="A261" s="828" t="s">
        <v>758</v>
      </c>
      <c r="B261" s="727" t="s">
        <v>405</v>
      </c>
      <c r="C261" s="728">
        <v>252</v>
      </c>
      <c r="D261" s="828" t="str">
        <f>+A261</f>
        <v>2412</v>
      </c>
      <c r="E261" s="785" t="s">
        <v>759</v>
      </c>
      <c r="F261" s="731">
        <v>0</v>
      </c>
      <c r="G261" s="813">
        <v>0</v>
      </c>
      <c r="H261" s="733">
        <v>0</v>
      </c>
      <c r="I261" s="733">
        <v>0</v>
      </c>
      <c r="J261" s="734">
        <v>0</v>
      </c>
      <c r="K261" s="735">
        <v>-699.14</v>
      </c>
      <c r="L261" s="736">
        <v>0</v>
      </c>
      <c r="M261" s="737">
        <v>0</v>
      </c>
      <c r="N261" s="738">
        <v>0</v>
      </c>
      <c r="O261" s="739">
        <v>-77.599999999999994</v>
      </c>
      <c r="P261" s="740">
        <v>0</v>
      </c>
      <c r="Q261" s="814">
        <v>-53.98</v>
      </c>
      <c r="R261" s="731">
        <v>-754.83</v>
      </c>
      <c r="S261" s="733">
        <f t="shared" si="34"/>
        <v>-100.67791666666666</v>
      </c>
      <c r="T261" s="707"/>
      <c r="U261" s="742"/>
      <c r="V261" s="742"/>
      <c r="W261" s="742"/>
      <c r="X261" s="742"/>
      <c r="Y261" s="720"/>
      <c r="Z261" s="720"/>
    </row>
    <row r="262" spans="1:26">
      <c r="A262" s="727" t="s">
        <v>760</v>
      </c>
      <c r="B262" s="727" t="s">
        <v>405</v>
      </c>
      <c r="C262" s="728">
        <v>253</v>
      </c>
      <c r="D262" s="727" t="str">
        <f>+A262</f>
        <v>2411</v>
      </c>
      <c r="E262" s="785" t="s">
        <v>761</v>
      </c>
      <c r="F262" s="731">
        <v>1.1823431123048099E-11</v>
      </c>
      <c r="G262" s="813">
        <v>0</v>
      </c>
      <c r="H262" s="733">
        <v>-695.44</v>
      </c>
      <c r="I262" s="733">
        <v>0</v>
      </c>
      <c r="J262" s="734">
        <v>0</v>
      </c>
      <c r="K262" s="735">
        <v>-2601</v>
      </c>
      <c r="L262" s="736">
        <v>0</v>
      </c>
      <c r="M262" s="737">
        <v>379.49</v>
      </c>
      <c r="N262" s="738">
        <v>0</v>
      </c>
      <c r="O262" s="739">
        <v>-217.41</v>
      </c>
      <c r="P262" s="740">
        <v>-137.08000000000001</v>
      </c>
      <c r="Q262" s="814">
        <v>-351.9</v>
      </c>
      <c r="R262" s="731">
        <v>-2787.11</v>
      </c>
      <c r="S262" s="733">
        <f t="shared" si="34"/>
        <v>-418.07458333333284</v>
      </c>
      <c r="T262" s="707"/>
      <c r="U262" s="742"/>
      <c r="V262" s="742"/>
      <c r="W262" s="742"/>
      <c r="X262" s="742"/>
      <c r="Y262" s="720"/>
      <c r="Z262" s="720"/>
    </row>
    <row r="263" spans="1:26">
      <c r="A263" s="828" t="s">
        <v>762</v>
      </c>
      <c r="B263" s="727" t="s">
        <v>405</v>
      </c>
      <c r="C263" s="728">
        <v>254</v>
      </c>
      <c r="D263" s="829" t="s">
        <v>763</v>
      </c>
      <c r="E263" s="785" t="s">
        <v>764</v>
      </c>
      <c r="F263" s="731">
        <v>0</v>
      </c>
      <c r="G263" s="813">
        <v>0</v>
      </c>
      <c r="H263" s="733">
        <v>0</v>
      </c>
      <c r="I263" s="733">
        <v>0</v>
      </c>
      <c r="J263" s="734">
        <v>0</v>
      </c>
      <c r="K263" s="735">
        <v>0</v>
      </c>
      <c r="L263" s="736">
        <v>0</v>
      </c>
      <c r="M263" s="737">
        <v>0</v>
      </c>
      <c r="N263" s="738">
        <v>0</v>
      </c>
      <c r="O263" s="739">
        <v>0</v>
      </c>
      <c r="P263" s="740">
        <v>0</v>
      </c>
      <c r="Q263" s="814">
        <v>0</v>
      </c>
      <c r="R263" s="731">
        <v>0</v>
      </c>
      <c r="S263" s="733">
        <f t="shared" si="34"/>
        <v>0</v>
      </c>
      <c r="T263" s="707"/>
      <c r="U263" s="742"/>
      <c r="V263" s="742"/>
      <c r="W263" s="742"/>
      <c r="X263" s="742"/>
      <c r="Y263" s="720"/>
      <c r="Z263" s="720"/>
    </row>
    <row r="264" spans="1:26">
      <c r="A264" s="727"/>
      <c r="B264" s="727"/>
      <c r="C264" s="728">
        <v>255</v>
      </c>
      <c r="D264" s="729"/>
      <c r="E264" s="785" t="s">
        <v>765</v>
      </c>
      <c r="F264" s="755">
        <f>SUM(F261:F263)</f>
        <v>1.1823431123048099E-11</v>
      </c>
      <c r="G264" s="755">
        <f t="shared" ref="G264:S264" si="40">SUM(G261:G263)</f>
        <v>0</v>
      </c>
      <c r="H264" s="755">
        <f t="shared" si="40"/>
        <v>-695.44</v>
      </c>
      <c r="I264" s="755">
        <f t="shared" si="40"/>
        <v>0</v>
      </c>
      <c r="J264" s="755">
        <f t="shared" si="40"/>
        <v>0</v>
      </c>
      <c r="K264" s="755">
        <f t="shared" si="40"/>
        <v>-3300.14</v>
      </c>
      <c r="L264" s="755">
        <f t="shared" si="40"/>
        <v>0</v>
      </c>
      <c r="M264" s="755">
        <f t="shared" si="40"/>
        <v>379.49</v>
      </c>
      <c r="N264" s="755">
        <f t="shared" si="40"/>
        <v>0</v>
      </c>
      <c r="O264" s="755">
        <f t="shared" si="40"/>
        <v>-295.01</v>
      </c>
      <c r="P264" s="755">
        <f t="shared" si="40"/>
        <v>-137.08000000000001</v>
      </c>
      <c r="Q264" s="755">
        <f t="shared" si="40"/>
        <v>-405.88</v>
      </c>
      <c r="R264" s="755">
        <f t="shared" si="40"/>
        <v>-3541.94</v>
      </c>
      <c r="S264" s="755">
        <f t="shared" si="40"/>
        <v>-518.75249999999949</v>
      </c>
      <c r="T264" s="707"/>
      <c r="U264" s="742"/>
      <c r="V264" s="742"/>
      <c r="W264" s="742"/>
      <c r="X264" s="743">
        <f>S264</f>
        <v>-518.75249999999949</v>
      </c>
      <c r="Y264" s="720"/>
      <c r="Z264" s="720"/>
    </row>
    <row r="265" spans="1:26">
      <c r="A265" s="727"/>
      <c r="B265" s="727"/>
      <c r="C265" s="728">
        <v>256</v>
      </c>
      <c r="D265" s="729"/>
      <c r="E265" s="785"/>
      <c r="F265" s="731"/>
      <c r="G265" s="813"/>
      <c r="H265" s="733"/>
      <c r="I265" s="733"/>
      <c r="J265" s="734"/>
      <c r="K265" s="735"/>
      <c r="L265" s="736"/>
      <c r="M265" s="737"/>
      <c r="N265" s="738"/>
      <c r="O265" s="739"/>
      <c r="P265" s="740"/>
      <c r="Q265" s="814"/>
      <c r="R265" s="731"/>
      <c r="S265" s="733">
        <f t="shared" si="34"/>
        <v>0</v>
      </c>
      <c r="T265" s="707"/>
      <c r="U265" s="742"/>
      <c r="V265" s="742"/>
      <c r="W265" s="742"/>
      <c r="X265" s="742"/>
      <c r="Y265" s="720"/>
      <c r="Z265" s="720"/>
    </row>
    <row r="266" spans="1:26">
      <c r="A266" s="727"/>
      <c r="B266" s="727"/>
      <c r="C266" s="728">
        <v>257</v>
      </c>
      <c r="D266" s="729"/>
      <c r="E266" s="785" t="s">
        <v>766</v>
      </c>
      <c r="F266" s="755">
        <f>SUM(F236:F246)+F259+F264</f>
        <v>-22633842.149999999</v>
      </c>
      <c r="G266" s="755">
        <f t="shared" ref="G266:S266" si="41">SUM(G236:G246)+G259+G264</f>
        <v>-22151150.93</v>
      </c>
      <c r="H266" s="755">
        <f t="shared" si="41"/>
        <v>-16087153.319999998</v>
      </c>
      <c r="I266" s="755">
        <f t="shared" si="41"/>
        <v>-14740573.209999999</v>
      </c>
      <c r="J266" s="755">
        <f t="shared" si="41"/>
        <v>-12570599.280000001</v>
      </c>
      <c r="K266" s="755">
        <f t="shared" si="41"/>
        <v>-11859772.060000002</v>
      </c>
      <c r="L266" s="755">
        <f t="shared" si="41"/>
        <v>-10102244.73</v>
      </c>
      <c r="M266" s="755">
        <f t="shared" si="41"/>
        <v>-10622401.389999999</v>
      </c>
      <c r="N266" s="755">
        <f t="shared" si="41"/>
        <v>-12616861.839999998</v>
      </c>
      <c r="O266" s="755">
        <f t="shared" si="41"/>
        <v>-13512792.73</v>
      </c>
      <c r="P266" s="755">
        <f t="shared" si="41"/>
        <v>-13271836.649999999</v>
      </c>
      <c r="Q266" s="755">
        <f t="shared" si="41"/>
        <v>-18377533.939999998</v>
      </c>
      <c r="R266" s="755">
        <f t="shared" si="41"/>
        <v>-30373320.170000006</v>
      </c>
      <c r="S266" s="755">
        <f t="shared" si="41"/>
        <v>-15201375.103333334</v>
      </c>
      <c r="T266" s="707"/>
      <c r="U266" s="742"/>
      <c r="V266" s="742"/>
      <c r="W266" s="742"/>
      <c r="X266" s="742"/>
      <c r="Y266" s="720"/>
      <c r="Z266" s="720"/>
    </row>
    <row r="267" spans="1:26">
      <c r="A267" s="727"/>
      <c r="B267" s="727"/>
      <c r="C267" s="728">
        <v>258</v>
      </c>
      <c r="D267" s="729"/>
      <c r="E267" s="785"/>
      <c r="F267" s="731"/>
      <c r="G267" s="813"/>
      <c r="H267" s="733"/>
      <c r="I267" s="733"/>
      <c r="J267" s="734"/>
      <c r="K267" s="735"/>
      <c r="L267" s="736"/>
      <c r="M267" s="737"/>
      <c r="N267" s="738"/>
      <c r="O267" s="739"/>
      <c r="P267" s="740"/>
      <c r="Q267" s="814"/>
      <c r="R267" s="731"/>
      <c r="S267" s="733">
        <f t="shared" si="34"/>
        <v>0</v>
      </c>
      <c r="T267" s="707"/>
      <c r="U267" s="742"/>
      <c r="V267" s="742"/>
      <c r="W267" s="742"/>
      <c r="X267" s="742"/>
      <c r="Y267" s="720"/>
      <c r="Z267" s="720"/>
    </row>
    <row r="268" spans="1:26">
      <c r="A268" s="828" t="s">
        <v>767</v>
      </c>
      <c r="B268" s="727" t="s">
        <v>405</v>
      </c>
      <c r="C268" s="728">
        <v>259</v>
      </c>
      <c r="D268" s="727" t="str">
        <f>+A268</f>
        <v>2360</v>
      </c>
      <c r="E268" s="785" t="s">
        <v>768</v>
      </c>
      <c r="F268" s="731">
        <v>0</v>
      </c>
      <c r="G268" s="813">
        <v>0</v>
      </c>
      <c r="H268" s="733">
        <v>0</v>
      </c>
      <c r="I268" s="733">
        <v>0</v>
      </c>
      <c r="J268" s="734">
        <v>0</v>
      </c>
      <c r="K268" s="735">
        <v>0</v>
      </c>
      <c r="L268" s="736">
        <v>0</v>
      </c>
      <c r="M268" s="737">
        <v>0</v>
      </c>
      <c r="N268" s="738">
        <v>0</v>
      </c>
      <c r="O268" s="739">
        <v>0</v>
      </c>
      <c r="P268" s="740">
        <v>0</v>
      </c>
      <c r="Q268" s="814">
        <v>0</v>
      </c>
      <c r="R268" s="731">
        <v>0</v>
      </c>
      <c r="S268" s="733">
        <f t="shared" ref="S268:S331" si="42">((F268+R268)+((G268+H268+I268+J268+K268+L268+M268+N268+O268+P268+Q268)*2))/24</f>
        <v>0</v>
      </c>
      <c r="T268" s="707"/>
      <c r="U268" s="742"/>
      <c r="V268" s="742"/>
      <c r="W268" s="742"/>
      <c r="X268" s="742"/>
      <c r="Y268" s="720"/>
      <c r="Z268" s="720"/>
    </row>
    <row r="269" spans="1:26">
      <c r="A269" s="727" t="s">
        <v>769</v>
      </c>
      <c r="B269" s="727" t="s">
        <v>770</v>
      </c>
      <c r="C269" s="728">
        <v>260</v>
      </c>
      <c r="D269" s="729" t="str">
        <f>A269&amp;"."&amp;B269</f>
        <v>2361.[*,/42]</v>
      </c>
      <c r="E269" s="785" t="s">
        <v>768</v>
      </c>
      <c r="F269" s="731">
        <v>-3146070.65</v>
      </c>
      <c r="G269" s="813">
        <v>-5705128.3399999999</v>
      </c>
      <c r="H269" s="733">
        <v>-7218842.3799999999</v>
      </c>
      <c r="I269" s="733">
        <v>-8753908.4600000009</v>
      </c>
      <c r="J269" s="734">
        <v>-7336181.04</v>
      </c>
      <c r="K269" s="735">
        <v>-6717155.0099999998</v>
      </c>
      <c r="L269" s="736">
        <v>-4016331.79</v>
      </c>
      <c r="M269" s="737">
        <v>-3363136.22</v>
      </c>
      <c r="N269" s="738">
        <v>-2384259.7599999998</v>
      </c>
      <c r="O269" s="739">
        <v>-9.3132257461547893E-10</v>
      </c>
      <c r="P269" s="740">
        <v>-9.3132257461547893E-10</v>
      </c>
      <c r="Q269" s="814">
        <v>-9.3132257461547893E-10</v>
      </c>
      <c r="R269" s="731">
        <v>-1288737.78</v>
      </c>
      <c r="S269" s="733">
        <f t="shared" si="42"/>
        <v>-3976028.9345833324</v>
      </c>
      <c r="T269" s="707"/>
      <c r="U269" s="742"/>
      <c r="V269" s="742"/>
      <c r="W269" s="742"/>
      <c r="X269" s="743">
        <f>S269</f>
        <v>-3976028.9345833324</v>
      </c>
      <c r="Y269" s="720"/>
      <c r="Z269" s="720"/>
    </row>
    <row r="270" spans="1:26">
      <c r="A270" s="828" t="s">
        <v>769</v>
      </c>
      <c r="B270" s="727" t="s">
        <v>771</v>
      </c>
      <c r="C270" s="728">
        <v>261</v>
      </c>
      <c r="D270" s="729" t="str">
        <f>A270&amp;"."&amp;B270</f>
        <v>2361.[42*]</v>
      </c>
      <c r="E270" s="727" t="s">
        <v>772</v>
      </c>
      <c r="F270" s="731">
        <v>0</v>
      </c>
      <c r="G270" s="813">
        <v>0</v>
      </c>
      <c r="H270" s="733">
        <v>0</v>
      </c>
      <c r="I270" s="733">
        <v>0</v>
      </c>
      <c r="J270" s="734">
        <v>0</v>
      </c>
      <c r="K270" s="735">
        <v>0</v>
      </c>
      <c r="L270" s="736">
        <v>0</v>
      </c>
      <c r="M270" s="737">
        <v>0</v>
      </c>
      <c r="N270" s="738">
        <v>0</v>
      </c>
      <c r="O270" s="739">
        <v>0</v>
      </c>
      <c r="P270" s="740">
        <v>0</v>
      </c>
      <c r="Q270" s="814">
        <v>0</v>
      </c>
      <c r="R270" s="731">
        <v>0</v>
      </c>
      <c r="S270" s="733">
        <f t="shared" si="42"/>
        <v>0</v>
      </c>
      <c r="T270" s="707"/>
      <c r="U270" s="742"/>
      <c r="V270" s="742"/>
      <c r="W270" s="742"/>
      <c r="X270" s="742"/>
      <c r="Y270" s="720"/>
      <c r="Z270" s="720"/>
    </row>
    <row r="271" spans="1:26">
      <c r="A271" s="727" t="s">
        <v>773</v>
      </c>
      <c r="B271" s="727" t="s">
        <v>405</v>
      </c>
      <c r="C271" s="728">
        <v>262</v>
      </c>
      <c r="D271" s="839" t="str">
        <f t="shared" ref="D271:D279" si="43">+A271</f>
        <v>2362</v>
      </c>
      <c r="E271" s="785" t="s">
        <v>774</v>
      </c>
      <c r="F271" s="731">
        <v>-122306.54</v>
      </c>
      <c r="G271" s="813">
        <v>-180888.21</v>
      </c>
      <c r="H271" s="733">
        <v>-240693.32</v>
      </c>
      <c r="I271" s="733">
        <v>-246824.67</v>
      </c>
      <c r="J271" s="734">
        <v>-235163.68</v>
      </c>
      <c r="K271" s="735">
        <v>-253498.68</v>
      </c>
      <c r="L271" s="736">
        <v>-277379.96000000002</v>
      </c>
      <c r="M271" s="737">
        <v>-92035.25</v>
      </c>
      <c r="N271" s="738">
        <v>-54725.34</v>
      </c>
      <c r="O271" s="739">
        <v>-72074.740000000005</v>
      </c>
      <c r="P271" s="740">
        <v>-76481.72</v>
      </c>
      <c r="Q271" s="814">
        <v>-84109.16</v>
      </c>
      <c r="R271" s="731">
        <v>-118694.05</v>
      </c>
      <c r="S271" s="733">
        <f t="shared" si="42"/>
        <v>-161197.91874999998</v>
      </c>
      <c r="T271" s="707"/>
      <c r="U271" s="742"/>
      <c r="V271" s="742"/>
      <c r="W271" s="742"/>
      <c r="X271" s="743">
        <f>S271</f>
        <v>-161197.91874999998</v>
      </c>
      <c r="Y271" s="720"/>
      <c r="Z271" s="720"/>
    </row>
    <row r="272" spans="1:26">
      <c r="A272" s="727" t="s">
        <v>775</v>
      </c>
      <c r="B272" s="727" t="s">
        <v>405</v>
      </c>
      <c r="C272" s="728">
        <v>263</v>
      </c>
      <c r="D272" s="839" t="str">
        <f t="shared" si="43"/>
        <v>2363</v>
      </c>
      <c r="E272" s="785" t="s">
        <v>776</v>
      </c>
      <c r="F272" s="731">
        <v>-18648.22</v>
      </c>
      <c r="G272" s="813">
        <v>-25906.68</v>
      </c>
      <c r="H272" s="733">
        <v>-24929.919999999998</v>
      </c>
      <c r="I272" s="733">
        <v>-36510.44</v>
      </c>
      <c r="J272" s="734">
        <v>-25525.56</v>
      </c>
      <c r="K272" s="735">
        <v>-11675.53</v>
      </c>
      <c r="L272" s="736">
        <v>-27399.52</v>
      </c>
      <c r="M272" s="737">
        <v>-14856.45</v>
      </c>
      <c r="N272" s="738">
        <v>-66036.5</v>
      </c>
      <c r="O272" s="739">
        <v>-23630.07</v>
      </c>
      <c r="P272" s="740">
        <v>-16631.990000000002</v>
      </c>
      <c r="Q272" s="814">
        <v>-18980.849999999999</v>
      </c>
      <c r="R272" s="731">
        <v>-20818.02</v>
      </c>
      <c r="S272" s="733">
        <f t="shared" si="42"/>
        <v>-25984.719166666666</v>
      </c>
      <c r="T272" s="707"/>
      <c r="U272" s="742"/>
      <c r="V272" s="742"/>
      <c r="W272" s="742"/>
      <c r="X272" s="743">
        <f>S272</f>
        <v>-25984.719166666666</v>
      </c>
      <c r="Y272" s="720"/>
      <c r="Z272" s="720"/>
    </row>
    <row r="273" spans="1:26">
      <c r="A273" s="727" t="s">
        <v>777</v>
      </c>
      <c r="B273" s="727" t="s">
        <v>405</v>
      </c>
      <c r="C273" s="728">
        <v>264</v>
      </c>
      <c r="D273" s="839" t="str">
        <f t="shared" si="43"/>
        <v>2364</v>
      </c>
      <c r="E273" s="785" t="s">
        <v>778</v>
      </c>
      <c r="F273" s="731">
        <v>-7203684.0999999996</v>
      </c>
      <c r="G273" s="813">
        <v>-7861630.9900000002</v>
      </c>
      <c r="H273" s="733">
        <v>-7668156.0499999998</v>
      </c>
      <c r="I273" s="733">
        <v>-7460719.6799999997</v>
      </c>
      <c r="J273" s="734">
        <v>-4502549.17</v>
      </c>
      <c r="K273" s="735">
        <v>-4299002.71</v>
      </c>
      <c r="L273" s="736">
        <v>-4545677.1399999997</v>
      </c>
      <c r="M273" s="737">
        <v>-4296397.0999999996</v>
      </c>
      <c r="N273" s="738">
        <v>-3299189.06</v>
      </c>
      <c r="O273" s="739">
        <v>-3817457.33</v>
      </c>
      <c r="P273" s="740">
        <v>-4325709.76</v>
      </c>
      <c r="Q273" s="814">
        <v>-4854347.59</v>
      </c>
      <c r="R273" s="731">
        <v>-6990642.5199999996</v>
      </c>
      <c r="S273" s="733">
        <f t="shared" si="42"/>
        <v>-5335666.6574999997</v>
      </c>
      <c r="T273" s="707"/>
      <c r="U273" s="742"/>
      <c r="V273" s="742"/>
      <c r="W273" s="742"/>
      <c r="X273" s="743">
        <f>S273</f>
        <v>-5335666.6574999997</v>
      </c>
      <c r="Y273" s="720"/>
      <c r="Z273" s="720"/>
    </row>
    <row r="274" spans="1:26">
      <c r="A274" s="727" t="s">
        <v>779</v>
      </c>
      <c r="B274" s="727" t="s">
        <v>405</v>
      </c>
      <c r="C274" s="728">
        <v>265</v>
      </c>
      <c r="D274" s="727" t="str">
        <f t="shared" si="43"/>
        <v>2380</v>
      </c>
      <c r="E274" s="785" t="s">
        <v>780</v>
      </c>
      <c r="F274" s="731">
        <v>-4160000</v>
      </c>
      <c r="G274" s="813">
        <v>0</v>
      </c>
      <c r="H274" s="733">
        <v>-4160000</v>
      </c>
      <c r="I274" s="733">
        <v>-4160000</v>
      </c>
      <c r="J274" s="734">
        <v>0</v>
      </c>
      <c r="K274" s="735">
        <v>-4160000</v>
      </c>
      <c r="L274" s="736">
        <v>-4160000</v>
      </c>
      <c r="M274" s="737">
        <v>0</v>
      </c>
      <c r="N274" s="738">
        <v>-4160000</v>
      </c>
      <c r="O274" s="739">
        <v>-4160000</v>
      </c>
      <c r="P274" s="740">
        <v>0</v>
      </c>
      <c r="Q274" s="814">
        <v>-4160000</v>
      </c>
      <c r="R274" s="731">
        <v>-4160000</v>
      </c>
      <c r="S274" s="733">
        <f t="shared" si="42"/>
        <v>-2773333.3333333335</v>
      </c>
      <c r="T274" s="707"/>
      <c r="U274" s="743"/>
      <c r="V274" s="742"/>
      <c r="W274" s="742"/>
      <c r="X274" s="743">
        <f>+S274</f>
        <v>-2773333.3333333335</v>
      </c>
      <c r="Y274" s="720"/>
      <c r="Z274" s="720"/>
    </row>
    <row r="275" spans="1:26">
      <c r="A275" s="727" t="s">
        <v>781</v>
      </c>
      <c r="B275" s="727" t="s">
        <v>405</v>
      </c>
      <c r="C275" s="728">
        <v>266</v>
      </c>
      <c r="D275" s="727" t="str">
        <f t="shared" si="43"/>
        <v>2351</v>
      </c>
      <c r="E275" s="785" t="s">
        <v>782</v>
      </c>
      <c r="F275" s="731">
        <v>-1061068.4099999999</v>
      </c>
      <c r="G275" s="813">
        <v>-1036223.43</v>
      </c>
      <c r="H275" s="733">
        <v>-1033621.39</v>
      </c>
      <c r="I275" s="733">
        <v>-998194.75</v>
      </c>
      <c r="J275" s="734">
        <v>-975157.17</v>
      </c>
      <c r="K275" s="735">
        <v>-947442.57</v>
      </c>
      <c r="L275" s="736">
        <v>-899116.73</v>
      </c>
      <c r="M275" s="737">
        <v>-884343.3</v>
      </c>
      <c r="N275" s="738">
        <v>-871879.41</v>
      </c>
      <c r="O275" s="739">
        <v>-834316.95</v>
      </c>
      <c r="P275" s="740">
        <v>-846708.09</v>
      </c>
      <c r="Q275" s="814">
        <v>-863050.89</v>
      </c>
      <c r="R275" s="731">
        <v>-874939.13</v>
      </c>
      <c r="S275" s="733">
        <f t="shared" si="42"/>
        <v>-929838.20416666672</v>
      </c>
      <c r="T275" s="707"/>
      <c r="U275" s="742"/>
      <c r="V275" s="742"/>
      <c r="W275" s="743">
        <f>S275</f>
        <v>-929838.20416666672</v>
      </c>
      <c r="X275" s="742"/>
      <c r="Y275" s="720"/>
      <c r="Z275" s="720"/>
    </row>
    <row r="276" spans="1:26">
      <c r="A276" s="727" t="s">
        <v>783</v>
      </c>
      <c r="B276" s="727" t="s">
        <v>405</v>
      </c>
      <c r="C276" s="728">
        <v>267</v>
      </c>
      <c r="D276" s="727" t="str">
        <f t="shared" si="43"/>
        <v>2370</v>
      </c>
      <c r="E276" s="785" t="s">
        <v>784</v>
      </c>
      <c r="F276" s="731">
        <v>0</v>
      </c>
      <c r="G276" s="813">
        <v>0</v>
      </c>
      <c r="H276" s="733">
        <v>0</v>
      </c>
      <c r="I276" s="733">
        <v>0</v>
      </c>
      <c r="J276" s="734">
        <v>0</v>
      </c>
      <c r="K276" s="735">
        <v>0</v>
      </c>
      <c r="L276" s="736">
        <v>0</v>
      </c>
      <c r="M276" s="737">
        <v>0</v>
      </c>
      <c r="N276" s="738">
        <v>0</v>
      </c>
      <c r="O276" s="739">
        <v>0</v>
      </c>
      <c r="P276" s="740">
        <v>0</v>
      </c>
      <c r="Q276" s="814">
        <v>0</v>
      </c>
      <c r="R276" s="731">
        <v>0</v>
      </c>
      <c r="S276" s="733">
        <f t="shared" si="42"/>
        <v>0</v>
      </c>
      <c r="T276" s="707"/>
      <c r="U276" s="742"/>
      <c r="V276" s="742"/>
      <c r="W276" s="742"/>
      <c r="X276" s="742"/>
      <c r="Y276" s="720"/>
      <c r="Z276" s="720"/>
    </row>
    <row r="277" spans="1:26">
      <c r="A277" s="727" t="s">
        <v>785</v>
      </c>
      <c r="B277" s="727" t="s">
        <v>405</v>
      </c>
      <c r="C277" s="728">
        <v>268</v>
      </c>
      <c r="D277" s="727" t="str">
        <f t="shared" si="43"/>
        <v>2371</v>
      </c>
      <c r="E277" s="785" t="s">
        <v>786</v>
      </c>
      <c r="F277" s="731">
        <v>0</v>
      </c>
      <c r="G277" s="813">
        <v>0</v>
      </c>
      <c r="H277" s="733">
        <v>0</v>
      </c>
      <c r="I277" s="733">
        <v>0</v>
      </c>
      <c r="J277" s="734">
        <v>0</v>
      </c>
      <c r="K277" s="735">
        <v>0</v>
      </c>
      <c r="L277" s="736">
        <v>0</v>
      </c>
      <c r="M277" s="737">
        <v>0</v>
      </c>
      <c r="N277" s="738">
        <v>0</v>
      </c>
      <c r="O277" s="739">
        <v>0</v>
      </c>
      <c r="P277" s="740">
        <v>0</v>
      </c>
      <c r="Q277" s="814">
        <v>0</v>
      </c>
      <c r="R277" s="731">
        <v>0</v>
      </c>
      <c r="S277" s="733">
        <f t="shared" si="42"/>
        <v>0</v>
      </c>
      <c r="T277" s="707"/>
      <c r="U277" s="742"/>
      <c r="V277" s="742"/>
      <c r="W277" s="742"/>
      <c r="X277" s="742"/>
      <c r="Y277" s="720"/>
      <c r="Z277" s="720"/>
    </row>
    <row r="278" spans="1:26">
      <c r="A278" s="727" t="s">
        <v>787</v>
      </c>
      <c r="B278" s="727" t="s">
        <v>405</v>
      </c>
      <c r="C278" s="728">
        <v>269</v>
      </c>
      <c r="D278" s="727" t="str">
        <f t="shared" si="43"/>
        <v>2372</v>
      </c>
      <c r="E278" s="785" t="s">
        <v>788</v>
      </c>
      <c r="F278" s="731">
        <v>-3114287.11</v>
      </c>
      <c r="G278" s="813">
        <v>-3522755.65</v>
      </c>
      <c r="H278" s="733">
        <v>-3070149.83</v>
      </c>
      <c r="I278" s="733">
        <v>-2450274.6</v>
      </c>
      <c r="J278" s="734">
        <v>-2098799.39</v>
      </c>
      <c r="K278" s="735">
        <v>-2184756.06</v>
      </c>
      <c r="L278" s="736">
        <v>-3113412.11</v>
      </c>
      <c r="M278" s="737">
        <v>-3521443.15</v>
      </c>
      <c r="N278" s="738">
        <v>-3069852.31</v>
      </c>
      <c r="O278" s="739">
        <v>-2449679.61</v>
      </c>
      <c r="P278" s="740">
        <v>-2097906.89</v>
      </c>
      <c r="Q278" s="814">
        <v>-2184677.31</v>
      </c>
      <c r="R278" s="731">
        <v>-3113254.61</v>
      </c>
      <c r="S278" s="733">
        <f t="shared" si="42"/>
        <v>-2739789.8141666665</v>
      </c>
      <c r="T278" s="707"/>
      <c r="U278" s="742"/>
      <c r="V278" s="742"/>
      <c r="W278" s="742"/>
      <c r="X278" s="743">
        <f t="shared" ref="X278:X284" si="44">S278</f>
        <v>-2739789.8141666665</v>
      </c>
      <c r="Y278" s="720"/>
      <c r="Z278" s="720"/>
    </row>
    <row r="279" spans="1:26">
      <c r="A279" s="727" t="s">
        <v>789</v>
      </c>
      <c r="B279" s="727" t="s">
        <v>405</v>
      </c>
      <c r="C279" s="728">
        <v>270</v>
      </c>
      <c r="D279" s="727" t="str">
        <f t="shared" si="43"/>
        <v>2422</v>
      </c>
      <c r="E279" s="785" t="s">
        <v>790</v>
      </c>
      <c r="F279" s="731">
        <v>-1093655.54</v>
      </c>
      <c r="G279" s="813">
        <v>-1299704.98</v>
      </c>
      <c r="H279" s="733">
        <v>-1498001.43</v>
      </c>
      <c r="I279" s="733">
        <v>-901051.54</v>
      </c>
      <c r="J279" s="734">
        <v>-1108004.83</v>
      </c>
      <c r="K279" s="735">
        <v>-1391174.36</v>
      </c>
      <c r="L279" s="736">
        <v>-1751963.37</v>
      </c>
      <c r="M279" s="737">
        <v>-1779240.85</v>
      </c>
      <c r="N279" s="738">
        <v>-1312978.69</v>
      </c>
      <c r="O279" s="739">
        <v>-1570905.58</v>
      </c>
      <c r="P279" s="740">
        <v>-1805079.83</v>
      </c>
      <c r="Q279" s="814">
        <v>-2157913.0099999998</v>
      </c>
      <c r="R279" s="731">
        <v>-2518715.25</v>
      </c>
      <c r="S279" s="733">
        <f t="shared" si="42"/>
        <v>-1531850.3220833335</v>
      </c>
      <c r="T279" s="707"/>
      <c r="U279" s="742"/>
      <c r="V279" s="742"/>
      <c r="W279" s="742"/>
      <c r="X279" s="743">
        <f t="shared" si="44"/>
        <v>-1531850.3220833335</v>
      </c>
      <c r="Y279" s="720"/>
      <c r="Z279" s="720"/>
    </row>
    <row r="280" spans="1:26">
      <c r="A280" s="727" t="s">
        <v>791</v>
      </c>
      <c r="B280" s="727" t="s">
        <v>725</v>
      </c>
      <c r="C280" s="728">
        <v>271</v>
      </c>
      <c r="D280" s="729" t="str">
        <f>A280&amp;"."&amp;B280</f>
        <v>2420.[2*,/217]</v>
      </c>
      <c r="E280" s="785" t="s">
        <v>792</v>
      </c>
      <c r="F280" s="731">
        <v>-10188969.5</v>
      </c>
      <c r="G280" s="813">
        <v>-6937069.1699999999</v>
      </c>
      <c r="H280" s="733">
        <v>-6250877.6799999997</v>
      </c>
      <c r="I280" s="733">
        <v>-5763303.1699999999</v>
      </c>
      <c r="J280" s="734">
        <v>-5782032.4199999999</v>
      </c>
      <c r="K280" s="735">
        <v>-6585683.3399999999</v>
      </c>
      <c r="L280" s="736">
        <v>-8962969.2899999991</v>
      </c>
      <c r="M280" s="737">
        <v>-10237086.550000001</v>
      </c>
      <c r="N280" s="738">
        <v>-9826250.1699999999</v>
      </c>
      <c r="O280" s="739">
        <v>-11151490.91</v>
      </c>
      <c r="P280" s="740">
        <v>-14648505.33</v>
      </c>
      <c r="Q280" s="814">
        <v>-11549414.300000001</v>
      </c>
      <c r="R280" s="731">
        <v>-8845744.0899999999</v>
      </c>
      <c r="S280" s="733">
        <f t="shared" si="42"/>
        <v>-8934336.5937499981</v>
      </c>
      <c r="T280" s="707"/>
      <c r="U280" s="742"/>
      <c r="V280" s="742"/>
      <c r="W280" s="742"/>
      <c r="X280" s="743">
        <f t="shared" si="44"/>
        <v>-8934336.5937499981</v>
      </c>
      <c r="Y280" s="720"/>
      <c r="Z280" s="720"/>
    </row>
    <row r="281" spans="1:26">
      <c r="A281" s="727" t="s">
        <v>791</v>
      </c>
      <c r="B281" s="727" t="s">
        <v>727</v>
      </c>
      <c r="C281" s="728">
        <v>272</v>
      </c>
      <c r="D281" s="729" t="str">
        <f>A281&amp;"."&amp;B281</f>
        <v>2420.[217*]</v>
      </c>
      <c r="E281" s="785" t="s">
        <v>500</v>
      </c>
      <c r="F281" s="731">
        <v>-601131.21</v>
      </c>
      <c r="G281" s="813">
        <v>-108778.56</v>
      </c>
      <c r="H281" s="733">
        <v>-132781.67000000001</v>
      </c>
      <c r="I281" s="733">
        <v>8.7311491370201098E-11</v>
      </c>
      <c r="J281" s="734">
        <v>-118681.95</v>
      </c>
      <c r="K281" s="735">
        <v>-38588.779999999897</v>
      </c>
      <c r="L281" s="736">
        <v>-730937.53</v>
      </c>
      <c r="M281" s="737">
        <v>-475031.73</v>
      </c>
      <c r="N281" s="738">
        <v>-505192.28</v>
      </c>
      <c r="O281" s="739">
        <v>-89030.549999999901</v>
      </c>
      <c r="P281" s="740">
        <v>-520709.52</v>
      </c>
      <c r="Q281" s="814">
        <v>-95607.389999999898</v>
      </c>
      <c r="R281" s="731">
        <v>-1551284.94</v>
      </c>
      <c r="S281" s="733">
        <f t="shared" si="42"/>
        <v>-324295.66958333337</v>
      </c>
      <c r="T281" s="707"/>
      <c r="U281" s="742"/>
      <c r="V281" s="742"/>
      <c r="W281" s="742"/>
      <c r="X281" s="743">
        <f t="shared" si="44"/>
        <v>-324295.66958333337</v>
      </c>
      <c r="Y281" s="720"/>
      <c r="Z281" s="720"/>
    </row>
    <row r="282" spans="1:26">
      <c r="A282" s="727" t="s">
        <v>793</v>
      </c>
      <c r="B282" s="727" t="s">
        <v>405</v>
      </c>
      <c r="C282" s="728">
        <v>273</v>
      </c>
      <c r="D282" s="727" t="str">
        <f>+A282</f>
        <v>2423</v>
      </c>
      <c r="E282" s="785" t="s">
        <v>794</v>
      </c>
      <c r="F282" s="731">
        <v>-1830287.74</v>
      </c>
      <c r="G282" s="813">
        <v>-1830287.74</v>
      </c>
      <c r="H282" s="733">
        <v>-1830287.74</v>
      </c>
      <c r="I282" s="733">
        <v>-1832155.73</v>
      </c>
      <c r="J282" s="734">
        <v>-1832155.73</v>
      </c>
      <c r="K282" s="735">
        <v>-1832155.73</v>
      </c>
      <c r="L282" s="736">
        <v>-1835522.18</v>
      </c>
      <c r="M282" s="737">
        <v>-1835522.18</v>
      </c>
      <c r="N282" s="738">
        <v>-1835522.18</v>
      </c>
      <c r="O282" s="739">
        <v>-1921571.95</v>
      </c>
      <c r="P282" s="740">
        <v>-1921571.95</v>
      </c>
      <c r="Q282" s="814">
        <v>-1921571.95</v>
      </c>
      <c r="R282" s="731">
        <v>-1970912.73</v>
      </c>
      <c r="S282" s="733">
        <f t="shared" si="42"/>
        <v>-1860743.7745833332</v>
      </c>
      <c r="T282" s="707"/>
      <c r="U282" s="742"/>
      <c r="V282" s="742"/>
      <c r="W282" s="742"/>
      <c r="X282" s="743">
        <f t="shared" si="44"/>
        <v>-1860743.7745833332</v>
      </c>
      <c r="Y282" s="720"/>
      <c r="Z282" s="720"/>
    </row>
    <row r="283" spans="1:26">
      <c r="A283" s="828" t="s">
        <v>795</v>
      </c>
      <c r="B283" s="727" t="s">
        <v>796</v>
      </c>
      <c r="C283" s="728">
        <v>274</v>
      </c>
      <c r="D283" s="729" t="str">
        <f>A283&amp;"."&amp;B283</f>
        <v>2429.[4*,00*,01*,02*,03*]</v>
      </c>
      <c r="E283" s="785" t="s">
        <v>797</v>
      </c>
      <c r="F283" s="731">
        <v>-1180759.56</v>
      </c>
      <c r="G283" s="813">
        <v>-986886.47</v>
      </c>
      <c r="H283" s="733">
        <v>-978653.47</v>
      </c>
      <c r="I283" s="733">
        <v>-878433.12</v>
      </c>
      <c r="J283" s="734">
        <v>-722250.99</v>
      </c>
      <c r="K283" s="735">
        <v>-619284.56999999995</v>
      </c>
      <c r="L283" s="736">
        <v>-506661.02</v>
      </c>
      <c r="M283" s="737">
        <v>-509078.11</v>
      </c>
      <c r="N283" s="738">
        <v>-564258.21</v>
      </c>
      <c r="O283" s="739">
        <v>-562936.53</v>
      </c>
      <c r="P283" s="740">
        <v>-678941.44</v>
      </c>
      <c r="Q283" s="814">
        <v>-787284.31</v>
      </c>
      <c r="R283" s="731">
        <v>-1160406.48</v>
      </c>
      <c r="S283" s="733">
        <f t="shared" si="42"/>
        <v>-747104.27166666661</v>
      </c>
      <c r="T283" s="707"/>
      <c r="U283" s="742"/>
      <c r="V283" s="742"/>
      <c r="W283" s="742"/>
      <c r="X283" s="743">
        <f t="shared" si="44"/>
        <v>-747104.27166666661</v>
      </c>
      <c r="Y283" s="720"/>
      <c r="Z283" s="720"/>
    </row>
    <row r="284" spans="1:26">
      <c r="A284" s="828" t="s">
        <v>795</v>
      </c>
      <c r="B284" s="727" t="s">
        <v>731</v>
      </c>
      <c r="C284" s="728">
        <v>275</v>
      </c>
      <c r="D284" s="729" t="str">
        <f>A284&amp;"."&amp;B284</f>
        <v>2429.3*</v>
      </c>
      <c r="E284" s="785" t="s">
        <v>798</v>
      </c>
      <c r="F284" s="731">
        <v>-1104283.72</v>
      </c>
      <c r="G284" s="813">
        <v>-1246645.97</v>
      </c>
      <c r="H284" s="733">
        <v>-354050.45</v>
      </c>
      <c r="I284" s="733">
        <v>-525583.57999999996</v>
      </c>
      <c r="J284" s="734">
        <v>-686452.22</v>
      </c>
      <c r="K284" s="735">
        <v>-825247.08</v>
      </c>
      <c r="L284" s="736">
        <v>-988608.68</v>
      </c>
      <c r="M284" s="737">
        <v>-1129967.48</v>
      </c>
      <c r="N284" s="738">
        <v>-485123.15</v>
      </c>
      <c r="O284" s="739">
        <v>-652733.34</v>
      </c>
      <c r="P284" s="740">
        <v>-790626.09</v>
      </c>
      <c r="Q284" s="814">
        <v>-1012338.01</v>
      </c>
      <c r="R284" s="731">
        <v>-1195571.69</v>
      </c>
      <c r="S284" s="733">
        <f t="shared" si="42"/>
        <v>-820608.64624999987</v>
      </c>
      <c r="T284" s="707"/>
      <c r="U284" s="742"/>
      <c r="V284" s="742"/>
      <c r="W284" s="742"/>
      <c r="X284" s="743">
        <f t="shared" si="44"/>
        <v>-820608.64624999987</v>
      </c>
      <c r="Y284" s="720"/>
      <c r="Z284" s="720"/>
    </row>
    <row r="285" spans="1:26">
      <c r="A285" s="828" t="s">
        <v>795</v>
      </c>
      <c r="B285" s="727" t="s">
        <v>107</v>
      </c>
      <c r="C285" s="728">
        <v>276</v>
      </c>
      <c r="D285" s="729" t="str">
        <f>A285&amp;"."&amp;B285</f>
        <v>2429.WA</v>
      </c>
      <c r="E285" s="785" t="s">
        <v>799</v>
      </c>
      <c r="F285" s="731">
        <v>0</v>
      </c>
      <c r="G285" s="813">
        <v>0</v>
      </c>
      <c r="H285" s="733">
        <v>0</v>
      </c>
      <c r="I285" s="733">
        <v>0</v>
      </c>
      <c r="J285" s="734">
        <v>0</v>
      </c>
      <c r="K285" s="735">
        <v>0</v>
      </c>
      <c r="L285" s="736">
        <v>0</v>
      </c>
      <c r="M285" s="737">
        <v>0</v>
      </c>
      <c r="N285" s="738">
        <v>0</v>
      </c>
      <c r="O285" s="739">
        <v>0</v>
      </c>
      <c r="P285" s="740">
        <v>0</v>
      </c>
      <c r="Q285" s="814">
        <v>0</v>
      </c>
      <c r="R285" s="731">
        <v>0</v>
      </c>
      <c r="S285" s="733">
        <f t="shared" si="42"/>
        <v>0</v>
      </c>
      <c r="T285" s="707"/>
      <c r="U285" s="742"/>
      <c r="V285" s="742"/>
      <c r="W285" s="742"/>
      <c r="X285" s="742"/>
      <c r="Y285" s="720"/>
      <c r="Z285" s="720"/>
    </row>
    <row r="286" spans="1:26">
      <c r="A286" s="828" t="s">
        <v>795</v>
      </c>
      <c r="B286" s="727" t="s">
        <v>81</v>
      </c>
      <c r="C286" s="728">
        <v>277</v>
      </c>
      <c r="D286" s="729" t="str">
        <f>A286&amp;"."&amp;B286</f>
        <v>2429.OR</v>
      </c>
      <c r="E286" s="785" t="s">
        <v>800</v>
      </c>
      <c r="F286" s="731">
        <v>0</v>
      </c>
      <c r="G286" s="813">
        <v>0</v>
      </c>
      <c r="H286" s="733">
        <v>0</v>
      </c>
      <c r="I286" s="733">
        <v>0</v>
      </c>
      <c r="J286" s="734">
        <v>0</v>
      </c>
      <c r="K286" s="735">
        <v>0</v>
      </c>
      <c r="L286" s="736">
        <v>0</v>
      </c>
      <c r="M286" s="737">
        <v>0</v>
      </c>
      <c r="N286" s="738">
        <v>0</v>
      </c>
      <c r="O286" s="739">
        <v>0</v>
      </c>
      <c r="P286" s="740">
        <v>0</v>
      </c>
      <c r="Q286" s="814">
        <v>0</v>
      </c>
      <c r="R286" s="731">
        <v>0</v>
      </c>
      <c r="S286" s="733">
        <f t="shared" si="42"/>
        <v>0</v>
      </c>
      <c r="T286" s="707"/>
      <c r="U286" s="742"/>
      <c r="V286" s="742"/>
      <c r="W286" s="742"/>
      <c r="X286" s="742"/>
      <c r="Y286" s="720"/>
      <c r="Z286" s="720"/>
    </row>
    <row r="287" spans="1:26">
      <c r="A287" s="703" t="s">
        <v>801</v>
      </c>
      <c r="B287" s="703" t="s">
        <v>802</v>
      </c>
      <c r="C287" s="728">
        <v>278</v>
      </c>
      <c r="D287" s="703" t="str">
        <f>+A287</f>
        <v>2282</v>
      </c>
      <c r="E287" s="785" t="s">
        <v>803</v>
      </c>
      <c r="F287" s="731">
        <v>0</v>
      </c>
      <c r="G287" s="813">
        <v>0</v>
      </c>
      <c r="H287" s="733">
        <v>0</v>
      </c>
      <c r="I287" s="733">
        <v>0</v>
      </c>
      <c r="J287" s="734">
        <v>0</v>
      </c>
      <c r="K287" s="735">
        <v>0</v>
      </c>
      <c r="L287" s="736">
        <v>0</v>
      </c>
      <c r="M287" s="737">
        <v>0</v>
      </c>
      <c r="N287" s="738">
        <v>0</v>
      </c>
      <c r="O287" s="808">
        <v>-250000</v>
      </c>
      <c r="P287" s="740">
        <v>-1000000</v>
      </c>
      <c r="Q287" s="814">
        <v>-1000000</v>
      </c>
      <c r="R287" s="731">
        <v>-1400000</v>
      </c>
      <c r="S287" s="733">
        <f t="shared" si="42"/>
        <v>-245833.33333333334</v>
      </c>
      <c r="T287" s="707"/>
      <c r="U287" s="742"/>
      <c r="V287" s="742"/>
      <c r="W287" s="743"/>
      <c r="X287" s="743">
        <f>S287</f>
        <v>-245833.33333333334</v>
      </c>
      <c r="Y287" s="710"/>
      <c r="Z287" s="710"/>
    </row>
    <row r="288" spans="1:26">
      <c r="A288" s="703" t="s">
        <v>804</v>
      </c>
      <c r="B288" s="703" t="s">
        <v>805</v>
      </c>
      <c r="C288" s="728">
        <v>279</v>
      </c>
      <c r="D288" s="829" t="str">
        <f>A288&amp;"."&amp;B288</f>
        <v>2284.02*</v>
      </c>
      <c r="E288" s="785" t="s">
        <v>806</v>
      </c>
      <c r="F288" s="731">
        <v>0</v>
      </c>
      <c r="G288" s="813">
        <v>0</v>
      </c>
      <c r="H288" s="733">
        <v>0</v>
      </c>
      <c r="I288" s="733">
        <v>0</v>
      </c>
      <c r="J288" s="734">
        <v>0</v>
      </c>
      <c r="K288" s="735">
        <v>0</v>
      </c>
      <c r="L288" s="736">
        <v>0</v>
      </c>
      <c r="M288" s="737">
        <v>0</v>
      </c>
      <c r="N288" s="738">
        <v>0</v>
      </c>
      <c r="O288" s="808">
        <v>0</v>
      </c>
      <c r="P288" s="740">
        <v>0</v>
      </c>
      <c r="Q288" s="814">
        <v>0</v>
      </c>
      <c r="R288" s="731">
        <v>0</v>
      </c>
      <c r="S288" s="733">
        <f t="shared" si="42"/>
        <v>0</v>
      </c>
      <c r="T288" s="707"/>
      <c r="U288" s="742"/>
      <c r="V288" s="742"/>
      <c r="W288" s="742"/>
      <c r="X288" s="742"/>
      <c r="Y288" s="710"/>
      <c r="Z288" s="710"/>
    </row>
    <row r="289" spans="1:26">
      <c r="A289" s="727" t="s">
        <v>804</v>
      </c>
      <c r="B289" s="727" t="s">
        <v>807</v>
      </c>
      <c r="C289" s="728">
        <v>280</v>
      </c>
      <c r="D289" s="829" t="str">
        <f>A289&amp;"."&amp;B289</f>
        <v>2284.03*</v>
      </c>
      <c r="E289" s="785" t="s">
        <v>808</v>
      </c>
      <c r="F289" s="731">
        <v>-24135</v>
      </c>
      <c r="G289" s="813">
        <v>-24135</v>
      </c>
      <c r="H289" s="733">
        <v>-24135</v>
      </c>
      <c r="I289" s="733">
        <v>-24135</v>
      </c>
      <c r="J289" s="734">
        <v>-24135</v>
      </c>
      <c r="K289" s="735">
        <v>-24135</v>
      </c>
      <c r="L289" s="736">
        <v>-24135</v>
      </c>
      <c r="M289" s="737">
        <v>-24135</v>
      </c>
      <c r="N289" s="738">
        <v>-24135</v>
      </c>
      <c r="O289" s="808">
        <v>-48270</v>
      </c>
      <c r="P289" s="740">
        <v>-24135</v>
      </c>
      <c r="Q289" s="814">
        <v>-24135</v>
      </c>
      <c r="R289" s="731">
        <v>-24135</v>
      </c>
      <c r="S289" s="733">
        <f t="shared" si="42"/>
        <v>-26146.25</v>
      </c>
      <c r="T289" s="707"/>
      <c r="U289" s="742"/>
      <c r="V289" s="742"/>
      <c r="W289" s="742"/>
      <c r="X289" s="743">
        <f>S289</f>
        <v>-26146.25</v>
      </c>
      <c r="Y289" s="710"/>
      <c r="Z289" s="710"/>
    </row>
    <row r="290" spans="1:26">
      <c r="A290" s="828" t="s">
        <v>809</v>
      </c>
      <c r="B290" s="727" t="s">
        <v>405</v>
      </c>
      <c r="C290" s="728">
        <v>281</v>
      </c>
      <c r="D290" s="828" t="str">
        <f>+A290</f>
        <v>2292</v>
      </c>
      <c r="E290" s="785" t="s">
        <v>810</v>
      </c>
      <c r="F290" s="731">
        <v>0</v>
      </c>
      <c r="G290" s="813">
        <v>0</v>
      </c>
      <c r="H290" s="733">
        <v>0</v>
      </c>
      <c r="I290" s="733">
        <v>0</v>
      </c>
      <c r="J290" s="734">
        <v>0</v>
      </c>
      <c r="K290" s="735">
        <v>0</v>
      </c>
      <c r="L290" s="736">
        <v>0</v>
      </c>
      <c r="M290" s="737">
        <v>0</v>
      </c>
      <c r="N290" s="738">
        <v>0</v>
      </c>
      <c r="O290" s="739">
        <v>0</v>
      </c>
      <c r="P290" s="740">
        <v>0</v>
      </c>
      <c r="Q290" s="814">
        <v>0</v>
      </c>
      <c r="R290" s="731">
        <v>0</v>
      </c>
      <c r="S290" s="733">
        <f t="shared" si="42"/>
        <v>0</v>
      </c>
      <c r="T290" s="707"/>
      <c r="U290" s="742"/>
      <c r="V290" s="742"/>
      <c r="W290" s="742"/>
      <c r="X290" s="742"/>
      <c r="Y290" s="710"/>
      <c r="Z290" s="710"/>
    </row>
    <row r="291" spans="1:26">
      <c r="A291" s="727" t="s">
        <v>811</v>
      </c>
      <c r="B291" s="727" t="s">
        <v>812</v>
      </c>
      <c r="C291" s="728">
        <v>282</v>
      </c>
      <c r="D291" s="829" t="str">
        <f>A291&amp;"."&amp;B291</f>
        <v>2530.01*</v>
      </c>
      <c r="E291" s="785" t="s">
        <v>813</v>
      </c>
      <c r="F291" s="731">
        <v>-5668916.5</v>
      </c>
      <c r="G291" s="813">
        <v>-11779253.52</v>
      </c>
      <c r="H291" s="733">
        <v>-14855188.869999999</v>
      </c>
      <c r="I291" s="733">
        <v>-17538968.100000001</v>
      </c>
      <c r="J291" s="734">
        <v>-17813475.629999999</v>
      </c>
      <c r="K291" s="735">
        <v>-17139166.859999999</v>
      </c>
      <c r="L291" s="736">
        <v>-15535204.800000001</v>
      </c>
      <c r="M291" s="737">
        <v>-13449776.59</v>
      </c>
      <c r="N291" s="738">
        <v>-10889858.210000001</v>
      </c>
      <c r="O291" s="739">
        <v>-8799904.3399999999</v>
      </c>
      <c r="P291" s="740">
        <v>-8185007.1600000001</v>
      </c>
      <c r="Q291" s="814">
        <v>-6330404.5300000003</v>
      </c>
      <c r="R291" s="731">
        <v>-5627226.9299999997</v>
      </c>
      <c r="S291" s="733">
        <f t="shared" si="42"/>
        <v>-12330356.693750001</v>
      </c>
      <c r="T291" s="707"/>
      <c r="U291" s="742"/>
      <c r="V291" s="742"/>
      <c r="W291" s="742"/>
      <c r="X291" s="743">
        <f>S291</f>
        <v>-12330356.693750001</v>
      </c>
      <c r="Y291" s="720"/>
      <c r="Z291" s="720"/>
    </row>
    <row r="292" spans="1:26">
      <c r="A292" s="703" t="s">
        <v>811</v>
      </c>
      <c r="B292" s="703" t="s">
        <v>814</v>
      </c>
      <c r="C292" s="728">
        <v>283</v>
      </c>
      <c r="D292" s="840" t="str">
        <f>A292&amp;"."&amp;B292</f>
        <v>2530.[02008,02009]</v>
      </c>
      <c r="E292" s="785" t="s">
        <v>815</v>
      </c>
      <c r="F292" s="731">
        <v>0</v>
      </c>
      <c r="G292" s="813">
        <v>0</v>
      </c>
      <c r="H292" s="733">
        <v>0</v>
      </c>
      <c r="I292" s="733">
        <v>0</v>
      </c>
      <c r="J292" s="734">
        <v>0</v>
      </c>
      <c r="K292" s="735">
        <v>0</v>
      </c>
      <c r="L292" s="736">
        <v>0</v>
      </c>
      <c r="M292" s="737">
        <v>0</v>
      </c>
      <c r="N292" s="738">
        <v>0</v>
      </c>
      <c r="O292" s="739">
        <v>0</v>
      </c>
      <c r="P292" s="740">
        <v>0</v>
      </c>
      <c r="Q292" s="814">
        <v>0</v>
      </c>
      <c r="R292" s="731">
        <v>0</v>
      </c>
      <c r="S292" s="733">
        <f t="shared" si="42"/>
        <v>0</v>
      </c>
      <c r="T292" s="707"/>
      <c r="U292" s="742"/>
      <c r="V292" s="742"/>
      <c r="W292" s="742"/>
      <c r="X292" s="742"/>
      <c r="Y292" s="720"/>
      <c r="Z292" s="720"/>
    </row>
    <row r="293" spans="1:26">
      <c r="A293" s="727" t="s">
        <v>816</v>
      </c>
      <c r="B293" s="727" t="s">
        <v>622</v>
      </c>
      <c r="C293" s="728">
        <v>284</v>
      </c>
      <c r="D293" s="729" t="str">
        <f>A293&amp;"."&amp;B293</f>
        <v>2440.1</v>
      </c>
      <c r="E293" s="785" t="s">
        <v>521</v>
      </c>
      <c r="F293" s="731">
        <v>0</v>
      </c>
      <c r="G293" s="813">
        <v>0</v>
      </c>
      <c r="H293" s="733">
        <v>0</v>
      </c>
      <c r="I293" s="733">
        <v>0</v>
      </c>
      <c r="J293" s="734">
        <v>0</v>
      </c>
      <c r="K293" s="735">
        <v>0</v>
      </c>
      <c r="L293" s="736">
        <v>0</v>
      </c>
      <c r="M293" s="737">
        <v>0</v>
      </c>
      <c r="N293" s="738">
        <v>0</v>
      </c>
      <c r="O293" s="739">
        <v>0</v>
      </c>
      <c r="P293" s="740">
        <v>0</v>
      </c>
      <c r="Q293" s="814">
        <v>0</v>
      </c>
      <c r="R293" s="731">
        <v>0</v>
      </c>
      <c r="S293" s="733">
        <f t="shared" si="42"/>
        <v>0</v>
      </c>
      <c r="T293" s="707"/>
      <c r="U293" s="742"/>
      <c r="V293" s="742"/>
      <c r="W293" s="742"/>
      <c r="X293" s="742"/>
      <c r="Y293" s="720"/>
      <c r="Z293" s="720"/>
    </row>
    <row r="294" spans="1:26">
      <c r="A294" s="727"/>
      <c r="B294" s="727"/>
      <c r="C294" s="728">
        <v>285</v>
      </c>
      <c r="D294" s="727"/>
      <c r="E294" s="785"/>
      <c r="F294" s="731"/>
      <c r="G294" s="813"/>
      <c r="H294" s="733"/>
      <c r="I294" s="733"/>
      <c r="J294" s="734"/>
      <c r="K294" s="735"/>
      <c r="L294" s="736"/>
      <c r="M294" s="737"/>
      <c r="N294" s="738"/>
      <c r="O294" s="739"/>
      <c r="P294" s="740"/>
      <c r="Q294" s="814"/>
      <c r="R294" s="731"/>
      <c r="S294" s="733">
        <f t="shared" si="42"/>
        <v>0</v>
      </c>
      <c r="T294" s="707"/>
      <c r="U294" s="742"/>
      <c r="V294" s="742"/>
      <c r="W294" s="742"/>
      <c r="X294" s="742"/>
      <c r="Y294" s="720"/>
      <c r="Z294" s="720"/>
    </row>
    <row r="295" spans="1:26">
      <c r="A295" s="727"/>
      <c r="B295" s="727"/>
      <c r="C295" s="728">
        <v>286</v>
      </c>
      <c r="D295" s="727"/>
      <c r="E295" s="785" t="s">
        <v>817</v>
      </c>
      <c r="F295" s="755">
        <f>SUM(F276:F293)</f>
        <v>-24806425.879999995</v>
      </c>
      <c r="G295" s="755">
        <f t="shared" ref="G295:S295" si="45">SUM(G276:G293)</f>
        <v>-27735517.060000002</v>
      </c>
      <c r="H295" s="755">
        <f t="shared" si="45"/>
        <v>-28994126.140000001</v>
      </c>
      <c r="I295" s="755">
        <f t="shared" si="45"/>
        <v>-29913904.840000004</v>
      </c>
      <c r="J295" s="755">
        <f t="shared" si="45"/>
        <v>-30185988.16</v>
      </c>
      <c r="K295" s="755">
        <f t="shared" si="45"/>
        <v>-30640191.780000001</v>
      </c>
      <c r="L295" s="755">
        <f t="shared" si="45"/>
        <v>-33449413.98</v>
      </c>
      <c r="M295" s="755">
        <f t="shared" si="45"/>
        <v>-32961281.640000001</v>
      </c>
      <c r="N295" s="755">
        <f t="shared" si="45"/>
        <v>-28513170.199999999</v>
      </c>
      <c r="O295" s="755">
        <f t="shared" si="45"/>
        <v>-27496522.810000002</v>
      </c>
      <c r="P295" s="755">
        <f t="shared" si="45"/>
        <v>-31672483.210000001</v>
      </c>
      <c r="Q295" s="755">
        <f t="shared" si="45"/>
        <v>-27063345.810000002</v>
      </c>
      <c r="R295" s="755">
        <f t="shared" si="45"/>
        <v>-27407251.719999999</v>
      </c>
      <c r="S295" s="755">
        <f t="shared" si="45"/>
        <v>-29561065.369166665</v>
      </c>
      <c r="T295" s="707"/>
      <c r="U295" s="742"/>
      <c r="V295" s="742"/>
      <c r="W295" s="742"/>
      <c r="X295" s="742"/>
      <c r="Y295" s="720"/>
      <c r="Z295" s="720"/>
    </row>
    <row r="296" spans="1:26">
      <c r="A296" s="727"/>
      <c r="B296" s="727"/>
      <c r="C296" s="728">
        <v>287</v>
      </c>
      <c r="D296" s="727"/>
      <c r="E296" s="785"/>
      <c r="F296" s="731"/>
      <c r="G296" s="813"/>
      <c r="H296" s="733"/>
      <c r="I296" s="733"/>
      <c r="J296" s="734"/>
      <c r="K296" s="735"/>
      <c r="L296" s="736"/>
      <c r="M296" s="737"/>
      <c r="N296" s="738"/>
      <c r="O296" s="739"/>
      <c r="P296" s="740"/>
      <c r="Q296" s="814"/>
      <c r="R296" s="731"/>
      <c r="S296" s="733">
        <f t="shared" si="42"/>
        <v>0</v>
      </c>
      <c r="T296" s="707"/>
      <c r="U296" s="742"/>
      <c r="V296" s="742"/>
      <c r="W296" s="742"/>
      <c r="X296" s="742"/>
      <c r="Y296" s="720"/>
      <c r="Z296" s="720"/>
    </row>
    <row r="297" spans="1:26">
      <c r="A297" s="703" t="s">
        <v>801</v>
      </c>
      <c r="B297" s="703" t="s">
        <v>818</v>
      </c>
      <c r="C297" s="728">
        <v>288</v>
      </c>
      <c r="D297" s="703" t="str">
        <f>+A297</f>
        <v>2282</v>
      </c>
      <c r="E297" s="785" t="s">
        <v>819</v>
      </c>
      <c r="F297" s="731">
        <v>-14631486.57</v>
      </c>
      <c r="G297" s="758">
        <v>-14584574.82</v>
      </c>
      <c r="H297" s="733">
        <v>-14583283.07</v>
      </c>
      <c r="I297" s="733">
        <v>-14528667.300000001</v>
      </c>
      <c r="J297" s="734">
        <v>-14517823.48</v>
      </c>
      <c r="K297" s="735">
        <v>-14464666.35</v>
      </c>
      <c r="L297" s="736">
        <v>-14447941.59</v>
      </c>
      <c r="M297" s="737">
        <v>-14426749.779999999</v>
      </c>
      <c r="N297" s="738">
        <v>-14320900.5</v>
      </c>
      <c r="O297" s="808">
        <v>-14318635</v>
      </c>
      <c r="P297" s="740">
        <v>-14279202.43</v>
      </c>
      <c r="Q297" s="814">
        <v>-14167518.460000001</v>
      </c>
      <c r="R297" s="731">
        <v>-14098767.550000001</v>
      </c>
      <c r="S297" s="733">
        <f t="shared" si="42"/>
        <v>-14417090.82</v>
      </c>
      <c r="T297" s="707"/>
      <c r="U297" s="742"/>
      <c r="V297" s="742"/>
      <c r="W297" s="742"/>
      <c r="X297" s="742"/>
      <c r="Y297" s="720"/>
      <c r="Z297" s="720"/>
    </row>
    <row r="298" spans="1:26">
      <c r="A298" s="703" t="s">
        <v>820</v>
      </c>
      <c r="B298" s="703" t="s">
        <v>405</v>
      </c>
      <c r="C298" s="728">
        <v>289</v>
      </c>
      <c r="D298" s="703" t="str">
        <f>+A298</f>
        <v>2283</v>
      </c>
      <c r="E298" s="785" t="s">
        <v>821</v>
      </c>
      <c r="F298" s="731">
        <v>-7657939.1200000001</v>
      </c>
      <c r="G298" s="813">
        <v>-7717374.6200000001</v>
      </c>
      <c r="H298" s="733">
        <v>-7776810.1200000001</v>
      </c>
      <c r="I298" s="733">
        <v>-7836245.6200000001</v>
      </c>
      <c r="J298" s="734">
        <v>-7895681.1200000001</v>
      </c>
      <c r="K298" s="735">
        <v>-7960544.96</v>
      </c>
      <c r="L298" s="736">
        <v>-8021066.1200000001</v>
      </c>
      <c r="M298" s="737">
        <v>-8081587.29</v>
      </c>
      <c r="N298" s="738">
        <v>-8142108.4500000002</v>
      </c>
      <c r="O298" s="808">
        <v>-8202629.6200000001</v>
      </c>
      <c r="P298" s="740">
        <v>-8263150.79</v>
      </c>
      <c r="Q298" s="814">
        <v>-8323671.96</v>
      </c>
      <c r="R298" s="731">
        <v>-7687634.5099999998</v>
      </c>
      <c r="S298" s="733">
        <f t="shared" si="42"/>
        <v>-7991138.1237500003</v>
      </c>
      <c r="T298" s="707"/>
      <c r="U298" s="742"/>
      <c r="V298" s="742"/>
      <c r="W298" s="720"/>
      <c r="X298" s="743">
        <f>S298</f>
        <v>-7991138.1237500003</v>
      </c>
      <c r="Y298" s="720"/>
      <c r="Z298" s="720"/>
    </row>
    <row r="299" spans="1:26">
      <c r="A299" s="703" t="s">
        <v>822</v>
      </c>
      <c r="B299" s="703" t="s">
        <v>405</v>
      </c>
      <c r="C299" s="728">
        <v>290</v>
      </c>
      <c r="D299" s="703" t="str">
        <f>+A299</f>
        <v>2300</v>
      </c>
      <c r="E299" s="785" t="s">
        <v>823</v>
      </c>
      <c r="F299" s="731">
        <v>-50960517</v>
      </c>
      <c r="G299" s="813">
        <v>-50963872.890000001</v>
      </c>
      <c r="H299" s="733">
        <v>-50967246.25</v>
      </c>
      <c r="I299" s="733">
        <v>-51422476.130000003</v>
      </c>
      <c r="J299" s="734">
        <v>-51425884.640000001</v>
      </c>
      <c r="K299" s="735">
        <v>-51429310.859999999</v>
      </c>
      <c r="L299" s="736">
        <v>-51455189.93</v>
      </c>
      <c r="M299" s="737">
        <v>-51458651.880000003</v>
      </c>
      <c r="N299" s="738">
        <v>-52893394.299999997</v>
      </c>
      <c r="O299" s="739">
        <v>-53140104.700000003</v>
      </c>
      <c r="P299" s="740">
        <v>-53387966.060000002</v>
      </c>
      <c r="Q299" s="814">
        <v>-53636983.840000004</v>
      </c>
      <c r="R299" s="731">
        <v>-54807880</v>
      </c>
      <c r="S299" s="733">
        <f t="shared" si="42"/>
        <v>-52088773.331666671</v>
      </c>
      <c r="T299" s="707"/>
      <c r="U299" s="742"/>
      <c r="V299" s="743">
        <f>+S299</f>
        <v>-52088773.331666671</v>
      </c>
      <c r="W299" s="742"/>
      <c r="X299" s="742"/>
      <c r="Y299" s="720"/>
      <c r="Z299" s="720"/>
    </row>
    <row r="300" spans="1:26">
      <c r="A300" s="703" t="s">
        <v>816</v>
      </c>
      <c r="B300" s="703" t="s">
        <v>676</v>
      </c>
      <c r="C300" s="728">
        <v>291</v>
      </c>
      <c r="D300" s="705" t="str">
        <f>A300&amp;"."&amp;B300</f>
        <v>2440.2</v>
      </c>
      <c r="E300" s="785" t="s">
        <v>566</v>
      </c>
      <c r="F300" s="731">
        <v>0</v>
      </c>
      <c r="G300" s="813">
        <v>0</v>
      </c>
      <c r="H300" s="733">
        <v>0</v>
      </c>
      <c r="I300" s="733">
        <v>0</v>
      </c>
      <c r="J300" s="734">
        <v>0</v>
      </c>
      <c r="K300" s="735">
        <v>0</v>
      </c>
      <c r="L300" s="736">
        <v>0</v>
      </c>
      <c r="M300" s="737">
        <v>0</v>
      </c>
      <c r="N300" s="738">
        <v>0</v>
      </c>
      <c r="O300" s="739">
        <v>0</v>
      </c>
      <c r="P300" s="740">
        <v>0</v>
      </c>
      <c r="Q300" s="814">
        <v>0</v>
      </c>
      <c r="R300" s="731">
        <v>0</v>
      </c>
      <c r="S300" s="733">
        <f t="shared" si="42"/>
        <v>0</v>
      </c>
      <c r="T300" s="707"/>
      <c r="U300" s="742"/>
      <c r="V300" s="742"/>
      <c r="W300" s="742"/>
      <c r="X300" s="742"/>
      <c r="Y300" s="720"/>
      <c r="Z300" s="720"/>
    </row>
    <row r="301" spans="1:26">
      <c r="A301" s="703" t="s">
        <v>824</v>
      </c>
      <c r="B301" s="703" t="s">
        <v>405</v>
      </c>
      <c r="C301" s="728">
        <v>292</v>
      </c>
      <c r="D301" s="703" t="str">
        <f>+A301</f>
        <v>2520</v>
      </c>
      <c r="E301" s="785" t="s">
        <v>371</v>
      </c>
      <c r="F301" s="731">
        <v>-4075228.98</v>
      </c>
      <c r="G301" s="813">
        <v>-4098682.77</v>
      </c>
      <c r="H301" s="733">
        <v>-4095410.71</v>
      </c>
      <c r="I301" s="733">
        <v>-4039199.59</v>
      </c>
      <c r="J301" s="734">
        <v>-4033929.41</v>
      </c>
      <c r="K301" s="735">
        <v>-4025529.28</v>
      </c>
      <c r="L301" s="736">
        <v>-3934624.3</v>
      </c>
      <c r="M301" s="737">
        <v>-4597333.84</v>
      </c>
      <c r="N301" s="738">
        <v>-4657385.4400000004</v>
      </c>
      <c r="O301" s="739">
        <v>-4568510.25</v>
      </c>
      <c r="P301" s="740">
        <v>-4564342.22</v>
      </c>
      <c r="Q301" s="814">
        <v>-4498773.34</v>
      </c>
      <c r="R301" s="731">
        <v>-4482129.79</v>
      </c>
      <c r="S301" s="733">
        <f t="shared" si="42"/>
        <v>-4282700.0445833337</v>
      </c>
      <c r="T301" s="707"/>
      <c r="U301" s="742"/>
      <c r="V301" s="743">
        <f>S301</f>
        <v>-4282700.0445833337</v>
      </c>
      <c r="W301" s="742"/>
      <c r="X301" s="742"/>
      <c r="Y301" s="720"/>
      <c r="Z301" s="720"/>
    </row>
    <row r="302" spans="1:26">
      <c r="A302" s="703" t="s">
        <v>811</v>
      </c>
      <c r="B302" s="703" t="s">
        <v>825</v>
      </c>
      <c r="C302" s="728">
        <v>293</v>
      </c>
      <c r="D302" s="840" t="str">
        <f t="shared" ref="D302:D310" si="46">A302&amp;"."&amp;B302</f>
        <v>2530.[02*,/02008,/02009,/02010]</v>
      </c>
      <c r="E302" s="785" t="s">
        <v>826</v>
      </c>
      <c r="F302" s="731">
        <v>0</v>
      </c>
      <c r="G302" s="813">
        <v>0</v>
      </c>
      <c r="H302" s="733">
        <v>0</v>
      </c>
      <c r="I302" s="733">
        <v>0</v>
      </c>
      <c r="J302" s="734">
        <v>0</v>
      </c>
      <c r="K302" s="735">
        <v>0</v>
      </c>
      <c r="L302" s="736">
        <v>0</v>
      </c>
      <c r="M302" s="737">
        <v>0</v>
      </c>
      <c r="N302" s="738">
        <v>0</v>
      </c>
      <c r="O302" s="739">
        <v>0</v>
      </c>
      <c r="P302" s="740">
        <v>0</v>
      </c>
      <c r="Q302" s="814">
        <v>0</v>
      </c>
      <c r="R302" s="731">
        <v>0</v>
      </c>
      <c r="S302" s="733">
        <f t="shared" si="42"/>
        <v>0</v>
      </c>
      <c r="T302" s="707"/>
      <c r="U302" s="742"/>
      <c r="V302" s="742"/>
      <c r="W302" s="742"/>
      <c r="X302" s="742"/>
      <c r="Y302" s="720"/>
      <c r="Z302" s="720"/>
    </row>
    <row r="303" spans="1:26">
      <c r="A303" s="703" t="s">
        <v>811</v>
      </c>
      <c r="B303" s="703" t="s">
        <v>827</v>
      </c>
      <c r="C303" s="728">
        <v>294</v>
      </c>
      <c r="D303" s="840" t="str">
        <f t="shared" si="46"/>
        <v>2530.[02010]</v>
      </c>
      <c r="E303" s="730" t="s">
        <v>828</v>
      </c>
      <c r="F303" s="731">
        <v>0</v>
      </c>
      <c r="G303" s="813">
        <v>0</v>
      </c>
      <c r="H303" s="733">
        <v>0</v>
      </c>
      <c r="I303" s="733">
        <v>0</v>
      </c>
      <c r="J303" s="734">
        <v>0</v>
      </c>
      <c r="K303" s="735">
        <v>0</v>
      </c>
      <c r="L303" s="736">
        <v>0</v>
      </c>
      <c r="M303" s="737">
        <v>0</v>
      </c>
      <c r="N303" s="738">
        <v>0</v>
      </c>
      <c r="O303" s="739">
        <v>0</v>
      </c>
      <c r="P303" s="740">
        <v>0</v>
      </c>
      <c r="Q303" s="814">
        <v>0</v>
      </c>
      <c r="R303" s="731">
        <v>0</v>
      </c>
      <c r="S303" s="733">
        <f t="shared" si="42"/>
        <v>0</v>
      </c>
      <c r="T303" s="707"/>
      <c r="U303" s="742"/>
      <c r="V303" s="742"/>
      <c r="W303" s="742"/>
      <c r="X303" s="742"/>
      <c r="Y303" s="720"/>
      <c r="Z303" s="720"/>
    </row>
    <row r="304" spans="1:26">
      <c r="A304" s="703" t="s">
        <v>811</v>
      </c>
      <c r="B304" s="703" t="s">
        <v>807</v>
      </c>
      <c r="C304" s="728">
        <v>295</v>
      </c>
      <c r="D304" s="840" t="str">
        <f t="shared" si="46"/>
        <v>2530.03*</v>
      </c>
      <c r="E304" s="785" t="s">
        <v>829</v>
      </c>
      <c r="F304" s="731">
        <v>0</v>
      </c>
      <c r="G304" s="813">
        <v>0</v>
      </c>
      <c r="H304" s="733">
        <v>0</v>
      </c>
      <c r="I304" s="733">
        <v>0</v>
      </c>
      <c r="J304" s="734">
        <v>0</v>
      </c>
      <c r="K304" s="735">
        <v>0</v>
      </c>
      <c r="L304" s="736">
        <v>0</v>
      </c>
      <c r="M304" s="737">
        <v>0</v>
      </c>
      <c r="N304" s="738">
        <v>0</v>
      </c>
      <c r="O304" s="739">
        <v>0</v>
      </c>
      <c r="P304" s="740">
        <v>0</v>
      </c>
      <c r="Q304" s="814">
        <v>0</v>
      </c>
      <c r="R304" s="731">
        <v>0</v>
      </c>
      <c r="S304" s="733">
        <f t="shared" si="42"/>
        <v>0</v>
      </c>
      <c r="T304" s="707"/>
      <c r="U304" s="742"/>
      <c r="V304" s="742"/>
      <c r="W304" s="742"/>
      <c r="X304" s="742"/>
      <c r="Y304" s="720"/>
      <c r="Z304" s="720"/>
    </row>
    <row r="305" spans="1:26">
      <c r="A305" s="703" t="s">
        <v>830</v>
      </c>
      <c r="B305" s="703" t="s">
        <v>831</v>
      </c>
      <c r="C305" s="728">
        <v>296</v>
      </c>
      <c r="D305" s="705" t="str">
        <f t="shared" si="46"/>
        <v>2539.[/0104*,/0107*,/0108*]</v>
      </c>
      <c r="E305" s="785" t="s">
        <v>832</v>
      </c>
      <c r="F305" s="731">
        <v>-123410.16</v>
      </c>
      <c r="G305" s="813">
        <v>-123418.88</v>
      </c>
      <c r="H305" s="733">
        <v>-123431.56</v>
      </c>
      <c r="I305" s="733">
        <v>-123350.1</v>
      </c>
      <c r="J305" s="734">
        <v>-123365.47</v>
      </c>
      <c r="K305" s="735">
        <v>-126204.69</v>
      </c>
      <c r="L305" s="736">
        <v>-125721.45</v>
      </c>
      <c r="M305" s="737">
        <v>-125505.33</v>
      </c>
      <c r="N305" s="738">
        <v>-125523.17</v>
      </c>
      <c r="O305" s="739">
        <v>-101413.37</v>
      </c>
      <c r="P305" s="740">
        <v>-99364.11</v>
      </c>
      <c r="Q305" s="814">
        <v>-99440.81</v>
      </c>
      <c r="R305" s="731">
        <v>-99457.919999999998</v>
      </c>
      <c r="S305" s="733">
        <f t="shared" si="42"/>
        <v>-117347.74833333335</v>
      </c>
      <c r="T305" s="707"/>
      <c r="U305" s="742"/>
      <c r="V305" s="742"/>
      <c r="W305" s="742"/>
      <c r="X305" s="742"/>
      <c r="Y305" s="720"/>
      <c r="Z305" s="720"/>
    </row>
    <row r="306" spans="1:26">
      <c r="A306" s="703" t="s">
        <v>830</v>
      </c>
      <c r="B306" s="841" t="s">
        <v>833</v>
      </c>
      <c r="C306" s="728">
        <v>297</v>
      </c>
      <c r="D306" s="705" t="str">
        <f t="shared" si="46"/>
        <v>2539.[0104*,0107*,0108*]</v>
      </c>
      <c r="E306" s="785" t="s">
        <v>834</v>
      </c>
      <c r="F306" s="731">
        <v>-15367277.689999999</v>
      </c>
      <c r="G306" s="813">
        <v>-15344145.109999999</v>
      </c>
      <c r="H306" s="733">
        <v>-15321012.52</v>
      </c>
      <c r="I306" s="733">
        <v>-15297879.939999999</v>
      </c>
      <c r="J306" s="734">
        <v>-15274747.359999999</v>
      </c>
      <c r="K306" s="735">
        <v>-15293682.27</v>
      </c>
      <c r="L306" s="736">
        <v>-15278945.93</v>
      </c>
      <c r="M306" s="737">
        <v>-15264226.85</v>
      </c>
      <c r="N306" s="738">
        <v>-15249507.77</v>
      </c>
      <c r="O306" s="739">
        <v>-15234788.689999999</v>
      </c>
      <c r="P306" s="740">
        <v>-15220069.609999999</v>
      </c>
      <c r="Q306" s="814">
        <v>-15205350.529999999</v>
      </c>
      <c r="R306" s="731">
        <v>-13256373.689999999</v>
      </c>
      <c r="S306" s="733">
        <f t="shared" si="42"/>
        <v>-15191348.522500001</v>
      </c>
      <c r="T306" s="707"/>
      <c r="U306" s="742"/>
      <c r="V306" s="742"/>
      <c r="W306" s="720"/>
      <c r="X306" s="743">
        <f>S306</f>
        <v>-15191348.522500001</v>
      </c>
      <c r="Y306" s="720"/>
      <c r="Z306" s="720"/>
    </row>
    <row r="307" spans="1:26">
      <c r="A307" s="703" t="s">
        <v>835</v>
      </c>
      <c r="B307" s="703" t="s">
        <v>836</v>
      </c>
      <c r="C307" s="728">
        <v>298</v>
      </c>
      <c r="D307" s="840" t="str">
        <f t="shared" si="46"/>
        <v>2540.20222</v>
      </c>
      <c r="E307" s="703" t="s">
        <v>837</v>
      </c>
      <c r="F307" s="731">
        <v>-847148</v>
      </c>
      <c r="G307" s="813">
        <v>-847148</v>
      </c>
      <c r="H307" s="733">
        <v>-847148</v>
      </c>
      <c r="I307" s="733">
        <v>-847148</v>
      </c>
      <c r="J307" s="734">
        <v>-847148</v>
      </c>
      <c r="K307" s="735">
        <v>-847148</v>
      </c>
      <c r="L307" s="736">
        <v>-847148</v>
      </c>
      <c r="M307" s="737">
        <v>-847148</v>
      </c>
      <c r="N307" s="738">
        <v>-847148</v>
      </c>
      <c r="O307" s="739">
        <v>-847148</v>
      </c>
      <c r="P307" s="740">
        <v>-847148</v>
      </c>
      <c r="Q307" s="814">
        <v>-847148</v>
      </c>
      <c r="R307" s="731">
        <v>-1238067</v>
      </c>
      <c r="S307" s="733">
        <f t="shared" si="42"/>
        <v>-863436.29166666663</v>
      </c>
      <c r="T307" s="707"/>
      <c r="U307" s="742"/>
      <c r="V307" s="742"/>
      <c r="W307" s="720"/>
      <c r="X307" s="743">
        <f>S307</f>
        <v>-863436.29166666663</v>
      </c>
      <c r="Y307" s="720"/>
      <c r="Z307" s="720"/>
    </row>
    <row r="308" spans="1:26">
      <c r="A308" s="703" t="s">
        <v>835</v>
      </c>
      <c r="B308" s="703" t="s">
        <v>838</v>
      </c>
      <c r="C308" s="728">
        <v>299</v>
      </c>
      <c r="D308" s="705" t="str">
        <f t="shared" si="46"/>
        <v>2540.[20201*]</v>
      </c>
      <c r="E308" s="785" t="s">
        <v>839</v>
      </c>
      <c r="F308" s="731">
        <v>-2737401.56</v>
      </c>
      <c r="G308" s="813">
        <v>-2710317.16</v>
      </c>
      <c r="H308" s="733">
        <v>-2683232.7400000002</v>
      </c>
      <c r="I308" s="733">
        <v>-2645898.7999999998</v>
      </c>
      <c r="J308" s="734">
        <v>-2615397.63</v>
      </c>
      <c r="K308" s="735">
        <v>-2584896.4300000002</v>
      </c>
      <c r="L308" s="736">
        <v>-2553146.7999999998</v>
      </c>
      <c r="M308" s="737">
        <v>-2522437.54</v>
      </c>
      <c r="N308" s="738">
        <v>-2491728.2799999998</v>
      </c>
      <c r="O308" s="739">
        <v>-2552522.0099999998</v>
      </c>
      <c r="P308" s="740">
        <v>-2531979.75</v>
      </c>
      <c r="Q308" s="814">
        <v>-2546370.5600000001</v>
      </c>
      <c r="R308" s="731">
        <v>-2588762.79</v>
      </c>
      <c r="S308" s="733">
        <f t="shared" si="42"/>
        <v>-2591750.8229166665</v>
      </c>
      <c r="T308" s="707"/>
      <c r="U308" s="742"/>
      <c r="V308" s="742"/>
      <c r="W308" s="720"/>
      <c r="X308" s="743">
        <f>S308</f>
        <v>-2591750.8229166665</v>
      </c>
      <c r="Y308" s="720"/>
      <c r="Z308" s="720"/>
    </row>
    <row r="309" spans="1:26">
      <c r="A309" s="703" t="s">
        <v>835</v>
      </c>
      <c r="B309" s="703" t="s">
        <v>840</v>
      </c>
      <c r="C309" s="728">
        <v>300</v>
      </c>
      <c r="D309" s="705" t="str">
        <f t="shared" si="46"/>
        <v>2540.[/20211,/20201*,/20222]</v>
      </c>
      <c r="E309" s="703" t="s">
        <v>841</v>
      </c>
      <c r="F309" s="731">
        <v>49444.46</v>
      </c>
      <c r="G309" s="813">
        <v>49444.44</v>
      </c>
      <c r="H309" s="733">
        <v>49444.53</v>
      </c>
      <c r="I309" s="733">
        <v>49403.66</v>
      </c>
      <c r="J309" s="734">
        <v>49403.56</v>
      </c>
      <c r="K309" s="735">
        <v>49403.6</v>
      </c>
      <c r="L309" s="736">
        <v>49403.64</v>
      </c>
      <c r="M309" s="737">
        <v>49403.69</v>
      </c>
      <c r="N309" s="738">
        <v>49403.69</v>
      </c>
      <c r="O309" s="739">
        <v>49403.73</v>
      </c>
      <c r="P309" s="740">
        <v>49403.76</v>
      </c>
      <c r="Q309" s="814">
        <v>49444.68</v>
      </c>
      <c r="R309" s="731">
        <v>-267245.51</v>
      </c>
      <c r="S309" s="733">
        <f t="shared" si="42"/>
        <v>36221.871249999997</v>
      </c>
      <c r="T309" s="707"/>
      <c r="U309" s="742"/>
      <c r="V309" s="742"/>
      <c r="W309" s="742"/>
      <c r="X309" s="742"/>
      <c r="Y309" s="720"/>
      <c r="Z309" s="720"/>
    </row>
    <row r="310" spans="1:26">
      <c r="A310" s="703" t="s">
        <v>835</v>
      </c>
      <c r="B310" s="703" t="s">
        <v>842</v>
      </c>
      <c r="C310" s="728">
        <v>301</v>
      </c>
      <c r="D310" s="705" t="str">
        <f t="shared" si="46"/>
        <v>2540.[20211]</v>
      </c>
      <c r="E310" s="730" t="s">
        <v>828</v>
      </c>
      <c r="F310" s="731">
        <v>0</v>
      </c>
      <c r="G310" s="813">
        <v>0</v>
      </c>
      <c r="H310" s="733">
        <v>0</v>
      </c>
      <c r="I310" s="733">
        <v>0</v>
      </c>
      <c r="J310" s="734">
        <v>0</v>
      </c>
      <c r="K310" s="735">
        <v>0</v>
      </c>
      <c r="L310" s="736">
        <v>0</v>
      </c>
      <c r="M310" s="737">
        <v>0</v>
      </c>
      <c r="N310" s="738">
        <v>0</v>
      </c>
      <c r="O310" s="739">
        <v>0</v>
      </c>
      <c r="P310" s="740">
        <v>0</v>
      </c>
      <c r="Q310" s="814">
        <v>0</v>
      </c>
      <c r="R310" s="731">
        <v>0</v>
      </c>
      <c r="S310" s="733">
        <f t="shared" si="42"/>
        <v>0</v>
      </c>
      <c r="T310" s="707"/>
      <c r="U310" s="742"/>
      <c r="V310" s="742"/>
      <c r="W310" s="742"/>
      <c r="X310" s="742"/>
      <c r="Y310" s="720"/>
      <c r="Z310" s="720"/>
    </row>
    <row r="311" spans="1:26">
      <c r="A311" s="703" t="s">
        <v>513</v>
      </c>
      <c r="B311" s="703" t="s">
        <v>1009</v>
      </c>
      <c r="C311" s="728">
        <v>302</v>
      </c>
      <c r="D311" s="705" t="s">
        <v>1010</v>
      </c>
      <c r="E311" s="731" t="s">
        <v>1011</v>
      </c>
      <c r="F311" s="731">
        <v>39302214</v>
      </c>
      <c r="G311" s="813">
        <v>39302214</v>
      </c>
      <c r="H311" s="733">
        <v>39302214</v>
      </c>
      <c r="I311" s="733">
        <v>39738439</v>
      </c>
      <c r="J311" s="734">
        <v>39738439</v>
      </c>
      <c r="K311" s="735">
        <v>39738439</v>
      </c>
      <c r="L311" s="736">
        <v>39670780</v>
      </c>
      <c r="M311" s="737">
        <v>39670780</v>
      </c>
      <c r="N311" s="738">
        <v>41382440.039999999</v>
      </c>
      <c r="O311" s="739">
        <v>41654121.939999998</v>
      </c>
      <c r="P311" s="740">
        <v>41919650.920000002</v>
      </c>
      <c r="Q311" s="814">
        <v>42186336.280000001</v>
      </c>
      <c r="R311" s="731">
        <v>42170920.5</v>
      </c>
      <c r="S311" s="733">
        <f t="shared" si="42"/>
        <v>40420035.119166672</v>
      </c>
      <c r="T311" s="707"/>
      <c r="U311" s="742"/>
      <c r="V311" s="743">
        <f>+S311</f>
        <v>40420035.119166672</v>
      </c>
      <c r="W311" s="742"/>
      <c r="X311" s="742"/>
      <c r="Y311" s="720"/>
      <c r="Z311" s="720"/>
    </row>
    <row r="312" spans="1:26">
      <c r="A312" s="703"/>
      <c r="B312" s="703"/>
      <c r="C312" s="728">
        <v>303</v>
      </c>
      <c r="D312" s="705"/>
      <c r="E312" s="746" t="s">
        <v>843</v>
      </c>
      <c r="F312" s="755">
        <f>SUM(F297:F311)</f>
        <v>-57048750.620000005</v>
      </c>
      <c r="G312" s="755">
        <f t="shared" ref="G312:S312" si="47">SUM(G297:G311)</f>
        <v>-57037875.809999987</v>
      </c>
      <c r="H312" s="755">
        <f t="shared" si="47"/>
        <v>-57045916.439999983</v>
      </c>
      <c r="I312" s="755">
        <f t="shared" si="47"/>
        <v>-56953022.820000008</v>
      </c>
      <c r="J312" s="755">
        <f t="shared" si="47"/>
        <v>-56946134.549999997</v>
      </c>
      <c r="K312" s="755">
        <f t="shared" si="47"/>
        <v>-56944140.24000001</v>
      </c>
      <c r="L312" s="755">
        <f t="shared" si="47"/>
        <v>-56943600.479999989</v>
      </c>
      <c r="M312" s="755">
        <f t="shared" si="47"/>
        <v>-57603456.820000008</v>
      </c>
      <c r="N312" s="755">
        <f t="shared" si="47"/>
        <v>-57295852.18</v>
      </c>
      <c r="O312" s="755">
        <f t="shared" si="47"/>
        <v>-57262225.970000014</v>
      </c>
      <c r="P312" s="755">
        <f t="shared" si="47"/>
        <v>-57224168.289999992</v>
      </c>
      <c r="Q312" s="755">
        <f t="shared" si="47"/>
        <v>-57089476.540000007</v>
      </c>
      <c r="R312" s="755">
        <f t="shared" si="47"/>
        <v>-56355398.26000002</v>
      </c>
      <c r="S312" s="755">
        <f t="shared" si="47"/>
        <v>-57087328.715000004</v>
      </c>
      <c r="T312" s="707"/>
      <c r="U312" s="742"/>
      <c r="V312" s="742"/>
      <c r="W312" s="742"/>
      <c r="X312" s="743">
        <f>S312-S301-S298-S306-S307-S308-S299-S311</f>
        <v>-14498216.697083332</v>
      </c>
      <c r="Y312" s="720"/>
      <c r="Z312" s="720"/>
    </row>
    <row r="313" spans="1:26">
      <c r="A313" s="703"/>
      <c r="B313" s="703"/>
      <c r="C313" s="728">
        <v>304</v>
      </c>
      <c r="D313" s="705"/>
      <c r="E313" s="785"/>
      <c r="F313" s="731"/>
      <c r="G313" s="813"/>
      <c r="H313" s="733"/>
      <c r="I313" s="733"/>
      <c r="J313" s="734"/>
      <c r="K313" s="735"/>
      <c r="L313" s="736"/>
      <c r="M313" s="737"/>
      <c r="N313" s="738"/>
      <c r="O313" s="739"/>
      <c r="P313" s="740"/>
      <c r="Q313" s="814"/>
      <c r="R313" s="731"/>
      <c r="S313" s="733">
        <f t="shared" si="42"/>
        <v>0</v>
      </c>
      <c r="T313" s="707"/>
      <c r="U313" s="742"/>
      <c r="V313" s="742"/>
      <c r="W313" s="742"/>
      <c r="X313" s="742"/>
      <c r="Y313" s="720"/>
      <c r="Z313" s="720"/>
    </row>
    <row r="314" spans="1:26">
      <c r="A314" s="727" t="s">
        <v>844</v>
      </c>
      <c r="B314" s="727" t="s">
        <v>405</v>
      </c>
      <c r="C314" s="728">
        <v>305</v>
      </c>
      <c r="D314" s="727" t="str">
        <f>+A314</f>
        <v>2550</v>
      </c>
      <c r="E314" s="785" t="s">
        <v>845</v>
      </c>
      <c r="F314" s="731">
        <v>-373122</v>
      </c>
      <c r="G314" s="813">
        <v>-368995.92</v>
      </c>
      <c r="H314" s="733">
        <v>-364869.83</v>
      </c>
      <c r="I314" s="733">
        <v>-360743.75</v>
      </c>
      <c r="J314" s="734">
        <v>-356617.67</v>
      </c>
      <c r="K314" s="735">
        <v>-352491.58</v>
      </c>
      <c r="L314" s="736">
        <v>-348718</v>
      </c>
      <c r="M314" s="737">
        <v>-344650.67</v>
      </c>
      <c r="N314" s="738">
        <v>-340583.33</v>
      </c>
      <c r="O314" s="739">
        <v>-336516</v>
      </c>
      <c r="P314" s="740">
        <v>-332448.67</v>
      </c>
      <c r="Q314" s="814">
        <v>-328355.33</v>
      </c>
      <c r="R314" s="731">
        <v>-324288</v>
      </c>
      <c r="S314" s="733">
        <f t="shared" si="42"/>
        <v>-348641.3125</v>
      </c>
      <c r="T314" s="707"/>
      <c r="U314" s="742"/>
      <c r="V314" s="743">
        <f>S314</f>
        <v>-348641.3125</v>
      </c>
      <c r="W314" s="742"/>
      <c r="X314" s="742"/>
      <c r="Y314" s="720"/>
      <c r="Z314" s="720"/>
    </row>
    <row r="315" spans="1:26">
      <c r="A315" s="727" t="s">
        <v>846</v>
      </c>
      <c r="B315" s="727" t="s">
        <v>405</v>
      </c>
      <c r="C315" s="728">
        <v>306</v>
      </c>
      <c r="D315" s="727" t="str">
        <f>+A315</f>
        <v>2820</v>
      </c>
      <c r="E315" s="785" t="s">
        <v>847</v>
      </c>
      <c r="F315" s="731">
        <v>-96815259.790000007</v>
      </c>
      <c r="G315" s="813">
        <v>-96798119.579999998</v>
      </c>
      <c r="H315" s="733">
        <v>-96780979.340000004</v>
      </c>
      <c r="I315" s="733">
        <v>-97223385.599999994</v>
      </c>
      <c r="J315" s="734">
        <v>-97097374.659999996</v>
      </c>
      <c r="K315" s="735">
        <v>-96971363.799999997</v>
      </c>
      <c r="L315" s="736">
        <v>-97181324.890000001</v>
      </c>
      <c r="M315" s="737">
        <v>-97111309.340000004</v>
      </c>
      <c r="N315" s="738">
        <v>-97041293.75</v>
      </c>
      <c r="O315" s="739">
        <v>-98273089.640000001</v>
      </c>
      <c r="P315" s="740">
        <v>-98347719.810000002</v>
      </c>
      <c r="Q315" s="814">
        <v>-100118820.7</v>
      </c>
      <c r="R315" s="731">
        <v>-100067346.12</v>
      </c>
      <c r="S315" s="733">
        <f t="shared" si="42"/>
        <v>-97615507.005416676</v>
      </c>
      <c r="T315" s="707"/>
      <c r="U315" s="742"/>
      <c r="V315" s="743">
        <f>S315</f>
        <v>-97615507.005416676</v>
      </c>
      <c r="W315" s="742"/>
      <c r="X315" s="742"/>
      <c r="Y315" s="720"/>
      <c r="Z315" s="720"/>
    </row>
    <row r="316" spans="1:26">
      <c r="A316" s="727" t="s">
        <v>848</v>
      </c>
      <c r="B316" s="727" t="s">
        <v>405</v>
      </c>
      <c r="C316" s="728">
        <v>307</v>
      </c>
      <c r="D316" s="727" t="str">
        <f>+A316</f>
        <v>2830</v>
      </c>
      <c r="E316" s="785" t="s">
        <v>849</v>
      </c>
      <c r="F316" s="731">
        <v>-36786388.119999997</v>
      </c>
      <c r="G316" s="813">
        <v>-36797682.920000002</v>
      </c>
      <c r="H316" s="733">
        <v>-36808977.82</v>
      </c>
      <c r="I316" s="733">
        <v>-37065961.369999997</v>
      </c>
      <c r="J316" s="734">
        <v>-37077311.259999998</v>
      </c>
      <c r="K316" s="735">
        <v>-37088661.189999998</v>
      </c>
      <c r="L316" s="736">
        <v>-37083468.740000002</v>
      </c>
      <c r="M316" s="737">
        <v>-37092066.420000002</v>
      </c>
      <c r="N316" s="738">
        <v>-37100664.079999998</v>
      </c>
      <c r="O316" s="739">
        <v>-36995176.82</v>
      </c>
      <c r="P316" s="740">
        <v>-36991101.07</v>
      </c>
      <c r="Q316" s="814">
        <v>-36987025.399999999</v>
      </c>
      <c r="R316" s="731">
        <v>-36157095.619999997</v>
      </c>
      <c r="S316" s="733">
        <f t="shared" si="42"/>
        <v>-36963319.913333334</v>
      </c>
      <c r="T316" s="707"/>
      <c r="U316" s="742"/>
      <c r="V316" s="742"/>
      <c r="W316" s="720"/>
      <c r="X316" s="743">
        <f>S316</f>
        <v>-36963319.913333334</v>
      </c>
      <c r="Y316" s="720"/>
      <c r="Z316" s="720"/>
    </row>
    <row r="317" spans="1:26">
      <c r="A317" s="727"/>
      <c r="B317" s="727"/>
      <c r="C317" s="728">
        <v>308</v>
      </c>
      <c r="D317" s="729"/>
      <c r="E317" s="785"/>
      <c r="F317" s="731"/>
      <c r="G317" s="813"/>
      <c r="H317" s="733"/>
      <c r="I317" s="733"/>
      <c r="J317" s="734"/>
      <c r="K317" s="735"/>
      <c r="L317" s="736"/>
      <c r="M317" s="737"/>
      <c r="N317" s="738"/>
      <c r="O317" s="739"/>
      <c r="P317" s="740"/>
      <c r="Q317" s="814"/>
      <c r="R317" s="731"/>
      <c r="S317" s="733">
        <f t="shared" si="42"/>
        <v>0</v>
      </c>
      <c r="T317" s="707"/>
      <c r="U317" s="742"/>
      <c r="V317" s="742"/>
      <c r="W317" s="742"/>
      <c r="X317" s="742"/>
      <c r="Y317" s="720"/>
      <c r="Z317" s="720"/>
    </row>
    <row r="318" spans="1:26">
      <c r="A318" s="727"/>
      <c r="B318" s="727"/>
      <c r="C318" s="728">
        <v>309</v>
      </c>
      <c r="D318" s="729"/>
      <c r="E318" s="785" t="s">
        <v>850</v>
      </c>
      <c r="F318" s="755">
        <f>SUM(F314:F316)</f>
        <v>-133974769.91</v>
      </c>
      <c r="G318" s="755">
        <f t="shared" ref="G318:S318" si="48">SUM(G314:G316)</f>
        <v>-133964798.42</v>
      </c>
      <c r="H318" s="755">
        <f t="shared" si="48"/>
        <v>-133954826.99000001</v>
      </c>
      <c r="I318" s="755">
        <f t="shared" si="48"/>
        <v>-134650090.72</v>
      </c>
      <c r="J318" s="755">
        <f t="shared" si="48"/>
        <v>-134531303.59</v>
      </c>
      <c r="K318" s="755">
        <f t="shared" si="48"/>
        <v>-134412516.56999999</v>
      </c>
      <c r="L318" s="755">
        <f t="shared" si="48"/>
        <v>-134613511.63</v>
      </c>
      <c r="M318" s="755">
        <f t="shared" si="48"/>
        <v>-134548026.43000001</v>
      </c>
      <c r="N318" s="755">
        <f t="shared" si="48"/>
        <v>-134482541.16</v>
      </c>
      <c r="O318" s="755">
        <f t="shared" si="48"/>
        <v>-135604782.46000001</v>
      </c>
      <c r="P318" s="755">
        <f t="shared" si="48"/>
        <v>-135671269.55000001</v>
      </c>
      <c r="Q318" s="755">
        <f t="shared" si="48"/>
        <v>-137434201.43000001</v>
      </c>
      <c r="R318" s="755">
        <f t="shared" si="48"/>
        <v>-136548729.74000001</v>
      </c>
      <c r="S318" s="755">
        <f t="shared" si="48"/>
        <v>-134927468.23125002</v>
      </c>
      <c r="T318" s="707"/>
      <c r="U318" s="742"/>
      <c r="V318" s="743"/>
      <c r="W318" s="742"/>
      <c r="X318" s="743"/>
      <c r="Y318" s="720"/>
      <c r="Z318" s="720"/>
    </row>
    <row r="319" spans="1:26">
      <c r="A319" s="727"/>
      <c r="B319" s="727"/>
      <c r="C319" s="728">
        <v>310</v>
      </c>
      <c r="D319" s="729"/>
      <c r="E319" s="785"/>
      <c r="F319" s="731"/>
      <c r="G319" s="813"/>
      <c r="H319" s="733"/>
      <c r="I319" s="733"/>
      <c r="J319" s="734"/>
      <c r="K319" s="735"/>
      <c r="L319" s="736"/>
      <c r="M319" s="737"/>
      <c r="N319" s="738"/>
      <c r="O319" s="756"/>
      <c r="P319" s="740"/>
      <c r="Q319" s="814"/>
      <c r="R319" s="731"/>
      <c r="S319" s="733">
        <f t="shared" si="42"/>
        <v>0</v>
      </c>
      <c r="T319" s="707"/>
      <c r="U319" s="742"/>
      <c r="V319" s="742"/>
      <c r="W319" s="742"/>
      <c r="X319" s="742"/>
      <c r="Y319" s="707"/>
      <c r="Z319" s="720"/>
    </row>
    <row r="320" spans="1:26">
      <c r="A320" s="727" t="s">
        <v>851</v>
      </c>
      <c r="B320" s="727" t="s">
        <v>405</v>
      </c>
      <c r="C320" s="728">
        <v>311</v>
      </c>
      <c r="D320" s="727" t="str">
        <f t="shared" ref="D320:D329" si="49">+A320</f>
        <v>4002</v>
      </c>
      <c r="E320" s="785" t="s">
        <v>852</v>
      </c>
      <c r="F320" s="731">
        <v>-259415782.06999999</v>
      </c>
      <c r="G320" s="813">
        <v>-45323066.640000001</v>
      </c>
      <c r="H320" s="733">
        <v>-80057653.469999999</v>
      </c>
      <c r="I320" s="733">
        <v>-111374897.91</v>
      </c>
      <c r="J320" s="734">
        <v>-133185623.67</v>
      </c>
      <c r="K320" s="735">
        <v>-145688899.18000001</v>
      </c>
      <c r="L320" s="736">
        <v>-156892353.78999999</v>
      </c>
      <c r="M320" s="737">
        <v>-165904168.34</v>
      </c>
      <c r="N320" s="738">
        <v>-174315533.75</v>
      </c>
      <c r="O320" s="756">
        <v>-183043818.47999999</v>
      </c>
      <c r="P320" s="740">
        <v>-194186177.81</v>
      </c>
      <c r="Q320" s="814">
        <v>-212005979.94</v>
      </c>
      <c r="R320" s="731">
        <v>-239183463.71000001</v>
      </c>
      <c r="S320" s="733">
        <f t="shared" si="42"/>
        <v>-154273149.65583333</v>
      </c>
      <c r="T320" s="707"/>
      <c r="U320" s="742"/>
      <c r="V320" s="742"/>
      <c r="W320" s="742"/>
      <c r="X320" s="742"/>
      <c r="Y320" s="707"/>
      <c r="Z320" s="720"/>
    </row>
    <row r="321" spans="1:26">
      <c r="A321" s="727" t="s">
        <v>853</v>
      </c>
      <c r="B321" s="727" t="s">
        <v>405</v>
      </c>
      <c r="C321" s="728">
        <v>312</v>
      </c>
      <c r="D321" s="727" t="str">
        <f t="shared" si="49"/>
        <v>4009</v>
      </c>
      <c r="E321" s="785" t="s">
        <v>854</v>
      </c>
      <c r="F321" s="731">
        <v>1552858.97</v>
      </c>
      <c r="G321" s="813">
        <v>4005093.48</v>
      </c>
      <c r="H321" s="733">
        <v>9465204.3399999999</v>
      </c>
      <c r="I321" s="733">
        <v>14048141.210000001</v>
      </c>
      <c r="J321" s="734">
        <v>20361817.25</v>
      </c>
      <c r="K321" s="735">
        <v>22607462.280000001</v>
      </c>
      <c r="L321" s="736">
        <v>24440311.859999999</v>
      </c>
      <c r="M321" s="737">
        <v>24895280.629999999</v>
      </c>
      <c r="N321" s="738">
        <v>25388956.489999998</v>
      </c>
      <c r="O321" s="756">
        <v>24433522.41</v>
      </c>
      <c r="P321" s="740">
        <v>18554333.449999999</v>
      </c>
      <c r="Q321" s="814">
        <v>11888891.560000001</v>
      </c>
      <c r="R321" s="731">
        <v>-3293083.96</v>
      </c>
      <c r="S321" s="733">
        <f t="shared" si="42"/>
        <v>16601575.205416664</v>
      </c>
      <c r="T321" s="707"/>
      <c r="U321" s="742"/>
      <c r="V321" s="742"/>
      <c r="W321" s="742"/>
      <c r="X321" s="742"/>
      <c r="Y321" s="707"/>
      <c r="Z321" s="720"/>
    </row>
    <row r="322" spans="1:26">
      <c r="A322" s="727" t="s">
        <v>855</v>
      </c>
      <c r="B322" s="727" t="s">
        <v>405</v>
      </c>
      <c r="C322" s="728">
        <v>313</v>
      </c>
      <c r="D322" s="727" t="str">
        <f t="shared" si="49"/>
        <v>4880</v>
      </c>
      <c r="E322" s="785" t="s">
        <v>856</v>
      </c>
      <c r="F322" s="731">
        <v>-862217.33</v>
      </c>
      <c r="G322" s="813">
        <v>-89061.94</v>
      </c>
      <c r="H322" s="733">
        <v>-207924.78</v>
      </c>
      <c r="I322" s="733">
        <v>-316588.63</v>
      </c>
      <c r="J322" s="734">
        <v>-419452.29</v>
      </c>
      <c r="K322" s="735">
        <v>-505183.22</v>
      </c>
      <c r="L322" s="736">
        <v>-595431.06999999995</v>
      </c>
      <c r="M322" s="737">
        <v>-645821.11</v>
      </c>
      <c r="N322" s="738">
        <v>-715761.13</v>
      </c>
      <c r="O322" s="756">
        <v>-776822.17</v>
      </c>
      <c r="P322" s="740">
        <v>-845295.21</v>
      </c>
      <c r="Q322" s="814">
        <v>-910819.52</v>
      </c>
      <c r="R322" s="731">
        <v>-988436.27</v>
      </c>
      <c r="S322" s="733">
        <f t="shared" si="42"/>
        <v>-579457.32250000001</v>
      </c>
      <c r="T322" s="707"/>
      <c r="U322" s="742"/>
      <c r="V322" s="742"/>
      <c r="W322" s="742"/>
      <c r="X322" s="742"/>
      <c r="Y322" s="707"/>
      <c r="Z322" s="720"/>
    </row>
    <row r="323" spans="1:26">
      <c r="A323" s="727" t="s">
        <v>137</v>
      </c>
      <c r="B323" s="727" t="s">
        <v>405</v>
      </c>
      <c r="C323" s="728">
        <v>314</v>
      </c>
      <c r="D323" s="727" t="str">
        <f t="shared" si="49"/>
        <v>4890</v>
      </c>
      <c r="E323" s="785" t="s">
        <v>857</v>
      </c>
      <c r="F323" s="731">
        <v>-24386993.02</v>
      </c>
      <c r="G323" s="813">
        <v>-2111413.48</v>
      </c>
      <c r="H323" s="733">
        <v>-4276649.83</v>
      </c>
      <c r="I323" s="733">
        <v>-6316929.8099999996</v>
      </c>
      <c r="J323" s="734">
        <v>-8265672.3399999999</v>
      </c>
      <c r="K323" s="735">
        <v>-10123298.68</v>
      </c>
      <c r="L323" s="736">
        <v>-12024600.52</v>
      </c>
      <c r="M323" s="737">
        <v>-13970366.82</v>
      </c>
      <c r="N323" s="738">
        <v>-15960514.91</v>
      </c>
      <c r="O323" s="756">
        <v>-18108253.84</v>
      </c>
      <c r="P323" s="740">
        <v>-20413780.93</v>
      </c>
      <c r="Q323" s="814">
        <v>-22680148.91</v>
      </c>
      <c r="R323" s="731">
        <v>-24926674.07</v>
      </c>
      <c r="S323" s="733">
        <f t="shared" si="42"/>
        <v>-13242371.967916667</v>
      </c>
      <c r="T323" s="707"/>
      <c r="U323" s="742"/>
      <c r="V323" s="742"/>
      <c r="W323" s="742"/>
      <c r="X323" s="742"/>
      <c r="Y323" s="707"/>
      <c r="Z323" s="720"/>
    </row>
    <row r="324" spans="1:26">
      <c r="A324" s="727" t="s">
        <v>858</v>
      </c>
      <c r="B324" s="727" t="s">
        <v>405</v>
      </c>
      <c r="C324" s="728">
        <v>315</v>
      </c>
      <c r="D324" s="727" t="str">
        <f t="shared" si="49"/>
        <v>4891</v>
      </c>
      <c r="E324" s="785" t="s">
        <v>859</v>
      </c>
      <c r="F324" s="731">
        <v>-32543.279999999999</v>
      </c>
      <c r="G324" s="813">
        <v>-48575.42</v>
      </c>
      <c r="H324" s="733">
        <v>63131.74</v>
      </c>
      <c r="I324" s="733">
        <v>161602.95000000001</v>
      </c>
      <c r="J324" s="734">
        <v>252785.47</v>
      </c>
      <c r="K324" s="735">
        <v>210634.32</v>
      </c>
      <c r="L324" s="736">
        <v>172263.25</v>
      </c>
      <c r="M324" s="737">
        <v>121606.33</v>
      </c>
      <c r="N324" s="738">
        <v>-39854.22</v>
      </c>
      <c r="O324" s="756">
        <v>-201026.47</v>
      </c>
      <c r="P324" s="740">
        <v>-163401.70000000001</v>
      </c>
      <c r="Q324" s="814">
        <v>-142826.20000000001</v>
      </c>
      <c r="R324" s="731">
        <v>-334499.83</v>
      </c>
      <c r="S324" s="733">
        <f t="shared" si="42"/>
        <v>16901.541249999998</v>
      </c>
      <c r="T324" s="707"/>
      <c r="U324" s="742"/>
      <c r="V324" s="742"/>
      <c r="W324" s="742"/>
      <c r="X324" s="742"/>
      <c r="Y324" s="707"/>
      <c r="Z324" s="720"/>
    </row>
    <row r="325" spans="1:26">
      <c r="A325" s="727" t="s">
        <v>139</v>
      </c>
      <c r="B325" s="727" t="s">
        <v>405</v>
      </c>
      <c r="C325" s="728">
        <v>316</v>
      </c>
      <c r="D325" s="727" t="str">
        <f t="shared" si="49"/>
        <v>4930</v>
      </c>
      <c r="E325" s="785" t="s">
        <v>860</v>
      </c>
      <c r="F325" s="731">
        <v>-12100</v>
      </c>
      <c r="G325" s="813">
        <v>-1000</v>
      </c>
      <c r="H325" s="733">
        <v>-2000</v>
      </c>
      <c r="I325" s="733">
        <v>-4000</v>
      </c>
      <c r="J325" s="734">
        <v>-4000</v>
      </c>
      <c r="K325" s="735">
        <v>-5100</v>
      </c>
      <c r="L325" s="736">
        <v>-6100</v>
      </c>
      <c r="M325" s="737">
        <v>-7100</v>
      </c>
      <c r="N325" s="738">
        <v>-8100</v>
      </c>
      <c r="O325" s="756">
        <v>-9100</v>
      </c>
      <c r="P325" s="740">
        <v>-10100</v>
      </c>
      <c r="Q325" s="814">
        <v>-11100</v>
      </c>
      <c r="R325" s="731">
        <v>-12100</v>
      </c>
      <c r="S325" s="733">
        <f t="shared" si="42"/>
        <v>-6650</v>
      </c>
      <c r="T325" s="707"/>
      <c r="U325" s="742"/>
      <c r="V325" s="742"/>
      <c r="W325" s="742"/>
      <c r="X325" s="742"/>
      <c r="Y325" s="707"/>
      <c r="Z325" s="720"/>
    </row>
    <row r="326" spans="1:26">
      <c r="A326" s="727" t="s">
        <v>141</v>
      </c>
      <c r="B326" s="727" t="s">
        <v>405</v>
      </c>
      <c r="C326" s="728">
        <v>317</v>
      </c>
      <c r="D326" s="727" t="str">
        <f t="shared" si="49"/>
        <v>4940</v>
      </c>
      <c r="E326" s="727" t="s">
        <v>142</v>
      </c>
      <c r="F326" s="731">
        <v>-102660</v>
      </c>
      <c r="G326" s="813">
        <v>-10127</v>
      </c>
      <c r="H326" s="733">
        <v>-20254</v>
      </c>
      <c r="I326" s="733">
        <v>-30381</v>
      </c>
      <c r="J326" s="734">
        <v>-40508</v>
      </c>
      <c r="K326" s="735">
        <v>-50635</v>
      </c>
      <c r="L326" s="736">
        <v>-60762</v>
      </c>
      <c r="M326" s="737">
        <v>-70889</v>
      </c>
      <c r="N326" s="738">
        <v>-81016</v>
      </c>
      <c r="O326" s="756">
        <v>-91143</v>
      </c>
      <c r="P326" s="740">
        <v>-101270</v>
      </c>
      <c r="Q326" s="814">
        <v>-111397</v>
      </c>
      <c r="R326" s="731">
        <v>-121524</v>
      </c>
      <c r="S326" s="733">
        <f t="shared" si="42"/>
        <v>-65039.5</v>
      </c>
      <c r="T326" s="707"/>
      <c r="U326" s="742"/>
      <c r="V326" s="742"/>
      <c r="W326" s="742"/>
      <c r="X326" s="742"/>
      <c r="Y326" s="707"/>
      <c r="Z326" s="720"/>
    </row>
    <row r="327" spans="1:26">
      <c r="A327" s="727" t="s">
        <v>143</v>
      </c>
      <c r="B327" s="727" t="s">
        <v>405</v>
      </c>
      <c r="C327" s="728">
        <v>318</v>
      </c>
      <c r="D327" s="727" t="str">
        <f t="shared" si="49"/>
        <v>4950</v>
      </c>
      <c r="E327" s="785" t="s">
        <v>861</v>
      </c>
      <c r="F327" s="731">
        <v>-285467.40999999997</v>
      </c>
      <c r="G327" s="813">
        <v>-6338.56</v>
      </c>
      <c r="H327" s="733">
        <v>-33925.410000000003</v>
      </c>
      <c r="I327" s="733">
        <v>-57596.61</v>
      </c>
      <c r="J327" s="734">
        <v>-65771.899999999994</v>
      </c>
      <c r="K327" s="735">
        <v>-75369.960000000006</v>
      </c>
      <c r="L327" s="736">
        <v>-101903.1</v>
      </c>
      <c r="M327" s="737">
        <v>-117269.58</v>
      </c>
      <c r="N327" s="738">
        <v>-125429.82</v>
      </c>
      <c r="O327" s="756">
        <v>-147744.69</v>
      </c>
      <c r="P327" s="740">
        <v>-129394.63</v>
      </c>
      <c r="Q327" s="814">
        <v>-137718.89000000001</v>
      </c>
      <c r="R327" s="731">
        <v>-152621.38</v>
      </c>
      <c r="S327" s="733">
        <f t="shared" si="42"/>
        <v>-101458.96208333335</v>
      </c>
      <c r="T327" s="707"/>
      <c r="U327" s="742"/>
      <c r="V327" s="742"/>
      <c r="W327" s="742"/>
      <c r="X327" s="742"/>
      <c r="Y327" s="707"/>
      <c r="Z327" s="720"/>
    </row>
    <row r="328" spans="1:26">
      <c r="A328" s="727" t="s">
        <v>862</v>
      </c>
      <c r="B328" s="727" t="s">
        <v>405</v>
      </c>
      <c r="C328" s="728">
        <v>319</v>
      </c>
      <c r="D328" s="727" t="str">
        <f t="shared" si="49"/>
        <v>4962</v>
      </c>
      <c r="E328" s="785" t="s">
        <v>863</v>
      </c>
      <c r="F328" s="731">
        <v>0</v>
      </c>
      <c r="G328" s="813">
        <v>0</v>
      </c>
      <c r="H328" s="733">
        <v>0</v>
      </c>
      <c r="I328" s="733">
        <v>0</v>
      </c>
      <c r="J328" s="734">
        <v>0</v>
      </c>
      <c r="K328" s="735">
        <v>0</v>
      </c>
      <c r="L328" s="736">
        <v>0</v>
      </c>
      <c r="M328" s="737">
        <v>0</v>
      </c>
      <c r="N328" s="738">
        <v>0</v>
      </c>
      <c r="O328" s="756">
        <v>0</v>
      </c>
      <c r="P328" s="740">
        <v>0</v>
      </c>
      <c r="Q328" s="814">
        <v>0</v>
      </c>
      <c r="R328" s="731">
        <v>0</v>
      </c>
      <c r="S328" s="733">
        <f t="shared" si="42"/>
        <v>0</v>
      </c>
      <c r="T328" s="707"/>
      <c r="U328" s="742"/>
      <c r="V328" s="742"/>
      <c r="W328" s="742"/>
      <c r="X328" s="742"/>
      <c r="Y328" s="707"/>
      <c r="Z328" s="720"/>
    </row>
    <row r="329" spans="1:26">
      <c r="A329" s="727" t="s">
        <v>864</v>
      </c>
      <c r="B329" s="727" t="s">
        <v>405</v>
      </c>
      <c r="C329" s="728">
        <v>320</v>
      </c>
      <c r="D329" s="727" t="str">
        <f t="shared" si="49"/>
        <v>5000</v>
      </c>
      <c r="E329" s="785" t="s">
        <v>865</v>
      </c>
      <c r="F329" s="731">
        <v>0</v>
      </c>
      <c r="G329" s="813">
        <v>0</v>
      </c>
      <c r="H329" s="733">
        <v>0</v>
      </c>
      <c r="I329" s="733">
        <v>0</v>
      </c>
      <c r="J329" s="734">
        <v>0</v>
      </c>
      <c r="K329" s="735">
        <v>0</v>
      </c>
      <c r="L329" s="736">
        <v>0</v>
      </c>
      <c r="M329" s="737">
        <v>0</v>
      </c>
      <c r="N329" s="738">
        <v>0</v>
      </c>
      <c r="O329" s="756">
        <v>0</v>
      </c>
      <c r="P329" s="740">
        <v>0</v>
      </c>
      <c r="Q329" s="814">
        <v>0</v>
      </c>
      <c r="R329" s="731">
        <v>0</v>
      </c>
      <c r="S329" s="733">
        <f t="shared" si="42"/>
        <v>0</v>
      </c>
      <c r="T329" s="707"/>
      <c r="U329" s="742"/>
      <c r="V329" s="742"/>
      <c r="W329" s="742"/>
      <c r="X329" s="742"/>
      <c r="Y329" s="720"/>
      <c r="Z329" s="720"/>
    </row>
    <row r="330" spans="1:26">
      <c r="A330" s="727"/>
      <c r="B330" s="727"/>
      <c r="C330" s="728">
        <v>321</v>
      </c>
      <c r="D330" s="729"/>
      <c r="E330" s="785" t="s">
        <v>866</v>
      </c>
      <c r="F330" s="755">
        <f>SUM(F320:F329)</f>
        <v>-283544904.13999999</v>
      </c>
      <c r="G330" s="755">
        <f t="shared" ref="G330:S330" si="50">SUM(G320:G329)</f>
        <v>-43584489.560000002</v>
      </c>
      <c r="H330" s="755">
        <f t="shared" si="50"/>
        <v>-75070071.409999996</v>
      </c>
      <c r="I330" s="755">
        <f t="shared" si="50"/>
        <v>-103890649.79999998</v>
      </c>
      <c r="J330" s="755">
        <f t="shared" si="50"/>
        <v>-121366425.48000002</v>
      </c>
      <c r="K330" s="755">
        <f t="shared" si="50"/>
        <v>-133630389.44000001</v>
      </c>
      <c r="L330" s="755">
        <f t="shared" si="50"/>
        <v>-145068575.36999997</v>
      </c>
      <c r="M330" s="755">
        <f t="shared" si="50"/>
        <v>-155698727.89000002</v>
      </c>
      <c r="N330" s="755">
        <f t="shared" si="50"/>
        <v>-165857253.33999997</v>
      </c>
      <c r="O330" s="755">
        <f t="shared" si="50"/>
        <v>-177944386.23999998</v>
      </c>
      <c r="P330" s="755">
        <f t="shared" si="50"/>
        <v>-197295086.83000001</v>
      </c>
      <c r="Q330" s="755">
        <f t="shared" si="50"/>
        <v>-224111098.89999998</v>
      </c>
      <c r="R330" s="755">
        <f t="shared" si="50"/>
        <v>-269012403.22000003</v>
      </c>
      <c r="S330" s="755">
        <f t="shared" si="50"/>
        <v>-151649650.66166669</v>
      </c>
      <c r="T330" s="711"/>
      <c r="U330" s="743">
        <f>S330</f>
        <v>-151649650.66166669</v>
      </c>
      <c r="V330" s="742"/>
      <c r="W330" s="742"/>
      <c r="X330" s="743"/>
      <c r="Y330" s="842"/>
      <c r="Z330" s="720"/>
    </row>
    <row r="331" spans="1:26">
      <c r="A331" s="727"/>
      <c r="B331" s="727"/>
      <c r="C331" s="728">
        <v>322</v>
      </c>
      <c r="D331" s="729"/>
      <c r="E331" s="785"/>
      <c r="F331" s="731"/>
      <c r="G331" s="813"/>
      <c r="H331" s="733"/>
      <c r="I331" s="733"/>
      <c r="J331" s="734"/>
      <c r="K331" s="735"/>
      <c r="L331" s="736"/>
      <c r="M331" s="737"/>
      <c r="N331" s="738"/>
      <c r="O331" s="756"/>
      <c r="P331" s="740"/>
      <c r="Q331" s="814"/>
      <c r="R331" s="731"/>
      <c r="S331" s="733">
        <f t="shared" si="42"/>
        <v>0</v>
      </c>
      <c r="T331" s="707"/>
      <c r="U331" s="742"/>
      <c r="V331" s="742"/>
      <c r="W331" s="742"/>
      <c r="X331" s="742"/>
      <c r="Y331" s="842"/>
      <c r="Z331" s="720"/>
    </row>
    <row r="332" spans="1:26">
      <c r="A332" s="727" t="s">
        <v>867</v>
      </c>
      <c r="B332" s="727" t="s">
        <v>625</v>
      </c>
      <c r="C332" s="728">
        <v>323</v>
      </c>
      <c r="D332" s="705" t="str">
        <f>A332&amp;"."&amp;B332</f>
        <v>4190.[/011]</v>
      </c>
      <c r="E332" s="727" t="s">
        <v>339</v>
      </c>
      <c r="F332" s="731">
        <v>-9071565.0700000003</v>
      </c>
      <c r="G332" s="813">
        <v>-29025.52</v>
      </c>
      <c r="H332" s="733">
        <v>-50867.63</v>
      </c>
      <c r="I332" s="733">
        <v>-107953.26</v>
      </c>
      <c r="J332" s="734">
        <v>-147646.09</v>
      </c>
      <c r="K332" s="735">
        <v>-193698.04</v>
      </c>
      <c r="L332" s="736">
        <v>-252297.46</v>
      </c>
      <c r="M332" s="737">
        <v>-307123.62</v>
      </c>
      <c r="N332" s="738">
        <v>-449347.6</v>
      </c>
      <c r="O332" s="756">
        <v>-500575.91</v>
      </c>
      <c r="P332" s="740">
        <v>-538645.17000000004</v>
      </c>
      <c r="Q332" s="814">
        <v>-565602.80000000005</v>
      </c>
      <c r="R332" s="731">
        <v>-610339.98</v>
      </c>
      <c r="S332" s="733">
        <f t="shared" ref="S332:S341" si="51">((F332+R332)+((G332+H332+I332+J332+K332+L332+M332+N332+O332+P332+Q332)*2))/24</f>
        <v>-665311.30208333337</v>
      </c>
      <c r="T332" s="707"/>
      <c r="U332" s="742"/>
      <c r="V332" s="742"/>
      <c r="W332" s="742"/>
      <c r="X332" s="742"/>
      <c r="Y332" s="707"/>
      <c r="Z332" s="720"/>
    </row>
    <row r="333" spans="1:26">
      <c r="A333" s="727" t="s">
        <v>867</v>
      </c>
      <c r="B333" s="727" t="s">
        <v>626</v>
      </c>
      <c r="C333" s="728">
        <v>324</v>
      </c>
      <c r="D333" s="705" t="str">
        <f>A333&amp;"."&amp;B333</f>
        <v>4190.011</v>
      </c>
      <c r="E333" s="727" t="s">
        <v>868</v>
      </c>
      <c r="F333" s="731">
        <v>-266466</v>
      </c>
      <c r="G333" s="813">
        <v>0</v>
      </c>
      <c r="H333" s="733">
        <v>0</v>
      </c>
      <c r="I333" s="733">
        <v>0</v>
      </c>
      <c r="J333" s="734">
        <v>0</v>
      </c>
      <c r="K333" s="735">
        <v>0</v>
      </c>
      <c r="L333" s="736">
        <v>0</v>
      </c>
      <c r="M333" s="737">
        <v>0</v>
      </c>
      <c r="N333" s="738">
        <v>0</v>
      </c>
      <c r="O333" s="756">
        <v>0</v>
      </c>
      <c r="P333" s="740">
        <v>0</v>
      </c>
      <c r="Q333" s="814">
        <v>0</v>
      </c>
      <c r="R333" s="731">
        <v>0</v>
      </c>
      <c r="S333" s="733">
        <f t="shared" si="51"/>
        <v>-11102.75</v>
      </c>
      <c r="T333" s="707"/>
      <c r="U333" s="742"/>
      <c r="V333" s="742"/>
      <c r="W333" s="742"/>
      <c r="X333" s="742"/>
      <c r="Y333" s="707"/>
      <c r="Z333" s="720"/>
    </row>
    <row r="334" spans="1:26">
      <c r="A334" s="727" t="s">
        <v>869</v>
      </c>
      <c r="B334" s="727" t="s">
        <v>405</v>
      </c>
      <c r="C334" s="728">
        <v>325</v>
      </c>
      <c r="D334" s="727" t="str">
        <f>+A334</f>
        <v>4210</v>
      </c>
      <c r="E334" s="785" t="s">
        <v>870</v>
      </c>
      <c r="F334" s="731">
        <v>-18356.8</v>
      </c>
      <c r="G334" s="813">
        <v>-874.82</v>
      </c>
      <c r="H334" s="733">
        <v>-1908.15</v>
      </c>
      <c r="I334" s="733">
        <v>-4196.79</v>
      </c>
      <c r="J334" s="734">
        <v>-6825.79</v>
      </c>
      <c r="K334" s="735">
        <v>-8774.06</v>
      </c>
      <c r="L334" s="736">
        <v>-9713.98</v>
      </c>
      <c r="M334" s="737">
        <v>-10601.3</v>
      </c>
      <c r="N334" s="738">
        <v>-12623.65</v>
      </c>
      <c r="O334" s="756">
        <v>-13521.06</v>
      </c>
      <c r="P334" s="740">
        <v>-15150.16</v>
      </c>
      <c r="Q334" s="814">
        <v>-16277.85</v>
      </c>
      <c r="R334" s="731">
        <v>-17666.43</v>
      </c>
      <c r="S334" s="733">
        <f t="shared" si="51"/>
        <v>-9873.2687500000011</v>
      </c>
      <c r="T334" s="707"/>
      <c r="U334" s="742"/>
      <c r="V334" s="742"/>
      <c r="W334" s="742"/>
      <c r="X334" s="742"/>
      <c r="Y334" s="707"/>
      <c r="Z334" s="720"/>
    </row>
    <row r="335" spans="1:26">
      <c r="A335" s="727" t="s">
        <v>871</v>
      </c>
      <c r="B335" s="727" t="s">
        <v>405</v>
      </c>
      <c r="C335" s="728">
        <v>326</v>
      </c>
      <c r="D335" s="727" t="str">
        <f>+A335</f>
        <v>4181</v>
      </c>
      <c r="E335" s="785" t="s">
        <v>872</v>
      </c>
      <c r="F335" s="731">
        <v>0</v>
      </c>
      <c r="G335" s="813">
        <v>0</v>
      </c>
      <c r="H335" s="733">
        <v>0</v>
      </c>
      <c r="I335" s="733">
        <v>0</v>
      </c>
      <c r="J335" s="734">
        <v>0</v>
      </c>
      <c r="K335" s="735">
        <v>0</v>
      </c>
      <c r="L335" s="736">
        <v>0</v>
      </c>
      <c r="M335" s="737">
        <v>0</v>
      </c>
      <c r="N335" s="738">
        <v>0</v>
      </c>
      <c r="O335" s="756">
        <v>0</v>
      </c>
      <c r="P335" s="740">
        <v>0</v>
      </c>
      <c r="Q335" s="814">
        <v>0</v>
      </c>
      <c r="R335" s="731">
        <v>0</v>
      </c>
      <c r="S335" s="733">
        <f t="shared" si="51"/>
        <v>0</v>
      </c>
      <c r="T335" s="720"/>
      <c r="U335" s="742"/>
      <c r="V335" s="742"/>
      <c r="W335" s="742"/>
      <c r="X335" s="742"/>
      <c r="Y335" s="720"/>
      <c r="Z335" s="720"/>
    </row>
    <row r="336" spans="1:26">
      <c r="A336" s="727" t="s">
        <v>873</v>
      </c>
      <c r="B336" s="727" t="s">
        <v>405</v>
      </c>
      <c r="C336" s="728">
        <v>327</v>
      </c>
      <c r="D336" s="727" t="str">
        <f>+A336</f>
        <v>4191</v>
      </c>
      <c r="E336" s="785" t="s">
        <v>874</v>
      </c>
      <c r="F336" s="731">
        <v>-461795.53</v>
      </c>
      <c r="G336" s="813">
        <v>-29021.1</v>
      </c>
      <c r="H336" s="733">
        <v>-54203.92</v>
      </c>
      <c r="I336" s="733">
        <v>-92338.3</v>
      </c>
      <c r="J336" s="734">
        <v>-91063.83</v>
      </c>
      <c r="K336" s="735">
        <v>-129349.55</v>
      </c>
      <c r="L336" s="736">
        <v>-160628.41</v>
      </c>
      <c r="M336" s="737">
        <v>-201601.98</v>
      </c>
      <c r="N336" s="738">
        <v>-250733</v>
      </c>
      <c r="O336" s="756">
        <v>-287568.37</v>
      </c>
      <c r="P336" s="740">
        <v>-311815.55</v>
      </c>
      <c r="Q336" s="814">
        <v>-336889.55</v>
      </c>
      <c r="R336" s="731">
        <v>-361161.84</v>
      </c>
      <c r="S336" s="733">
        <f t="shared" si="51"/>
        <v>-196391.02041666667</v>
      </c>
      <c r="T336" s="720"/>
      <c r="U336" s="742"/>
      <c r="V336" s="742"/>
      <c r="W336" s="742"/>
      <c r="X336" s="742"/>
      <c r="Y336" s="720"/>
      <c r="Z336" s="720"/>
    </row>
    <row r="337" spans="1:26">
      <c r="A337" s="727" t="s">
        <v>875</v>
      </c>
      <c r="B337" s="727" t="s">
        <v>405</v>
      </c>
      <c r="C337" s="728">
        <v>328</v>
      </c>
      <c r="D337" s="727" t="str">
        <f>+A337</f>
        <v>4320</v>
      </c>
      <c r="E337" s="785" t="s">
        <v>876</v>
      </c>
      <c r="F337" s="731">
        <v>-301152.05</v>
      </c>
      <c r="G337" s="813">
        <v>-22929.03</v>
      </c>
      <c r="H337" s="733">
        <v>-42826.400000000001</v>
      </c>
      <c r="I337" s="733">
        <v>-72947.17</v>
      </c>
      <c r="J337" s="734">
        <v>-72054</v>
      </c>
      <c r="K337" s="735">
        <v>-102293.68</v>
      </c>
      <c r="L337" s="736">
        <v>-127016.07</v>
      </c>
      <c r="M337" s="737">
        <v>-159387.71</v>
      </c>
      <c r="N337" s="738">
        <v>-198194.02</v>
      </c>
      <c r="O337" s="756">
        <v>-227335.52</v>
      </c>
      <c r="P337" s="740">
        <v>-246439.59</v>
      </c>
      <c r="Q337" s="814">
        <v>-266243.59000000003</v>
      </c>
      <c r="R337" s="731">
        <v>-284974.61</v>
      </c>
      <c r="S337" s="733">
        <f t="shared" si="51"/>
        <v>-152560.8425</v>
      </c>
      <c r="T337" s="720"/>
      <c r="U337" s="742"/>
      <c r="V337" s="742"/>
      <c r="W337" s="742"/>
      <c r="X337" s="742"/>
      <c r="Y337" s="720"/>
      <c r="Z337" s="720"/>
    </row>
    <row r="338" spans="1:26">
      <c r="A338" s="727" t="s">
        <v>877</v>
      </c>
      <c r="B338" s="727" t="s">
        <v>405</v>
      </c>
      <c r="C338" s="728">
        <v>329</v>
      </c>
      <c r="D338" s="727" t="str">
        <f>+A338</f>
        <v>4170</v>
      </c>
      <c r="E338" s="785" t="s">
        <v>878</v>
      </c>
      <c r="F338" s="731">
        <v>-9824.85</v>
      </c>
      <c r="G338" s="813">
        <v>-619.09</v>
      </c>
      <c r="H338" s="733">
        <v>-963.86</v>
      </c>
      <c r="I338" s="733">
        <v>-1577.61</v>
      </c>
      <c r="J338" s="734">
        <v>-2193.21</v>
      </c>
      <c r="K338" s="735">
        <v>-2193.21</v>
      </c>
      <c r="L338" s="736">
        <v>-2193.21</v>
      </c>
      <c r="M338" s="737">
        <v>-2376.23</v>
      </c>
      <c r="N338" s="738">
        <v>-2619.19</v>
      </c>
      <c r="O338" s="756">
        <v>-3557.12</v>
      </c>
      <c r="P338" s="740">
        <v>-4236.55</v>
      </c>
      <c r="Q338" s="814">
        <v>-4896.0200000000004</v>
      </c>
      <c r="R338" s="731">
        <v>-6275.73</v>
      </c>
      <c r="S338" s="733">
        <f t="shared" si="51"/>
        <v>-2956.2991666666662</v>
      </c>
      <c r="T338" s="720"/>
      <c r="U338" s="742"/>
      <c r="V338" s="742"/>
      <c r="W338" s="742"/>
      <c r="X338" s="742"/>
      <c r="Y338" s="720"/>
      <c r="Z338" s="720"/>
    </row>
    <row r="339" spans="1:26">
      <c r="A339" s="703"/>
      <c r="B339" s="703"/>
      <c r="C339" s="728">
        <v>330</v>
      </c>
      <c r="D339" s="705"/>
      <c r="E339" s="785"/>
      <c r="F339" s="731"/>
      <c r="G339" s="813"/>
      <c r="H339" s="733"/>
      <c r="I339" s="733"/>
      <c r="J339" s="734"/>
      <c r="K339" s="735"/>
      <c r="L339" s="736"/>
      <c r="M339" s="737"/>
      <c r="N339" s="738"/>
      <c r="O339" s="756"/>
      <c r="P339" s="740"/>
      <c r="Q339" s="814"/>
      <c r="R339" s="731"/>
      <c r="S339" s="733">
        <f t="shared" si="51"/>
        <v>0</v>
      </c>
      <c r="T339" s="720"/>
      <c r="U339" s="742"/>
      <c r="V339" s="742"/>
      <c r="W339" s="742"/>
      <c r="X339" s="742"/>
      <c r="Y339" s="720"/>
      <c r="Z339" s="720"/>
    </row>
    <row r="340" spans="1:26">
      <c r="A340" s="703"/>
      <c r="B340" s="703"/>
      <c r="C340" s="728">
        <v>331</v>
      </c>
      <c r="D340" s="705"/>
      <c r="E340" s="785" t="s">
        <v>879</v>
      </c>
      <c r="F340" s="755">
        <f>SUM(F332:F338)</f>
        <v>-10129160.300000001</v>
      </c>
      <c r="G340" s="755">
        <f t="shared" ref="G340:S340" si="52">SUM(G332:G338)</f>
        <v>-82469.56</v>
      </c>
      <c r="H340" s="755">
        <f t="shared" si="52"/>
        <v>-150769.96</v>
      </c>
      <c r="I340" s="755">
        <f t="shared" si="52"/>
        <v>-279013.12999999995</v>
      </c>
      <c r="J340" s="755">
        <f t="shared" si="52"/>
        <v>-319782.92000000004</v>
      </c>
      <c r="K340" s="755">
        <f t="shared" si="52"/>
        <v>-436308.54000000004</v>
      </c>
      <c r="L340" s="755">
        <f t="shared" si="52"/>
        <v>-551849.12999999989</v>
      </c>
      <c r="M340" s="755">
        <f t="shared" si="52"/>
        <v>-681090.84</v>
      </c>
      <c r="N340" s="755">
        <f t="shared" si="52"/>
        <v>-913517.46</v>
      </c>
      <c r="O340" s="755">
        <f t="shared" si="52"/>
        <v>-1032557.98</v>
      </c>
      <c r="P340" s="755">
        <f t="shared" si="52"/>
        <v>-1116287.0200000003</v>
      </c>
      <c r="Q340" s="755">
        <f t="shared" si="52"/>
        <v>-1189909.81</v>
      </c>
      <c r="R340" s="755">
        <f t="shared" si="52"/>
        <v>-1280418.5899999999</v>
      </c>
      <c r="S340" s="755">
        <f t="shared" si="52"/>
        <v>-1038195.4829166668</v>
      </c>
      <c r="T340" s="720"/>
      <c r="U340" s="743">
        <f>S340</f>
        <v>-1038195.4829166668</v>
      </c>
      <c r="V340" s="742"/>
      <c r="W340" s="742"/>
      <c r="X340" s="743"/>
      <c r="Y340" s="720"/>
      <c r="Z340" s="720"/>
    </row>
    <row r="341" spans="1:26">
      <c r="A341" s="703"/>
      <c r="B341" s="703"/>
      <c r="C341" s="728">
        <v>332</v>
      </c>
      <c r="D341" s="705"/>
      <c r="E341" s="785"/>
      <c r="F341" s="731"/>
      <c r="G341" s="813"/>
      <c r="H341" s="733"/>
      <c r="I341" s="733"/>
      <c r="J341" s="734"/>
      <c r="K341" s="735"/>
      <c r="L341" s="736"/>
      <c r="M341" s="737"/>
      <c r="N341" s="738"/>
      <c r="O341" s="756"/>
      <c r="P341" s="740"/>
      <c r="Q341" s="814"/>
      <c r="R341" s="731"/>
      <c r="S341" s="733">
        <f t="shared" si="51"/>
        <v>0</v>
      </c>
      <c r="T341" s="720"/>
      <c r="U341" s="707"/>
      <c r="V341" s="707"/>
      <c r="W341" s="707"/>
      <c r="X341" s="707"/>
      <c r="Y341" s="720"/>
      <c r="Z341" s="720"/>
    </row>
    <row r="342" spans="1:26" ht="16.5" thickBot="1">
      <c r="A342" s="703"/>
      <c r="B342" s="703"/>
      <c r="C342" s="728">
        <v>333</v>
      </c>
      <c r="D342" s="705"/>
      <c r="E342" s="785" t="s">
        <v>880</v>
      </c>
      <c r="F342" s="833">
        <f>+F340+F330+F318+F312+F295+F275+F274+F273+F272+F271+F270+F269+F268+F266+F234+F213</f>
        <v>-957808188.96000004</v>
      </c>
      <c r="G342" s="833">
        <f t="shared" ref="G342:S342" si="53">+G340+G330+G318+G312+G295+G275+G274+G273+G272+G271+G270+G269+G268+G266+G234+G213</f>
        <v>-702758578.59000003</v>
      </c>
      <c r="H342" s="833">
        <f t="shared" si="53"/>
        <v>-735000254.90999997</v>
      </c>
      <c r="I342" s="833">
        <f t="shared" si="53"/>
        <v>-765442960.05999994</v>
      </c>
      <c r="J342" s="833">
        <f t="shared" si="53"/>
        <v>-772363559.81000018</v>
      </c>
      <c r="K342" s="833">
        <f t="shared" si="53"/>
        <v>-787640044.00999999</v>
      </c>
      <c r="L342" s="833">
        <f t="shared" si="53"/>
        <v>-797992253.01000011</v>
      </c>
      <c r="M342" s="833">
        <f t="shared" si="53"/>
        <v>-804112169.55000007</v>
      </c>
      <c r="N342" s="833">
        <f t="shared" si="53"/>
        <v>-813852966.13999999</v>
      </c>
      <c r="O342" s="833">
        <f t="shared" si="53"/>
        <v>-825107690.84000003</v>
      </c>
      <c r="P342" s="833">
        <f t="shared" si="53"/>
        <v>-852872870.34000003</v>
      </c>
      <c r="Q342" s="833">
        <f t="shared" si="53"/>
        <v>-886611525.82000005</v>
      </c>
      <c r="R342" s="833">
        <f t="shared" si="53"/>
        <v>-945811407.7700001</v>
      </c>
      <c r="S342" s="833">
        <f t="shared" si="53"/>
        <v>-807963722.62041676</v>
      </c>
      <c r="T342" s="707" t="s">
        <v>881</v>
      </c>
      <c r="U342" s="843">
        <f>SUM(U10:U341)</f>
        <v>-401629941.89166671</v>
      </c>
      <c r="V342" s="843">
        <f>SUM(V10:V341)</f>
        <v>333641208.78666663</v>
      </c>
      <c r="W342" s="843">
        <f>SUM(W10:W341)</f>
        <v>31260829.359166674</v>
      </c>
      <c r="X342" s="843">
        <f>SUM(X10:X341)</f>
        <v>36727903.7458333</v>
      </c>
      <c r="Y342" s="842"/>
      <c r="Z342" s="720"/>
    </row>
    <row r="343" spans="1:26" ht="16.5" thickTop="1">
      <c r="A343" s="703"/>
      <c r="B343" s="703"/>
      <c r="C343" s="728">
        <v>334</v>
      </c>
      <c r="D343" s="705"/>
      <c r="E343" s="785"/>
      <c r="F343" s="730"/>
      <c r="G343" s="730"/>
      <c r="H343" s="730"/>
      <c r="I343" s="730"/>
      <c r="J343" s="730"/>
      <c r="K343" s="730"/>
      <c r="L343" s="730"/>
      <c r="M343" s="730"/>
      <c r="N343" s="730"/>
      <c r="O343" s="730"/>
      <c r="P343" s="730"/>
      <c r="Q343" s="730"/>
      <c r="R343" s="730"/>
      <c r="S343" s="730"/>
      <c r="T343" s="711" t="s">
        <v>882</v>
      </c>
      <c r="U343" s="843"/>
      <c r="V343" s="843"/>
      <c r="W343" s="844">
        <f>W342+V342</f>
        <v>364902038.14583331</v>
      </c>
      <c r="X343" s="843"/>
      <c r="Y343" s="720"/>
      <c r="Z343" s="720"/>
    </row>
    <row r="344" spans="1:26">
      <c r="A344" s="703"/>
      <c r="B344" s="703"/>
      <c r="C344" s="728">
        <v>335</v>
      </c>
      <c r="D344" s="845"/>
      <c r="E344" s="785"/>
      <c r="F344" s="710"/>
      <c r="G344" s="710"/>
      <c r="H344" s="710"/>
      <c r="I344" s="710"/>
      <c r="J344" s="710"/>
      <c r="K344" s="710"/>
      <c r="L344" s="710"/>
      <c r="M344" s="710"/>
      <c r="N344" s="710"/>
      <c r="O344" s="710"/>
      <c r="P344" s="710"/>
      <c r="Q344" s="710"/>
      <c r="S344" s="730"/>
      <c r="T344" s="707" t="s">
        <v>883</v>
      </c>
      <c r="U344" s="842"/>
      <c r="V344" s="720"/>
      <c r="W344" s="846" t="s">
        <v>1012</v>
      </c>
      <c r="X344" s="847">
        <f>X342/W343</f>
        <v>0.10065140751873512</v>
      </c>
      <c r="Y344" s="720"/>
      <c r="Z344" s="720"/>
    </row>
    <row r="345" spans="1:26">
      <c r="A345" s="710"/>
      <c r="B345" s="710"/>
      <c r="C345" s="718"/>
      <c r="D345" s="710"/>
      <c r="E345" s="710"/>
      <c r="F345" s="705"/>
      <c r="G345" s="710"/>
      <c r="H345" s="710"/>
      <c r="I345" s="710"/>
      <c r="J345" s="710"/>
      <c r="K345" s="710"/>
      <c r="L345" s="710"/>
      <c r="M345" s="710"/>
      <c r="N345" s="710"/>
      <c r="O345" s="710"/>
      <c r="P345" s="710"/>
      <c r="Q345" s="710"/>
      <c r="R345" s="710"/>
      <c r="S345" s="705"/>
      <c r="T345" s="729"/>
      <c r="U345" s="720"/>
      <c r="V345" s="710"/>
      <c r="W345" s="710"/>
      <c r="X345" s="710"/>
      <c r="Y345" s="705"/>
      <c r="Z345" s="720"/>
    </row>
    <row r="346" spans="1:26">
      <c r="A346" s="710"/>
      <c r="B346" s="710"/>
      <c r="C346" s="718"/>
      <c r="D346" s="710"/>
      <c r="E346" s="710"/>
      <c r="F346" s="705"/>
      <c r="G346" s="710"/>
      <c r="H346" s="710"/>
      <c r="I346" s="710"/>
      <c r="J346" s="710"/>
      <c r="K346" s="710"/>
      <c r="L346" s="710"/>
      <c r="M346" s="710"/>
      <c r="N346" s="710"/>
      <c r="O346" s="710"/>
      <c r="P346" s="710"/>
      <c r="Q346" s="710"/>
      <c r="R346" s="710"/>
      <c r="S346" s="705"/>
      <c r="T346" s="729"/>
      <c r="U346" s="720"/>
      <c r="V346" s="710"/>
      <c r="W346" s="710"/>
      <c r="X346" s="710"/>
      <c r="Y346" s="705"/>
      <c r="Z346" s="720"/>
    </row>
    <row r="347" spans="1:26">
      <c r="A347" s="710"/>
      <c r="B347" s="710"/>
      <c r="C347" s="718"/>
      <c r="D347" s="710"/>
      <c r="E347" s="710"/>
      <c r="F347" s="705"/>
      <c r="G347" s="710"/>
      <c r="H347" s="710"/>
      <c r="I347" s="710"/>
      <c r="J347" s="710"/>
      <c r="K347" s="710"/>
      <c r="L347" s="710"/>
      <c r="M347" s="710"/>
      <c r="N347" s="710"/>
      <c r="O347" s="710"/>
      <c r="P347" s="710"/>
      <c r="Q347" s="710"/>
      <c r="R347" s="710"/>
      <c r="S347" s="705"/>
      <c r="T347" s="729"/>
      <c r="U347" s="720"/>
      <c r="V347" s="710"/>
      <c r="W347" s="710"/>
      <c r="X347" s="710"/>
      <c r="Y347" s="705"/>
      <c r="Z347" s="720"/>
    </row>
    <row r="348" spans="1:26">
      <c r="A348" s="710"/>
      <c r="B348" s="710"/>
      <c r="C348" s="718"/>
      <c r="D348" s="710"/>
      <c r="E348" s="710"/>
      <c r="F348" s="710"/>
      <c r="G348" s="710"/>
      <c r="H348" s="710"/>
      <c r="I348" s="705"/>
      <c r="J348" s="710"/>
      <c r="K348" s="710"/>
      <c r="L348" s="710"/>
      <c r="M348" s="710"/>
      <c r="N348" s="710"/>
      <c r="O348" s="710"/>
      <c r="P348" s="710"/>
      <c r="Q348" s="710"/>
      <c r="R348" s="710"/>
      <c r="S348" s="705"/>
      <c r="T348" s="729"/>
      <c r="U348" s="720"/>
      <c r="V348" s="710"/>
      <c r="W348" s="710"/>
      <c r="X348" s="710"/>
      <c r="Y348" s="705"/>
      <c r="Z348" s="720"/>
    </row>
    <row r="349" spans="1:26">
      <c r="A349" s="710"/>
      <c r="B349" s="710"/>
      <c r="C349" s="718"/>
      <c r="D349" s="710"/>
      <c r="E349" s="710"/>
      <c r="F349" s="710"/>
      <c r="G349" s="710"/>
      <c r="H349" s="710"/>
      <c r="I349" s="705"/>
      <c r="J349" s="710"/>
      <c r="K349" s="710"/>
      <c r="L349" s="710"/>
      <c r="M349" s="710"/>
      <c r="N349" s="710"/>
      <c r="O349" s="710"/>
      <c r="P349" s="710"/>
      <c r="Q349" s="710"/>
      <c r="R349" s="710"/>
      <c r="S349" s="705"/>
      <c r="T349" s="729"/>
      <c r="U349" s="720"/>
      <c r="V349" s="710"/>
      <c r="W349" s="710"/>
      <c r="X349" s="710"/>
      <c r="Y349" s="705"/>
      <c r="Z349" s="720"/>
    </row>
    <row r="350" spans="1:26">
      <c r="A350" s="710"/>
      <c r="B350" s="710"/>
      <c r="C350" s="718"/>
      <c r="D350" s="710"/>
      <c r="E350" s="710"/>
      <c r="F350" s="710"/>
      <c r="G350" s="710"/>
      <c r="H350" s="710"/>
      <c r="I350" s="710"/>
      <c r="J350" s="710"/>
      <c r="K350" s="710"/>
      <c r="L350" s="710"/>
      <c r="M350" s="705"/>
      <c r="N350" s="710"/>
      <c r="O350" s="710"/>
      <c r="P350" s="710"/>
      <c r="Q350" s="710"/>
      <c r="R350" s="710"/>
      <c r="S350" s="705"/>
      <c r="T350" s="729"/>
      <c r="U350" s="720"/>
      <c r="V350" s="710"/>
      <c r="W350" s="710"/>
      <c r="X350" s="710"/>
      <c r="Y350" s="705"/>
      <c r="Z350" s="720"/>
    </row>
    <row r="351" spans="1:26">
      <c r="A351" s="710"/>
      <c r="B351" s="710"/>
      <c r="C351" s="718"/>
      <c r="D351" s="710"/>
      <c r="E351" s="710"/>
      <c r="F351" s="710"/>
      <c r="G351" s="710"/>
      <c r="H351" s="710"/>
      <c r="I351" s="710"/>
      <c r="J351" s="710"/>
      <c r="K351" s="710"/>
      <c r="L351" s="710"/>
      <c r="M351" s="705"/>
      <c r="N351" s="710"/>
      <c r="O351" s="710"/>
      <c r="P351" s="710"/>
      <c r="Q351" s="710"/>
      <c r="R351" s="710"/>
      <c r="S351" s="705"/>
      <c r="T351" s="729"/>
      <c r="U351" s="720"/>
      <c r="V351" s="710"/>
      <c r="W351" s="710"/>
      <c r="X351" s="710"/>
      <c r="Y351" s="705"/>
      <c r="Z351" s="720"/>
    </row>
    <row r="352" spans="1:26">
      <c r="A352" s="710"/>
      <c r="B352" s="710"/>
      <c r="C352" s="718"/>
      <c r="D352" s="710"/>
      <c r="E352" s="710"/>
      <c r="F352" s="710"/>
      <c r="G352" s="710"/>
      <c r="H352" s="710"/>
      <c r="I352" s="710"/>
      <c r="J352" s="710"/>
      <c r="K352" s="710"/>
      <c r="L352" s="710"/>
      <c r="M352" s="710"/>
      <c r="N352" s="705"/>
      <c r="O352" s="710"/>
      <c r="P352" s="710"/>
      <c r="Q352" s="710"/>
      <c r="R352" s="710"/>
      <c r="S352" s="705"/>
      <c r="T352" s="729"/>
      <c r="U352" s="729"/>
      <c r="V352" s="705"/>
      <c r="W352" s="705"/>
      <c r="X352" s="705"/>
      <c r="Y352" s="705"/>
      <c r="Z352" s="720"/>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N17"/>
  <sheetViews>
    <sheetView view="pageBreakPreview" zoomScaleNormal="100" zoomScaleSheetLayoutView="100" workbookViewId="0">
      <selection activeCell="D27" sqref="D27"/>
    </sheetView>
  </sheetViews>
  <sheetFormatPr defaultColWidth="9.140625" defaultRowHeight="15.75"/>
  <cols>
    <col min="1" max="1" width="1.42578125" style="5" customWidth="1"/>
    <col min="2" max="2" width="2.5703125" style="5" customWidth="1"/>
    <col min="3" max="3" width="10.5703125" style="7" bestFit="1" customWidth="1"/>
    <col min="4" max="4" width="43" style="5" bestFit="1" customWidth="1"/>
    <col min="5" max="5" width="4.140625" style="5" customWidth="1"/>
    <col min="6" max="6" width="17.5703125" style="5" bestFit="1" customWidth="1"/>
    <col min="7" max="7" width="6" style="5" customWidth="1"/>
    <col min="8" max="8" width="10.140625" style="5" bestFit="1" customWidth="1"/>
    <col min="9" max="9" width="5.140625" style="5" customWidth="1"/>
    <col min="10" max="10" width="13.7109375" style="5" bestFit="1" customWidth="1"/>
    <col min="11" max="13" width="9.140625" style="5"/>
    <col min="14" max="14" width="13.85546875" style="5" bestFit="1" customWidth="1"/>
    <col min="15" max="16384" width="9.140625" style="5"/>
  </cols>
  <sheetData>
    <row r="1" spans="2:14">
      <c r="B1" s="487"/>
      <c r="C1" s="1287" t="s">
        <v>56</v>
      </c>
      <c r="D1" s="1287"/>
      <c r="E1" s="1287"/>
      <c r="F1" s="1287"/>
      <c r="G1" s="1287"/>
      <c r="H1" s="1287"/>
      <c r="I1" s="1287"/>
      <c r="J1" s="1287"/>
      <c r="K1" s="488"/>
      <c r="L1" s="489"/>
      <c r="M1" s="488"/>
    </row>
    <row r="2" spans="2:14">
      <c r="B2" s="487"/>
      <c r="C2" s="1287" t="s">
        <v>1609</v>
      </c>
      <c r="D2" s="1287"/>
      <c r="E2" s="1287"/>
      <c r="F2" s="1287"/>
      <c r="G2" s="1287"/>
      <c r="H2" s="1287"/>
      <c r="I2" s="1287"/>
      <c r="J2" s="1287"/>
      <c r="K2" s="490"/>
      <c r="L2" s="490"/>
      <c r="M2" s="490"/>
    </row>
    <row r="3" spans="2:14">
      <c r="B3" s="487"/>
      <c r="C3" s="1287"/>
      <c r="D3" s="1287"/>
      <c r="E3" s="1287"/>
      <c r="F3" s="1287"/>
      <c r="G3" s="1287"/>
      <c r="H3" s="1287"/>
      <c r="I3" s="1287"/>
      <c r="J3" s="1287"/>
      <c r="K3" s="490"/>
      <c r="L3" s="490"/>
      <c r="M3" s="490"/>
    </row>
    <row r="4" spans="2:14">
      <c r="B4" s="487"/>
      <c r="C4" s="1287" t="s">
        <v>974</v>
      </c>
      <c r="D4" s="1287"/>
      <c r="E4" s="1287"/>
      <c r="F4" s="1287"/>
      <c r="G4" s="1287"/>
      <c r="H4" s="1287"/>
      <c r="I4" s="1287"/>
      <c r="J4" s="1287"/>
      <c r="K4" s="491"/>
      <c r="L4" s="491"/>
      <c r="M4" s="491"/>
    </row>
    <row r="5" spans="2:14">
      <c r="B5" s="487"/>
      <c r="C5" s="1287" t="s">
        <v>980</v>
      </c>
      <c r="D5" s="1287"/>
      <c r="E5" s="1287"/>
      <c r="F5" s="1287"/>
      <c r="G5" s="1287"/>
      <c r="H5" s="1287"/>
      <c r="I5" s="1287"/>
      <c r="J5" s="1287"/>
      <c r="K5" s="492"/>
      <c r="L5" s="492"/>
      <c r="M5" s="492"/>
    </row>
    <row r="6" spans="2:14">
      <c r="E6" s="1288"/>
      <c r="F6" s="1288"/>
      <c r="G6" s="1288"/>
      <c r="H6" s="1288"/>
      <c r="I6" s="1288"/>
      <c r="J6" s="1288"/>
    </row>
    <row r="7" spans="2:14">
      <c r="B7" s="493"/>
      <c r="C7" s="494"/>
      <c r="D7" s="487"/>
      <c r="E7" s="488"/>
      <c r="F7" s="488"/>
      <c r="G7" s="488"/>
      <c r="H7" s="488"/>
      <c r="I7" s="488"/>
      <c r="J7" s="488"/>
      <c r="K7" s="493"/>
      <c r="L7" s="493"/>
      <c r="M7" s="487"/>
    </row>
    <row r="8" spans="2:14" s="7" customFormat="1">
      <c r="B8" s="495"/>
      <c r="C8" s="496" t="s">
        <v>43</v>
      </c>
      <c r="D8" s="496" t="s">
        <v>1623</v>
      </c>
      <c r="E8" s="496"/>
      <c r="F8" s="496" t="s">
        <v>1621</v>
      </c>
      <c r="G8" s="496"/>
      <c r="H8" s="496" t="s">
        <v>1624</v>
      </c>
      <c r="I8" s="496"/>
      <c r="J8" s="496" t="s">
        <v>1625</v>
      </c>
      <c r="K8" s="495"/>
      <c r="L8" s="497"/>
      <c r="M8" s="496"/>
    </row>
    <row r="9" spans="2:14">
      <c r="B9" s="493"/>
      <c r="C9" s="498" t="s">
        <v>1620</v>
      </c>
      <c r="D9" s="499" t="s">
        <v>44</v>
      </c>
      <c r="E9" s="500"/>
      <c r="F9" s="500" t="s">
        <v>45</v>
      </c>
      <c r="G9" s="500"/>
      <c r="H9" s="501" t="s">
        <v>46</v>
      </c>
      <c r="I9" s="501"/>
      <c r="J9" s="502" t="s">
        <v>47</v>
      </c>
      <c r="K9" s="493"/>
      <c r="L9" s="493"/>
      <c r="M9" s="487"/>
    </row>
    <row r="10" spans="2:14">
      <c r="B10" s="493"/>
      <c r="C10" s="480"/>
      <c r="D10" s="503"/>
      <c r="E10" s="503"/>
      <c r="F10" s="503"/>
      <c r="G10" s="503"/>
      <c r="H10" s="503"/>
      <c r="I10" s="503"/>
      <c r="J10" s="504" t="s">
        <v>46</v>
      </c>
      <c r="K10" s="493"/>
      <c r="L10" s="493"/>
      <c r="M10" s="487"/>
    </row>
    <row r="11" spans="2:14">
      <c r="C11" s="480">
        <v>1</v>
      </c>
      <c r="D11" s="505" t="s">
        <v>48</v>
      </c>
      <c r="E11" s="503"/>
      <c r="F11" s="1026">
        <v>0.52690000000000003</v>
      </c>
      <c r="G11" s="507"/>
      <c r="H11" s="508">
        <v>5.2949999999999997E-2</v>
      </c>
      <c r="I11" s="509"/>
      <c r="J11" s="510">
        <f>ROUND(+F11*H11,5)</f>
        <v>2.7900000000000001E-2</v>
      </c>
      <c r="K11" s="493"/>
      <c r="L11" s="511"/>
      <c r="M11" s="487"/>
      <c r="N11" s="512"/>
    </row>
    <row r="12" spans="2:14">
      <c r="C12" s="480">
        <v>2</v>
      </c>
      <c r="D12" s="505" t="s">
        <v>49</v>
      </c>
      <c r="E12" s="503"/>
      <c r="F12" s="506">
        <v>0</v>
      </c>
      <c r="G12" s="507"/>
      <c r="H12" s="508">
        <v>0</v>
      </c>
      <c r="I12" s="509"/>
      <c r="J12" s="510">
        <f>ROUND(+F12*H12,5)</f>
        <v>0</v>
      </c>
      <c r="K12" s="493"/>
      <c r="L12" s="511"/>
      <c r="M12" s="487"/>
    </row>
    <row r="13" spans="2:14">
      <c r="C13" s="480">
        <v>3</v>
      </c>
      <c r="D13" s="505" t="s">
        <v>50</v>
      </c>
      <c r="E13" s="503"/>
      <c r="F13" s="1026">
        <f>1-F11</f>
        <v>0.47309999999999997</v>
      </c>
      <c r="G13" s="507"/>
      <c r="H13" s="1015">
        <v>9.35E-2</v>
      </c>
      <c r="I13" s="509"/>
      <c r="J13" s="510">
        <f>ROUND(+F13*H13,5)</f>
        <v>4.4229999999999998E-2</v>
      </c>
      <c r="K13" s="493"/>
      <c r="L13" s="511"/>
      <c r="M13" s="487"/>
    </row>
    <row r="14" spans="2:14" ht="16.5" thickBot="1">
      <c r="B14" s="493"/>
      <c r="C14" s="480">
        <v>4</v>
      </c>
      <c r="D14" s="505" t="s">
        <v>51</v>
      </c>
      <c r="E14" s="503"/>
      <c r="F14" s="513">
        <f>SUM(F11:F13)</f>
        <v>1</v>
      </c>
      <c r="G14" s="507"/>
      <c r="H14" s="507"/>
      <c r="I14" s="509"/>
      <c r="J14" s="1027">
        <f>SUM(J11:J13)</f>
        <v>7.213E-2</v>
      </c>
      <c r="K14" s="493"/>
      <c r="L14" s="493"/>
      <c r="M14" s="487"/>
    </row>
    <row r="15" spans="2:14" ht="16.5" thickTop="1">
      <c r="B15" s="493"/>
      <c r="C15" s="514"/>
      <c r="D15" s="515"/>
      <c r="E15" s="515"/>
      <c r="F15" s="515"/>
      <c r="G15" s="515"/>
      <c r="H15" s="515"/>
      <c r="I15" s="515"/>
      <c r="J15" s="516"/>
      <c r="K15" s="493"/>
      <c r="L15" s="493"/>
      <c r="M15" s="487"/>
    </row>
    <row r="16" spans="2:14">
      <c r="B16" s="493"/>
      <c r="C16" s="495"/>
      <c r="D16" s="493"/>
      <c r="E16" s="493"/>
      <c r="F16" s="493"/>
      <c r="G16" s="493"/>
      <c r="H16" s="493"/>
      <c r="I16" s="493"/>
      <c r="J16" s="493"/>
      <c r="K16" s="493"/>
      <c r="L16" s="493"/>
      <c r="M16" s="487"/>
    </row>
    <row r="17" spans="2:12">
      <c r="B17" s="487"/>
      <c r="C17" s="496"/>
      <c r="D17" s="487" t="s">
        <v>2015</v>
      </c>
      <c r="E17" s="487"/>
      <c r="F17" s="487"/>
      <c r="G17" s="487"/>
      <c r="H17" s="487"/>
      <c r="I17" s="487"/>
      <c r="J17" s="487"/>
      <c r="K17" s="487"/>
      <c r="L17" s="487"/>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AA232"/>
  <sheetViews>
    <sheetView topLeftCell="A200" zoomScale="85" zoomScaleNormal="85" workbookViewId="0">
      <selection activeCell="P227" sqref="P227"/>
    </sheetView>
  </sheetViews>
  <sheetFormatPr defaultColWidth="9.140625" defaultRowHeight="15.75"/>
  <cols>
    <col min="1" max="1" width="9.140625" style="7"/>
    <col min="2" max="2" width="14.140625" style="5" bestFit="1" customWidth="1"/>
    <col min="3" max="3" width="48.42578125" style="5" bestFit="1" customWidth="1"/>
    <col min="4" max="15" width="0" style="5" hidden="1" customWidth="1"/>
    <col min="16" max="16" width="17.85546875" style="5" bestFit="1" customWidth="1"/>
    <col min="17" max="17" width="9.42578125" style="5" bestFit="1" customWidth="1"/>
    <col min="18" max="18" width="16.7109375" style="5" bestFit="1" customWidth="1"/>
    <col min="19" max="19" width="9.28515625" style="5" bestFit="1" customWidth="1"/>
    <col min="20" max="20" width="16" style="5" bestFit="1" customWidth="1"/>
    <col min="21" max="23" width="12.140625" style="5" hidden="1" customWidth="1"/>
    <col min="24" max="24" width="18" style="5" bestFit="1" customWidth="1"/>
    <col min="25" max="25" width="12.28515625" style="5" bestFit="1" customWidth="1"/>
    <col min="26" max="26" width="28.28515625" style="1277" customWidth="1"/>
    <col min="27" max="16384" width="9.140625" style="5"/>
  </cols>
  <sheetData>
    <row r="1" spans="1:26">
      <c r="O1" s="1289" t="s">
        <v>114</v>
      </c>
      <c r="P1" s="1290"/>
      <c r="Q1" s="1290"/>
      <c r="R1" s="1291"/>
    </row>
    <row r="2" spans="1:26">
      <c r="O2" s="1292" t="s">
        <v>1608</v>
      </c>
      <c r="P2" s="1285"/>
      <c r="Q2" s="1285"/>
      <c r="R2" s="1293"/>
    </row>
    <row r="3" spans="1:26">
      <c r="O3" s="1292" t="s">
        <v>985</v>
      </c>
      <c r="P3" s="1285"/>
      <c r="Q3" s="1285"/>
      <c r="R3" s="1293"/>
    </row>
    <row r="4" spans="1:26">
      <c r="O4" s="1294"/>
      <c r="P4" s="1295"/>
      <c r="Q4" s="1295"/>
      <c r="R4" s="1296"/>
    </row>
    <row r="7" spans="1:26" ht="126">
      <c r="A7" s="955" t="s">
        <v>886</v>
      </c>
      <c r="B7" s="218" t="s">
        <v>1368</v>
      </c>
      <c r="C7" s="218" t="s">
        <v>1369</v>
      </c>
      <c r="D7" s="219" t="s">
        <v>1370</v>
      </c>
      <c r="E7" s="220" t="s">
        <v>1371</v>
      </c>
      <c r="F7" s="220" t="s">
        <v>1372</v>
      </c>
      <c r="G7" s="220" t="s">
        <v>1373</v>
      </c>
      <c r="H7" s="220" t="s">
        <v>1127</v>
      </c>
      <c r="I7" s="221" t="s">
        <v>1374</v>
      </c>
      <c r="J7" s="222" t="s">
        <v>1375</v>
      </c>
      <c r="K7" s="222" t="s">
        <v>1376</v>
      </c>
      <c r="L7" s="222" t="s">
        <v>1377</v>
      </c>
      <c r="M7" s="222" t="s">
        <v>1378</v>
      </c>
      <c r="N7" s="222" t="s">
        <v>1379</v>
      </c>
      <c r="O7" s="223" t="s">
        <v>1380</v>
      </c>
      <c r="P7" s="224" t="s">
        <v>1381</v>
      </c>
      <c r="Q7" s="224" t="s">
        <v>1382</v>
      </c>
      <c r="R7" s="225" t="s">
        <v>2009</v>
      </c>
      <c r="S7" s="218" t="s">
        <v>1384</v>
      </c>
      <c r="T7" s="218" t="s">
        <v>107</v>
      </c>
      <c r="U7" s="226" t="s">
        <v>1385</v>
      </c>
      <c r="V7" s="227" t="s">
        <v>1386</v>
      </c>
      <c r="W7" s="225" t="s">
        <v>1383</v>
      </c>
      <c r="X7" s="218" t="s">
        <v>1387</v>
      </c>
      <c r="Y7" s="218" t="s">
        <v>1388</v>
      </c>
      <c r="Z7" s="1278" t="s">
        <v>2119</v>
      </c>
    </row>
    <row r="8" spans="1:26">
      <c r="A8" s="7">
        <v>1</v>
      </c>
      <c r="B8" s="228" t="s">
        <v>1389</v>
      </c>
      <c r="C8" s="228" t="s">
        <v>1390</v>
      </c>
      <c r="D8" s="229">
        <v>4579.78</v>
      </c>
      <c r="E8" s="230">
        <v>5301.53</v>
      </c>
      <c r="F8" s="230">
        <v>16669.349999999999</v>
      </c>
      <c r="G8" s="230">
        <v>14555.130000000001</v>
      </c>
      <c r="H8" s="230">
        <v>13030.86</v>
      </c>
      <c r="I8" s="231">
        <v>5648.89</v>
      </c>
      <c r="J8" s="232">
        <v>27209.15</v>
      </c>
      <c r="K8" s="232">
        <v>27359.22</v>
      </c>
      <c r="L8" s="232">
        <v>27510.100000000002</v>
      </c>
      <c r="M8" s="232">
        <v>27661.82</v>
      </c>
      <c r="N8" s="232">
        <v>27814.38</v>
      </c>
      <c r="O8" s="232">
        <v>27967.77</v>
      </c>
      <c r="P8" s="233">
        <v>43100</v>
      </c>
      <c r="Q8" s="234">
        <v>303</v>
      </c>
      <c r="R8" s="235">
        <v>225307.98</v>
      </c>
      <c r="S8" s="935">
        <f>+'State Allocation Formulas'!$L$25</f>
        <v>0.77239999999999998</v>
      </c>
      <c r="T8" s="236">
        <f>+R8*S8</f>
        <v>174027.88375199999</v>
      </c>
      <c r="U8" s="237">
        <f>SUM(D8:I8)</f>
        <v>59785.539999999994</v>
      </c>
      <c r="V8" s="238">
        <f>SUM(J8:O8)</f>
        <v>165522.44</v>
      </c>
      <c r="W8" s="235">
        <f>U8+V8</f>
        <v>225307.97999999998</v>
      </c>
      <c r="X8" s="1024"/>
      <c r="Y8" s="240">
        <v>7</v>
      </c>
      <c r="Z8" s="1279"/>
    </row>
    <row r="9" spans="1:26">
      <c r="A9" s="7">
        <v>2</v>
      </c>
      <c r="B9" s="228" t="s">
        <v>1389</v>
      </c>
      <c r="C9" s="228" t="s">
        <v>1391</v>
      </c>
      <c r="D9" s="229">
        <v>2229</v>
      </c>
      <c r="E9" s="230">
        <v>1521.7</v>
      </c>
      <c r="F9" s="230">
        <v>2380.2600000000002</v>
      </c>
      <c r="G9" s="230">
        <v>3474.1</v>
      </c>
      <c r="H9" s="230">
        <v>25379.87</v>
      </c>
      <c r="I9" s="231">
        <v>55296.959999999999</v>
      </c>
      <c r="J9" s="232">
        <v>23211.14</v>
      </c>
      <c r="K9" s="232">
        <v>34103.15</v>
      </c>
      <c r="L9" s="232">
        <v>34291.230000000003</v>
      </c>
      <c r="M9" s="232">
        <v>34480.35</v>
      </c>
      <c r="N9" s="232">
        <v>34670.5</v>
      </c>
      <c r="O9" s="232">
        <v>45625.72</v>
      </c>
      <c r="P9" s="233">
        <v>43100</v>
      </c>
      <c r="Q9" s="234">
        <v>303</v>
      </c>
      <c r="R9" s="235">
        <v>296663.98</v>
      </c>
      <c r="S9" s="935">
        <f>+'State Allocation Formulas'!$L$25</f>
        <v>0.77239999999999998</v>
      </c>
      <c r="T9" s="236">
        <f t="shared" ref="T9:T21" si="0">+R9*S9</f>
        <v>229143.25815199997</v>
      </c>
      <c r="U9" s="237">
        <f t="shared" ref="U9:U22" si="1">SUM(D9:I9)</f>
        <v>90281.89</v>
      </c>
      <c r="V9" s="238">
        <f t="shared" ref="V9:V22" si="2">SUM(J9:O9)</f>
        <v>206382.09</v>
      </c>
      <c r="W9" s="235">
        <f t="shared" ref="W9:W22" si="3">U9+V9</f>
        <v>296663.98</v>
      </c>
      <c r="X9" s="239"/>
      <c r="Y9" s="240" t="s">
        <v>1395</v>
      </c>
      <c r="Z9" s="1279"/>
    </row>
    <row r="10" spans="1:26">
      <c r="A10" s="7">
        <v>3</v>
      </c>
      <c r="B10" s="228" t="s">
        <v>1389</v>
      </c>
      <c r="C10" s="228" t="s">
        <v>1392</v>
      </c>
      <c r="D10" s="229">
        <v>2244.94</v>
      </c>
      <c r="E10" s="230">
        <v>0</v>
      </c>
      <c r="F10" s="230">
        <v>0</v>
      </c>
      <c r="G10" s="230">
        <v>0</v>
      </c>
      <c r="H10" s="230">
        <v>0</v>
      </c>
      <c r="I10" s="231">
        <v>0</v>
      </c>
      <c r="J10" s="232">
        <v>0</v>
      </c>
      <c r="K10" s="232">
        <v>0</v>
      </c>
      <c r="L10" s="232">
        <v>0</v>
      </c>
      <c r="M10" s="232">
        <v>0</v>
      </c>
      <c r="N10" s="232">
        <v>0</v>
      </c>
      <c r="O10" s="232">
        <v>0</v>
      </c>
      <c r="P10" s="233">
        <v>42124</v>
      </c>
      <c r="Q10" s="234">
        <v>303</v>
      </c>
      <c r="R10" s="235">
        <v>2244.94</v>
      </c>
      <c r="S10" s="935">
        <f>+'State Allocation Formulas'!$L$25</f>
        <v>0.77239999999999998</v>
      </c>
      <c r="T10" s="236">
        <f t="shared" si="0"/>
        <v>1733.9916559999999</v>
      </c>
      <c r="U10" s="237">
        <f t="shared" si="1"/>
        <v>2244.94</v>
      </c>
      <c r="V10" s="238">
        <f t="shared" si="2"/>
        <v>0</v>
      </c>
      <c r="W10" s="235">
        <f t="shared" si="3"/>
        <v>2244.94</v>
      </c>
      <c r="X10" s="239"/>
      <c r="Y10" s="240">
        <v>9</v>
      </c>
      <c r="Z10" s="1279"/>
    </row>
    <row r="11" spans="1:26">
      <c r="A11" s="7">
        <v>4</v>
      </c>
      <c r="B11" s="228" t="s">
        <v>1389</v>
      </c>
      <c r="C11" s="228" t="s">
        <v>1393</v>
      </c>
      <c r="D11" s="229">
        <v>181.94</v>
      </c>
      <c r="E11" s="230">
        <v>183.04</v>
      </c>
      <c r="F11" s="230">
        <v>184.16</v>
      </c>
      <c r="G11" s="230">
        <v>0</v>
      </c>
      <c r="H11" s="241">
        <v>0</v>
      </c>
      <c r="I11" s="231">
        <v>0</v>
      </c>
      <c r="J11" s="232">
        <v>0</v>
      </c>
      <c r="K11" s="232">
        <v>0</v>
      </c>
      <c r="L11" s="232">
        <v>0</v>
      </c>
      <c r="M11" s="232">
        <v>0</v>
      </c>
      <c r="N11" s="232">
        <v>0</v>
      </c>
      <c r="O11" s="232">
        <v>0</v>
      </c>
      <c r="P11" s="233">
        <v>40908</v>
      </c>
      <c r="Q11" s="234">
        <v>303</v>
      </c>
      <c r="R11" s="235">
        <v>549.14</v>
      </c>
      <c r="S11" s="935">
        <f>+'State Allocation Formulas'!$L$25</f>
        <v>0.77239999999999998</v>
      </c>
      <c r="T11" s="236">
        <f t="shared" si="0"/>
        <v>424.15573599999999</v>
      </c>
      <c r="U11" s="237">
        <f t="shared" si="1"/>
        <v>549.14</v>
      </c>
      <c r="V11" s="238">
        <f t="shared" si="2"/>
        <v>0</v>
      </c>
      <c r="W11" s="235">
        <f t="shared" si="3"/>
        <v>549.14</v>
      </c>
      <c r="X11" s="239"/>
      <c r="Y11" s="240" t="s">
        <v>1395</v>
      </c>
      <c r="Z11" s="1279"/>
    </row>
    <row r="12" spans="1:26">
      <c r="A12" s="7">
        <v>5</v>
      </c>
      <c r="B12" s="228" t="s">
        <v>1389</v>
      </c>
      <c r="C12" s="228" t="s">
        <v>1394</v>
      </c>
      <c r="D12" s="229">
        <v>5053.25</v>
      </c>
      <c r="E12" s="230">
        <v>3746.89</v>
      </c>
      <c r="F12" s="230">
        <v>11336.18</v>
      </c>
      <c r="G12" s="230">
        <v>117570.51000000001</v>
      </c>
      <c r="H12" s="230">
        <v>717.04</v>
      </c>
      <c r="I12" s="231">
        <v>17165.09</v>
      </c>
      <c r="J12" s="232">
        <v>61108.6</v>
      </c>
      <c r="K12" s="232">
        <v>29153.62</v>
      </c>
      <c r="L12" s="232">
        <v>29314.41</v>
      </c>
      <c r="M12" s="232">
        <v>11500.19</v>
      </c>
      <c r="N12" s="232">
        <v>11563.62</v>
      </c>
      <c r="O12" s="232">
        <v>11627.39</v>
      </c>
      <c r="P12" s="233">
        <v>43220</v>
      </c>
      <c r="Q12" s="234">
        <v>303</v>
      </c>
      <c r="R12" s="235">
        <v>309856.78999999998</v>
      </c>
      <c r="S12" s="935">
        <f>+'State Allocation Formulas'!$L$25</f>
        <v>0.77239999999999998</v>
      </c>
      <c r="T12" s="236">
        <f t="shared" si="0"/>
        <v>239333.38459599999</v>
      </c>
      <c r="U12" s="237">
        <f t="shared" si="1"/>
        <v>155588.96000000002</v>
      </c>
      <c r="V12" s="238">
        <f t="shared" si="2"/>
        <v>154267.83000000002</v>
      </c>
      <c r="W12" s="235">
        <f t="shared" si="3"/>
        <v>309856.79000000004</v>
      </c>
      <c r="X12" s="239"/>
      <c r="Y12" s="240" t="s">
        <v>1395</v>
      </c>
      <c r="Z12" s="1279"/>
    </row>
    <row r="13" spans="1:26">
      <c r="A13" s="7">
        <v>6</v>
      </c>
      <c r="B13" s="228" t="s">
        <v>1389</v>
      </c>
      <c r="C13" s="228" t="s">
        <v>1396</v>
      </c>
      <c r="D13" s="229">
        <v>2454.19</v>
      </c>
      <c r="E13" s="230">
        <v>48.44</v>
      </c>
      <c r="F13" s="230">
        <v>10572.23</v>
      </c>
      <c r="G13" s="230">
        <v>1015.26</v>
      </c>
      <c r="H13" s="230">
        <v>819.62</v>
      </c>
      <c r="I13" s="231">
        <v>56207.33</v>
      </c>
      <c r="J13" s="232">
        <v>30556.83</v>
      </c>
      <c r="K13" s="232">
        <v>30725.350000000002</v>
      </c>
      <c r="L13" s="232">
        <v>38346.35</v>
      </c>
      <c r="M13" s="232">
        <v>38557.840000000004</v>
      </c>
      <c r="N13" s="232">
        <v>38770.480000000003</v>
      </c>
      <c r="O13" s="232">
        <v>38984.31</v>
      </c>
      <c r="P13" s="233">
        <v>44531</v>
      </c>
      <c r="Q13" s="234">
        <v>303</v>
      </c>
      <c r="R13" s="235">
        <v>287058.23</v>
      </c>
      <c r="S13" s="935">
        <f>+'State Allocation Formulas'!$L$25</f>
        <v>0.77239999999999998</v>
      </c>
      <c r="T13" s="236">
        <f t="shared" si="0"/>
        <v>221723.77685199998</v>
      </c>
      <c r="U13" s="237">
        <f t="shared" si="1"/>
        <v>71117.070000000007</v>
      </c>
      <c r="V13" s="238">
        <f t="shared" si="2"/>
        <v>215941.16</v>
      </c>
      <c r="W13" s="235">
        <f t="shared" si="3"/>
        <v>287058.23</v>
      </c>
      <c r="X13" s="239"/>
      <c r="Y13" s="240">
        <v>35</v>
      </c>
      <c r="Z13" s="1279"/>
    </row>
    <row r="14" spans="1:26">
      <c r="A14" s="7">
        <v>7</v>
      </c>
      <c r="B14" s="228" t="s">
        <v>1389</v>
      </c>
      <c r="C14" s="228" t="s">
        <v>1397</v>
      </c>
      <c r="D14" s="229">
        <v>2512.64</v>
      </c>
      <c r="E14" s="230">
        <v>0</v>
      </c>
      <c r="F14" s="230">
        <v>-2512.64</v>
      </c>
      <c r="G14" s="230">
        <v>0</v>
      </c>
      <c r="H14" s="230">
        <v>3424.3</v>
      </c>
      <c r="I14" s="231">
        <v>1567.31</v>
      </c>
      <c r="J14" s="232">
        <v>12944.33</v>
      </c>
      <c r="K14" s="232">
        <v>14272.32</v>
      </c>
      <c r="L14" s="232">
        <v>14351.02</v>
      </c>
      <c r="M14" s="232">
        <v>14430.17</v>
      </c>
      <c r="N14" s="232">
        <v>14509.76</v>
      </c>
      <c r="O14" s="232">
        <v>14589.77</v>
      </c>
      <c r="P14" s="233">
        <v>43830</v>
      </c>
      <c r="Q14" s="234">
        <v>303</v>
      </c>
      <c r="R14" s="235">
        <v>90088.98</v>
      </c>
      <c r="S14" s="935">
        <f>+'State Allocation Formulas'!$L$25</f>
        <v>0.77239999999999998</v>
      </c>
      <c r="T14" s="236">
        <f t="shared" si="0"/>
        <v>69584.728151999996</v>
      </c>
      <c r="U14" s="237">
        <f t="shared" si="1"/>
        <v>4991.6100000000006</v>
      </c>
      <c r="V14" s="238">
        <f t="shared" si="2"/>
        <v>85097.37</v>
      </c>
      <c r="W14" s="235">
        <f t="shared" si="3"/>
        <v>90088.98</v>
      </c>
      <c r="X14" s="239"/>
      <c r="Y14" s="240" t="s">
        <v>1395</v>
      </c>
      <c r="Z14" s="1279"/>
    </row>
    <row r="15" spans="1:26">
      <c r="A15" s="7">
        <v>8</v>
      </c>
      <c r="B15" s="228" t="s">
        <v>1389</v>
      </c>
      <c r="C15" s="228" t="s">
        <v>1398</v>
      </c>
      <c r="D15" s="229">
        <v>19907.98</v>
      </c>
      <c r="E15" s="230">
        <v>22622.22</v>
      </c>
      <c r="F15" s="230">
        <v>17942.170000000002</v>
      </c>
      <c r="G15" s="230">
        <v>16316.140000000001</v>
      </c>
      <c r="H15" s="230">
        <v>23348.65</v>
      </c>
      <c r="I15" s="231">
        <v>11262.17</v>
      </c>
      <c r="J15" s="232">
        <v>42078.99</v>
      </c>
      <c r="K15" s="232">
        <v>41063.99</v>
      </c>
      <c r="L15" s="232">
        <v>41063.99</v>
      </c>
      <c r="M15" s="232">
        <v>41063.99</v>
      </c>
      <c r="N15" s="232">
        <v>0</v>
      </c>
      <c r="O15" s="232">
        <v>0</v>
      </c>
      <c r="P15" s="233">
        <v>42917</v>
      </c>
      <c r="Q15" s="234">
        <v>303</v>
      </c>
      <c r="R15" s="235">
        <v>276670.28999999998</v>
      </c>
      <c r="S15" s="935">
        <f>+'State Allocation Formulas'!$L$25</f>
        <v>0.77239999999999998</v>
      </c>
      <c r="T15" s="236">
        <f t="shared" si="0"/>
        <v>213700.13199599998</v>
      </c>
      <c r="U15" s="237">
        <f t="shared" si="1"/>
        <v>111399.33</v>
      </c>
      <c r="V15" s="238">
        <f t="shared" si="2"/>
        <v>165270.96</v>
      </c>
      <c r="W15" s="235">
        <f t="shared" si="3"/>
        <v>276670.28999999998</v>
      </c>
      <c r="X15" s="1024"/>
      <c r="Y15" s="240">
        <v>41</v>
      </c>
      <c r="Z15" s="1279"/>
    </row>
    <row r="16" spans="1:26">
      <c r="A16" s="7">
        <v>9</v>
      </c>
      <c r="B16" s="228" t="s">
        <v>1389</v>
      </c>
      <c r="C16" s="228" t="s">
        <v>1399</v>
      </c>
      <c r="D16" s="229">
        <v>-454.28000000000003</v>
      </c>
      <c r="E16" s="230">
        <v>0</v>
      </c>
      <c r="F16" s="230">
        <v>0</v>
      </c>
      <c r="G16" s="230">
        <v>0</v>
      </c>
      <c r="H16" s="230">
        <v>0</v>
      </c>
      <c r="I16" s="231">
        <v>0</v>
      </c>
      <c r="J16" s="232">
        <v>21528</v>
      </c>
      <c r="K16" s="232">
        <v>118.73</v>
      </c>
      <c r="L16" s="232">
        <v>119.38</v>
      </c>
      <c r="M16" s="232">
        <v>120.04</v>
      </c>
      <c r="N16" s="232">
        <v>120.7</v>
      </c>
      <c r="O16" s="232">
        <v>121.37</v>
      </c>
      <c r="P16" s="233">
        <v>44408</v>
      </c>
      <c r="Q16" s="234">
        <v>303</v>
      </c>
      <c r="R16" s="235">
        <v>21673.94</v>
      </c>
      <c r="S16" s="935">
        <f>+'State Allocation Formulas'!$L$25</f>
        <v>0.77239999999999998</v>
      </c>
      <c r="T16" s="236">
        <f t="shared" si="0"/>
        <v>16740.951255999997</v>
      </c>
      <c r="U16" s="237">
        <f t="shared" si="1"/>
        <v>-454.28000000000003</v>
      </c>
      <c r="V16" s="238">
        <f t="shared" si="2"/>
        <v>22128.22</v>
      </c>
      <c r="W16" s="235">
        <f t="shared" si="3"/>
        <v>21673.940000000002</v>
      </c>
      <c r="X16" s="239"/>
      <c r="Y16" s="240">
        <v>42</v>
      </c>
      <c r="Z16" s="1279"/>
    </row>
    <row r="17" spans="1:26">
      <c r="A17" s="7">
        <v>10</v>
      </c>
      <c r="B17" s="228" t="s">
        <v>1389</v>
      </c>
      <c r="C17" s="228" t="s">
        <v>1400</v>
      </c>
      <c r="D17" s="229">
        <v>0</v>
      </c>
      <c r="E17" s="230">
        <v>0</v>
      </c>
      <c r="F17" s="230">
        <v>0</v>
      </c>
      <c r="G17" s="230">
        <v>0</v>
      </c>
      <c r="H17" s="230">
        <v>0</v>
      </c>
      <c r="I17" s="231">
        <v>0</v>
      </c>
      <c r="J17" s="232">
        <v>5123.8500000000004</v>
      </c>
      <c r="K17" s="232">
        <v>5152.1099999999997</v>
      </c>
      <c r="L17" s="232">
        <v>5180.5200000000004</v>
      </c>
      <c r="M17" s="232">
        <v>5209.09</v>
      </c>
      <c r="N17" s="232">
        <v>5237.82</v>
      </c>
      <c r="O17" s="232">
        <v>5266.71</v>
      </c>
      <c r="P17" s="233">
        <v>43100</v>
      </c>
      <c r="Q17" s="234">
        <v>303</v>
      </c>
      <c r="R17" s="235">
        <v>31170.100000000002</v>
      </c>
      <c r="S17" s="935">
        <f>+'State Allocation Formulas'!$L$25</f>
        <v>0.77239999999999998</v>
      </c>
      <c r="T17" s="236">
        <f t="shared" si="0"/>
        <v>24075.785240000001</v>
      </c>
      <c r="U17" s="237">
        <f t="shared" si="1"/>
        <v>0</v>
      </c>
      <c r="V17" s="238">
        <f t="shared" si="2"/>
        <v>31170.1</v>
      </c>
      <c r="W17" s="235">
        <f t="shared" si="3"/>
        <v>31170.1</v>
      </c>
      <c r="X17" s="239"/>
      <c r="Y17" s="240">
        <v>43</v>
      </c>
      <c r="Z17" s="1279"/>
    </row>
    <row r="18" spans="1:26">
      <c r="A18" s="7">
        <v>11</v>
      </c>
      <c r="B18" s="228" t="s">
        <v>1389</v>
      </c>
      <c r="C18" s="228" t="s">
        <v>1401</v>
      </c>
      <c r="D18" s="229">
        <v>270.19</v>
      </c>
      <c r="E18" s="230">
        <v>271.82</v>
      </c>
      <c r="F18" s="230">
        <v>-2843.14</v>
      </c>
      <c r="G18" s="230">
        <v>0</v>
      </c>
      <c r="H18" s="230">
        <v>0</v>
      </c>
      <c r="I18" s="231">
        <v>0</v>
      </c>
      <c r="J18" s="232">
        <v>0</v>
      </c>
      <c r="K18" s="232">
        <v>0</v>
      </c>
      <c r="L18" s="232">
        <v>0</v>
      </c>
      <c r="M18" s="232">
        <v>0</v>
      </c>
      <c r="N18" s="232">
        <v>0</v>
      </c>
      <c r="O18" s="232">
        <v>0</v>
      </c>
      <c r="P18" s="233">
        <v>42004</v>
      </c>
      <c r="Q18" s="234">
        <v>303</v>
      </c>
      <c r="R18" s="235">
        <v>-2301.13</v>
      </c>
      <c r="S18" s="935">
        <f>+'State Allocation Formulas'!$L$25</f>
        <v>0.77239999999999998</v>
      </c>
      <c r="T18" s="236">
        <f t="shared" si="0"/>
        <v>-1777.392812</v>
      </c>
      <c r="U18" s="237">
        <f t="shared" si="1"/>
        <v>-2301.13</v>
      </c>
      <c r="V18" s="238">
        <f t="shared" si="2"/>
        <v>0</v>
      </c>
      <c r="W18" s="235">
        <f t="shared" si="3"/>
        <v>-2301.13</v>
      </c>
      <c r="X18" s="239"/>
      <c r="Y18" s="240" t="s">
        <v>1395</v>
      </c>
      <c r="Z18" s="1279"/>
    </row>
    <row r="19" spans="1:26">
      <c r="A19" s="7">
        <v>12</v>
      </c>
      <c r="B19" s="228" t="s">
        <v>1389</v>
      </c>
      <c r="C19" s="228" t="s">
        <v>1402</v>
      </c>
      <c r="D19" s="229">
        <v>6223.95</v>
      </c>
      <c r="E19" s="230">
        <v>27101.57</v>
      </c>
      <c r="F19" s="230">
        <v>11331.39</v>
      </c>
      <c r="G19" s="230">
        <v>48868.270000000004</v>
      </c>
      <c r="H19" s="230">
        <v>25542.010000000002</v>
      </c>
      <c r="I19" s="231">
        <v>36582.28</v>
      </c>
      <c r="J19" s="232">
        <v>1355.3</v>
      </c>
      <c r="K19" s="232">
        <v>1362.77</v>
      </c>
      <c r="L19" s="232">
        <v>1370.29</v>
      </c>
      <c r="M19" s="232">
        <v>0</v>
      </c>
      <c r="N19" s="232">
        <v>0</v>
      </c>
      <c r="O19" s="232">
        <v>0</v>
      </c>
      <c r="P19" s="233">
        <v>43008</v>
      </c>
      <c r="Q19" s="234">
        <v>303</v>
      </c>
      <c r="R19" s="235">
        <v>159737.83000000002</v>
      </c>
      <c r="S19" s="935">
        <f>+'State Allocation Formulas'!$L$25</f>
        <v>0.77239999999999998</v>
      </c>
      <c r="T19" s="236">
        <f t="shared" si="0"/>
        <v>123381.49989200001</v>
      </c>
      <c r="U19" s="237">
        <f t="shared" si="1"/>
        <v>155649.47</v>
      </c>
      <c r="V19" s="238">
        <f t="shared" si="2"/>
        <v>4088.3599999999997</v>
      </c>
      <c r="W19" s="235">
        <f t="shared" si="3"/>
        <v>159737.82999999999</v>
      </c>
      <c r="X19" s="1024"/>
      <c r="Y19" s="240">
        <v>44</v>
      </c>
      <c r="Z19" s="1279"/>
    </row>
    <row r="20" spans="1:26">
      <c r="A20" s="7">
        <v>13</v>
      </c>
      <c r="B20" s="228" t="s">
        <v>1389</v>
      </c>
      <c r="C20" s="228" t="s">
        <v>1403</v>
      </c>
      <c r="D20" s="229">
        <v>0</v>
      </c>
      <c r="E20" s="230">
        <v>0</v>
      </c>
      <c r="F20" s="230">
        <v>0</v>
      </c>
      <c r="G20" s="230">
        <v>0</v>
      </c>
      <c r="H20" s="230">
        <v>0</v>
      </c>
      <c r="I20" s="231">
        <v>0</v>
      </c>
      <c r="J20" s="232">
        <v>21976.5</v>
      </c>
      <c r="K20" s="232">
        <v>22097.7</v>
      </c>
      <c r="L20" s="232">
        <v>22219.56</v>
      </c>
      <c r="M20" s="232">
        <v>21976.5</v>
      </c>
      <c r="N20" s="232">
        <v>21976.5</v>
      </c>
      <c r="O20" s="232">
        <v>21976.5</v>
      </c>
      <c r="P20" s="233">
        <v>42979</v>
      </c>
      <c r="Q20" s="234">
        <v>303</v>
      </c>
      <c r="R20" s="235">
        <v>132223.26</v>
      </c>
      <c r="S20" s="935">
        <f>+'State Allocation Formulas'!$L$25</f>
        <v>0.77239999999999998</v>
      </c>
      <c r="T20" s="236">
        <f t="shared" si="0"/>
        <v>102129.24602400001</v>
      </c>
      <c r="U20" s="237">
        <f t="shared" si="1"/>
        <v>0</v>
      </c>
      <c r="V20" s="238">
        <f t="shared" si="2"/>
        <v>132223.26</v>
      </c>
      <c r="W20" s="235">
        <f t="shared" si="3"/>
        <v>132223.26</v>
      </c>
      <c r="X20" s="239"/>
      <c r="Y20" s="240">
        <v>45</v>
      </c>
      <c r="Z20" s="1279"/>
    </row>
    <row r="21" spans="1:26">
      <c r="A21" s="7">
        <v>14</v>
      </c>
      <c r="B21" s="228" t="s">
        <v>1389</v>
      </c>
      <c r="C21" s="228" t="s">
        <v>1404</v>
      </c>
      <c r="D21" s="229">
        <v>0</v>
      </c>
      <c r="E21" s="230">
        <v>0</v>
      </c>
      <c r="F21" s="230">
        <v>0</v>
      </c>
      <c r="G21" s="230">
        <v>0</v>
      </c>
      <c r="H21" s="230">
        <v>0</v>
      </c>
      <c r="I21" s="231">
        <v>0</v>
      </c>
      <c r="J21" s="232">
        <v>4395.3</v>
      </c>
      <c r="K21" s="232">
        <v>4419.54</v>
      </c>
      <c r="L21" s="232">
        <v>4443.92</v>
      </c>
      <c r="M21" s="232">
        <v>4395.3</v>
      </c>
      <c r="N21" s="232">
        <v>4395.3</v>
      </c>
      <c r="O21" s="232">
        <v>4395.3</v>
      </c>
      <c r="P21" s="233">
        <v>42979</v>
      </c>
      <c r="Q21" s="234">
        <v>303</v>
      </c>
      <c r="R21" s="235">
        <v>26444.66</v>
      </c>
      <c r="S21" s="935">
        <f>+'State Allocation Formulas'!$L$25</f>
        <v>0.77239999999999998</v>
      </c>
      <c r="T21" s="236">
        <f t="shared" si="0"/>
        <v>20425.855383999999</v>
      </c>
      <c r="U21" s="237">
        <f t="shared" si="1"/>
        <v>0</v>
      </c>
      <c r="V21" s="238">
        <f t="shared" si="2"/>
        <v>26444.66</v>
      </c>
      <c r="W21" s="235">
        <f t="shared" si="3"/>
        <v>26444.66</v>
      </c>
      <c r="X21" s="239"/>
      <c r="Y21" s="240">
        <v>46</v>
      </c>
      <c r="Z21" s="1279"/>
    </row>
    <row r="22" spans="1:26">
      <c r="A22" s="7">
        <v>15</v>
      </c>
      <c r="B22" s="242" t="s">
        <v>1389</v>
      </c>
      <c r="C22" s="242" t="s">
        <v>1405</v>
      </c>
      <c r="D22" s="243">
        <v>0</v>
      </c>
      <c r="E22" s="244">
        <v>0</v>
      </c>
      <c r="F22" s="244">
        <v>267.02</v>
      </c>
      <c r="G22" s="244">
        <v>99.67</v>
      </c>
      <c r="H22" s="244">
        <v>0</v>
      </c>
      <c r="I22" s="245">
        <v>0</v>
      </c>
      <c r="J22" s="234">
        <v>791.67000000000007</v>
      </c>
      <c r="K22" s="234">
        <v>791.67000000000007</v>
      </c>
      <c r="L22" s="234">
        <v>791.67000000000007</v>
      </c>
      <c r="M22" s="234">
        <v>791.67000000000007</v>
      </c>
      <c r="N22" s="234">
        <v>791.67000000000007</v>
      </c>
      <c r="O22" s="234">
        <v>791.67000000000007</v>
      </c>
      <c r="P22" s="233">
        <v>43100</v>
      </c>
      <c r="Q22" s="234">
        <v>303</v>
      </c>
      <c r="R22" s="246">
        <v>5116.71</v>
      </c>
      <c r="S22" s="242" t="s">
        <v>1406</v>
      </c>
      <c r="T22" s="236"/>
      <c r="U22" s="247">
        <f t="shared" si="1"/>
        <v>366.69</v>
      </c>
      <c r="V22" s="247">
        <f t="shared" si="2"/>
        <v>4750.0200000000004</v>
      </c>
      <c r="W22" s="247">
        <f t="shared" si="3"/>
        <v>5116.71</v>
      </c>
      <c r="X22" s="228"/>
      <c r="Y22" s="240"/>
      <c r="Z22" s="1279"/>
    </row>
    <row r="23" spans="1:26">
      <c r="A23" s="7">
        <v>16</v>
      </c>
      <c r="B23" s="248"/>
      <c r="C23" s="249" t="s">
        <v>1407</v>
      </c>
      <c r="D23" s="250">
        <f>SUM(D8:D22)</f>
        <v>45203.58</v>
      </c>
      <c r="E23" s="251">
        <f>SUM(E8:E22)</f>
        <v>60797.21</v>
      </c>
      <c r="F23" s="251">
        <f>SUM(F8:F22)</f>
        <v>65326.98</v>
      </c>
      <c r="G23" s="251">
        <f>SUM(G8:G22)</f>
        <v>201899.08000000005</v>
      </c>
      <c r="H23" s="251">
        <f>SUM(H8:H22)</f>
        <v>92262.35</v>
      </c>
      <c r="I23" s="252">
        <f t="shared" ref="I23:N23" si="4">SUM(I8:I22)</f>
        <v>183730.03000000003</v>
      </c>
      <c r="J23" s="253">
        <f t="shared" si="4"/>
        <v>252279.65999999997</v>
      </c>
      <c r="K23" s="253">
        <f t="shared" si="4"/>
        <v>210620.17</v>
      </c>
      <c r="L23" s="253">
        <f t="shared" si="4"/>
        <v>219002.44</v>
      </c>
      <c r="M23" s="253">
        <f t="shared" si="4"/>
        <v>200186.96000000002</v>
      </c>
      <c r="N23" s="253">
        <f t="shared" si="4"/>
        <v>159850.73000000001</v>
      </c>
      <c r="O23" s="253">
        <f>SUM(O8:O22)</f>
        <v>171346.50999999998</v>
      </c>
      <c r="P23" s="254"/>
      <c r="Q23" s="254"/>
      <c r="R23" s="255">
        <f>SUM(R8:R22)</f>
        <v>1862505.7</v>
      </c>
      <c r="S23" s="248"/>
      <c r="T23" s="256">
        <f>SUM(T8:T22)</f>
        <v>1434647.2558760005</v>
      </c>
      <c r="U23" s="257">
        <f>SUM(U8:U22)</f>
        <v>649219.23</v>
      </c>
      <c r="V23" s="258">
        <f>SUM(V8:V22)</f>
        <v>1213286.47</v>
      </c>
      <c r="W23" s="255">
        <f>SUM(W8:W22)</f>
        <v>1862505.7000000002</v>
      </c>
      <c r="X23" s="256">
        <f>SUM(X8:X22)</f>
        <v>0</v>
      </c>
      <c r="Y23" s="259"/>
      <c r="Z23" s="1279"/>
    </row>
    <row r="24" spans="1:26">
      <c r="A24" s="7">
        <v>17</v>
      </c>
      <c r="B24" s="248" t="s">
        <v>1606</v>
      </c>
      <c r="C24" s="248"/>
      <c r="D24" s="229"/>
      <c r="E24" s="230"/>
      <c r="F24" s="230"/>
      <c r="G24" s="230"/>
      <c r="H24" s="230"/>
      <c r="I24" s="231"/>
      <c r="J24" s="232"/>
      <c r="K24" s="232"/>
      <c r="L24" s="232"/>
      <c r="M24" s="232"/>
      <c r="N24" s="232"/>
      <c r="O24" s="260"/>
      <c r="P24" s="244"/>
      <c r="Q24" s="244"/>
      <c r="R24" s="235"/>
      <c r="S24" s="248"/>
      <c r="T24" s="261"/>
      <c r="U24" s="237"/>
      <c r="V24" s="238"/>
      <c r="W24" s="235"/>
      <c r="X24" s="248"/>
      <c r="Y24" s="259"/>
      <c r="Z24" s="1279"/>
    </row>
    <row r="25" spans="1:26">
      <c r="B25" s="248"/>
      <c r="C25" s="249"/>
      <c r="D25" s="229"/>
      <c r="E25" s="230"/>
      <c r="F25" s="230"/>
      <c r="G25" s="230"/>
      <c r="H25" s="230"/>
      <c r="I25" s="231">
        <f>SUM(D23:I23)</f>
        <v>649219.2300000001</v>
      </c>
      <c r="J25" s="232"/>
      <c r="K25" s="232"/>
      <c r="L25" s="232"/>
      <c r="M25" s="232"/>
      <c r="N25" s="232"/>
      <c r="O25" s="260">
        <f>SUM(J23:O23)</f>
        <v>1213286.47</v>
      </c>
      <c r="P25" s="244"/>
      <c r="Q25" s="244"/>
      <c r="R25" s="235"/>
      <c r="S25" s="248"/>
      <c r="T25" s="261"/>
      <c r="U25" s="237"/>
      <c r="V25" s="238"/>
      <c r="W25" s="235"/>
      <c r="X25" s="248"/>
      <c r="Y25" s="259"/>
      <c r="Z25" s="1279"/>
    </row>
    <row r="26" spans="1:26">
      <c r="B26" s="248"/>
      <c r="C26" s="248"/>
      <c r="D26" s="229"/>
      <c r="E26" s="230"/>
      <c r="F26" s="230"/>
      <c r="G26" s="230"/>
      <c r="H26" s="230"/>
      <c r="I26" s="231"/>
      <c r="J26" s="232"/>
      <c r="K26" s="232"/>
      <c r="L26" s="232"/>
      <c r="M26" s="232"/>
      <c r="N26" s="232"/>
      <c r="O26" s="260"/>
      <c r="P26" s="244"/>
      <c r="Q26" s="244"/>
      <c r="R26" s="235"/>
      <c r="S26" s="248"/>
      <c r="T26" s="261"/>
      <c r="U26" s="237"/>
      <c r="V26" s="238"/>
      <c r="W26" s="235"/>
      <c r="X26" s="248"/>
      <c r="Y26" s="259"/>
      <c r="Z26" s="1279"/>
    </row>
    <row r="27" spans="1:26">
      <c r="A27" s="7">
        <v>18</v>
      </c>
      <c r="B27" s="228" t="s">
        <v>1408</v>
      </c>
      <c r="C27" s="228" t="s">
        <v>1409</v>
      </c>
      <c r="D27" s="229">
        <v>7025.21</v>
      </c>
      <c r="E27" s="230">
        <v>4262.29</v>
      </c>
      <c r="F27" s="230">
        <v>44902.51</v>
      </c>
      <c r="G27" s="230">
        <v>-12102.300000000001</v>
      </c>
      <c r="H27" s="230">
        <v>80907.680000000008</v>
      </c>
      <c r="I27" s="231">
        <v>29116.46</v>
      </c>
      <c r="J27" s="232">
        <v>44197.88</v>
      </c>
      <c r="K27" s="232">
        <v>44197.88</v>
      </c>
      <c r="L27" s="232">
        <v>44197.88</v>
      </c>
      <c r="M27" s="232">
        <v>44197.88</v>
      </c>
      <c r="N27" s="232">
        <v>44197.88</v>
      </c>
      <c r="O27" s="232">
        <v>126897.23</v>
      </c>
      <c r="P27" s="234"/>
      <c r="Q27" s="234"/>
      <c r="R27" s="235">
        <v>501998.48</v>
      </c>
      <c r="S27" s="228"/>
      <c r="T27" s="236"/>
      <c r="U27" s="237">
        <f t="shared" ref="U27:U90" si="5">SUM(D27:I27)</f>
        <v>154111.85</v>
      </c>
      <c r="V27" s="238">
        <f t="shared" ref="V27:V90" si="6">SUM(J27:O27)</f>
        <v>347886.63</v>
      </c>
      <c r="W27" s="235">
        <f t="shared" ref="W27:W90" si="7">U27+V27</f>
        <v>501998.48</v>
      </c>
      <c r="X27" s="228"/>
      <c r="Y27" s="240"/>
      <c r="Z27" s="1279"/>
    </row>
    <row r="28" spans="1:26">
      <c r="A28" s="7">
        <v>19</v>
      </c>
      <c r="B28" s="228" t="s">
        <v>1408</v>
      </c>
      <c r="C28" s="228" t="s">
        <v>1410</v>
      </c>
      <c r="D28" s="229">
        <v>0</v>
      </c>
      <c r="E28" s="230">
        <v>0</v>
      </c>
      <c r="F28" s="230">
        <v>0</v>
      </c>
      <c r="G28" s="230">
        <v>0</v>
      </c>
      <c r="H28" s="230">
        <v>0</v>
      </c>
      <c r="I28" s="231">
        <v>0</v>
      </c>
      <c r="J28" s="232">
        <v>6324.5</v>
      </c>
      <c r="K28" s="232">
        <v>6324.5</v>
      </c>
      <c r="L28" s="232">
        <v>6324.5</v>
      </c>
      <c r="M28" s="232">
        <v>6324.5</v>
      </c>
      <c r="N28" s="232">
        <v>6324.5</v>
      </c>
      <c r="O28" s="232">
        <v>6324.5</v>
      </c>
      <c r="P28" s="234"/>
      <c r="Q28" s="234"/>
      <c r="R28" s="235">
        <v>37947</v>
      </c>
      <c r="S28" s="228"/>
      <c r="T28" s="236"/>
      <c r="U28" s="237">
        <f t="shared" si="5"/>
        <v>0</v>
      </c>
      <c r="V28" s="238">
        <f t="shared" si="6"/>
        <v>37947</v>
      </c>
      <c r="W28" s="235">
        <f t="shared" si="7"/>
        <v>37947</v>
      </c>
      <c r="X28" s="228"/>
      <c r="Y28" s="240"/>
      <c r="Z28" s="1279"/>
    </row>
    <row r="29" spans="1:26">
      <c r="A29" s="7">
        <v>20</v>
      </c>
      <c r="B29" s="228" t="s">
        <v>1408</v>
      </c>
      <c r="C29" s="228" t="s">
        <v>1411</v>
      </c>
      <c r="D29" s="229">
        <v>3394.29</v>
      </c>
      <c r="E29" s="230">
        <v>239.51</v>
      </c>
      <c r="F29" s="230">
        <v>23740.81</v>
      </c>
      <c r="G29" s="230">
        <v>58620.25</v>
      </c>
      <c r="H29" s="230">
        <v>42423.87</v>
      </c>
      <c r="I29" s="231">
        <v>15083.32</v>
      </c>
      <c r="J29" s="232">
        <v>32939.26</v>
      </c>
      <c r="K29" s="232">
        <v>32939.26</v>
      </c>
      <c r="L29" s="232">
        <v>32939.26</v>
      </c>
      <c r="M29" s="232">
        <v>32939.26</v>
      </c>
      <c r="N29" s="232">
        <v>32939.26</v>
      </c>
      <c r="O29" s="232">
        <v>88543</v>
      </c>
      <c r="P29" s="234"/>
      <c r="Q29" s="234"/>
      <c r="R29" s="235">
        <v>396741.35000000003</v>
      </c>
      <c r="S29" s="228"/>
      <c r="T29" s="236"/>
      <c r="U29" s="237">
        <f t="shared" si="5"/>
        <v>143502.05000000002</v>
      </c>
      <c r="V29" s="238">
        <f t="shared" si="6"/>
        <v>253239.30000000002</v>
      </c>
      <c r="W29" s="235">
        <f t="shared" si="7"/>
        <v>396741.35000000003</v>
      </c>
      <c r="X29" s="228"/>
      <c r="Y29" s="240"/>
      <c r="Z29" s="1279"/>
    </row>
    <row r="30" spans="1:26">
      <c r="A30" s="7">
        <v>21</v>
      </c>
      <c r="B30" s="228" t="s">
        <v>1408</v>
      </c>
      <c r="C30" s="228" t="s">
        <v>1412</v>
      </c>
      <c r="D30" s="229">
        <v>0</v>
      </c>
      <c r="E30" s="230">
        <v>0</v>
      </c>
      <c r="F30" s="230">
        <v>0</v>
      </c>
      <c r="G30" s="230">
        <v>0</v>
      </c>
      <c r="H30" s="230">
        <v>0</v>
      </c>
      <c r="I30" s="231">
        <v>0</v>
      </c>
      <c r="J30" s="232">
        <v>0</v>
      </c>
      <c r="K30" s="232">
        <v>0</v>
      </c>
      <c r="L30" s="232">
        <v>0</v>
      </c>
      <c r="M30" s="232">
        <v>0</v>
      </c>
      <c r="N30" s="232">
        <v>0</v>
      </c>
      <c r="O30" s="232">
        <v>69109.960000000006</v>
      </c>
      <c r="P30" s="234"/>
      <c r="Q30" s="234"/>
      <c r="R30" s="235">
        <v>69109.960000000006</v>
      </c>
      <c r="S30" s="228"/>
      <c r="T30" s="236"/>
      <c r="U30" s="237">
        <f t="shared" si="5"/>
        <v>0</v>
      </c>
      <c r="V30" s="238">
        <f t="shared" si="6"/>
        <v>69109.960000000006</v>
      </c>
      <c r="W30" s="235">
        <f t="shared" si="7"/>
        <v>69109.960000000006</v>
      </c>
      <c r="X30" s="228"/>
      <c r="Y30" s="240"/>
      <c r="Z30" s="1279"/>
    </row>
    <row r="31" spans="1:26">
      <c r="A31" s="7">
        <v>22</v>
      </c>
      <c r="B31" s="228" t="s">
        <v>1408</v>
      </c>
      <c r="C31" s="228" t="s">
        <v>1413</v>
      </c>
      <c r="D31" s="229">
        <v>-4237.34</v>
      </c>
      <c r="E31" s="230">
        <v>0</v>
      </c>
      <c r="F31" s="230">
        <v>0</v>
      </c>
      <c r="G31" s="230">
        <v>291.43</v>
      </c>
      <c r="H31" s="230">
        <v>0</v>
      </c>
      <c r="I31" s="231">
        <v>0</v>
      </c>
      <c r="J31" s="232">
        <v>0</v>
      </c>
      <c r="K31" s="232">
        <v>0</v>
      </c>
      <c r="L31" s="232">
        <v>0</v>
      </c>
      <c r="M31" s="232">
        <v>0</v>
      </c>
      <c r="N31" s="232">
        <v>0</v>
      </c>
      <c r="O31" s="232">
        <v>110766.16</v>
      </c>
      <c r="P31" s="234"/>
      <c r="Q31" s="234"/>
      <c r="R31" s="235">
        <v>106820.25</v>
      </c>
      <c r="S31" s="228"/>
      <c r="T31" s="236"/>
      <c r="U31" s="237">
        <f t="shared" si="5"/>
        <v>-3945.9100000000003</v>
      </c>
      <c r="V31" s="238">
        <f t="shared" si="6"/>
        <v>110766.16</v>
      </c>
      <c r="W31" s="235">
        <f t="shared" si="7"/>
        <v>106820.25</v>
      </c>
      <c r="X31" s="228"/>
      <c r="Y31" s="240"/>
      <c r="Z31" s="1279"/>
    </row>
    <row r="32" spans="1:26">
      <c r="A32" s="7">
        <v>23</v>
      </c>
      <c r="B32" s="228" t="s">
        <v>1408</v>
      </c>
      <c r="C32" s="228" t="s">
        <v>1414</v>
      </c>
      <c r="D32" s="229">
        <v>97360.1</v>
      </c>
      <c r="E32" s="230">
        <v>26649.760000000002</v>
      </c>
      <c r="F32" s="230">
        <v>192426.7</v>
      </c>
      <c r="G32" s="230">
        <v>31603.49</v>
      </c>
      <c r="H32" s="230">
        <v>193926.27</v>
      </c>
      <c r="I32" s="231">
        <v>172868.14</v>
      </c>
      <c r="J32" s="232">
        <v>116785.69</v>
      </c>
      <c r="K32" s="232">
        <v>116785.69</v>
      </c>
      <c r="L32" s="232">
        <v>116785.69</v>
      </c>
      <c r="M32" s="232">
        <v>116785.69</v>
      </c>
      <c r="N32" s="232">
        <v>116785.69</v>
      </c>
      <c r="O32" s="232">
        <v>116785.69</v>
      </c>
      <c r="P32" s="234"/>
      <c r="Q32" s="234"/>
      <c r="R32" s="235">
        <v>1415548.6</v>
      </c>
      <c r="S32" s="228"/>
      <c r="T32" s="236"/>
      <c r="U32" s="237">
        <f t="shared" si="5"/>
        <v>714834.46000000008</v>
      </c>
      <c r="V32" s="238">
        <f t="shared" si="6"/>
        <v>700714.1399999999</v>
      </c>
      <c r="W32" s="235">
        <f t="shared" si="7"/>
        <v>1415548.6</v>
      </c>
      <c r="X32" s="228"/>
      <c r="Y32" s="240"/>
      <c r="Z32" s="1279"/>
    </row>
    <row r="33" spans="1:26">
      <c r="A33" s="7">
        <v>24</v>
      </c>
      <c r="B33" s="228" t="s">
        <v>1408</v>
      </c>
      <c r="C33" s="228" t="s">
        <v>1415</v>
      </c>
      <c r="D33" s="229">
        <v>10533.15</v>
      </c>
      <c r="E33" s="230">
        <v>5840.72</v>
      </c>
      <c r="F33" s="230">
        <v>17174.099999999999</v>
      </c>
      <c r="G33" s="230">
        <v>17213.68</v>
      </c>
      <c r="H33" s="230">
        <v>34235.57</v>
      </c>
      <c r="I33" s="231">
        <v>51626.239999999998</v>
      </c>
      <c r="J33" s="232">
        <v>19827.310000000001</v>
      </c>
      <c r="K33" s="232">
        <v>19827.310000000001</v>
      </c>
      <c r="L33" s="232">
        <v>19827.310000000001</v>
      </c>
      <c r="M33" s="232">
        <v>19827.310000000001</v>
      </c>
      <c r="N33" s="232">
        <v>19827.310000000001</v>
      </c>
      <c r="O33" s="232">
        <v>19827.310000000001</v>
      </c>
      <c r="P33" s="234"/>
      <c r="Q33" s="234"/>
      <c r="R33" s="235">
        <v>255587.32</v>
      </c>
      <c r="S33" s="228"/>
      <c r="T33" s="236"/>
      <c r="U33" s="237">
        <f t="shared" si="5"/>
        <v>136623.46</v>
      </c>
      <c r="V33" s="238">
        <f t="shared" si="6"/>
        <v>118963.86</v>
      </c>
      <c r="W33" s="235">
        <f t="shared" si="7"/>
        <v>255587.32</v>
      </c>
      <c r="X33" s="228"/>
      <c r="Y33" s="240"/>
      <c r="Z33" s="1279"/>
    </row>
    <row r="34" spans="1:26">
      <c r="A34" s="7">
        <v>25</v>
      </c>
      <c r="B34" s="228" t="s">
        <v>1408</v>
      </c>
      <c r="C34" s="228" t="s">
        <v>1416</v>
      </c>
      <c r="D34" s="229">
        <v>3622.07</v>
      </c>
      <c r="E34" s="230">
        <v>9555.98</v>
      </c>
      <c r="F34" s="230">
        <v>7372.41</v>
      </c>
      <c r="G34" s="230">
        <v>20552.5</v>
      </c>
      <c r="H34" s="230">
        <v>23622.99</v>
      </c>
      <c r="I34" s="231">
        <v>6922.1</v>
      </c>
      <c r="J34" s="232">
        <v>7589.4000000000005</v>
      </c>
      <c r="K34" s="232">
        <v>7589.4000000000005</v>
      </c>
      <c r="L34" s="232">
        <v>7589.4000000000005</v>
      </c>
      <c r="M34" s="232">
        <v>7589.4000000000005</v>
      </c>
      <c r="N34" s="232">
        <v>7589.4000000000005</v>
      </c>
      <c r="O34" s="232">
        <v>7589.4000000000005</v>
      </c>
      <c r="P34" s="234"/>
      <c r="Q34" s="234"/>
      <c r="R34" s="235">
        <v>117184.45</v>
      </c>
      <c r="S34" s="228"/>
      <c r="T34" s="236"/>
      <c r="U34" s="237">
        <f t="shared" si="5"/>
        <v>71648.05</v>
      </c>
      <c r="V34" s="238">
        <f t="shared" si="6"/>
        <v>45536.4</v>
      </c>
      <c r="W34" s="235">
        <f t="shared" si="7"/>
        <v>117184.45000000001</v>
      </c>
      <c r="X34" s="228"/>
      <c r="Y34" s="240"/>
      <c r="Z34" s="1279"/>
    </row>
    <row r="35" spans="1:26">
      <c r="A35" s="7">
        <v>26</v>
      </c>
      <c r="B35" s="228" t="s">
        <v>1408</v>
      </c>
      <c r="C35" s="228" t="s">
        <v>1417</v>
      </c>
      <c r="D35" s="229">
        <v>11115.52</v>
      </c>
      <c r="E35" s="230">
        <v>2703.19</v>
      </c>
      <c r="F35" s="230">
        <v>45201.42</v>
      </c>
      <c r="G35" s="230">
        <v>17931.8</v>
      </c>
      <c r="H35" s="230">
        <v>111877.54000000001</v>
      </c>
      <c r="I35" s="231">
        <v>62225.42</v>
      </c>
      <c r="J35" s="232">
        <v>37947</v>
      </c>
      <c r="K35" s="232">
        <v>37947</v>
      </c>
      <c r="L35" s="232">
        <v>37947</v>
      </c>
      <c r="M35" s="232">
        <v>37947</v>
      </c>
      <c r="N35" s="232">
        <v>37947</v>
      </c>
      <c r="O35" s="232">
        <v>37947</v>
      </c>
      <c r="P35" s="234"/>
      <c r="Q35" s="234"/>
      <c r="R35" s="235">
        <v>478736.89</v>
      </c>
      <c r="S35" s="228"/>
      <c r="T35" s="236"/>
      <c r="U35" s="237">
        <f t="shared" si="5"/>
        <v>251054.89</v>
      </c>
      <c r="V35" s="238">
        <f t="shared" si="6"/>
        <v>227682</v>
      </c>
      <c r="W35" s="235">
        <f t="shared" si="7"/>
        <v>478736.89</v>
      </c>
      <c r="X35" s="228"/>
      <c r="Y35" s="240"/>
      <c r="Z35" s="1279"/>
    </row>
    <row r="36" spans="1:26">
      <c r="A36" s="7">
        <v>27</v>
      </c>
      <c r="B36" s="228" t="s">
        <v>1408</v>
      </c>
      <c r="C36" s="228" t="s">
        <v>1418</v>
      </c>
      <c r="D36" s="229">
        <v>5782.16</v>
      </c>
      <c r="E36" s="230">
        <v>15529</v>
      </c>
      <c r="F36" s="230">
        <v>0</v>
      </c>
      <c r="G36" s="230">
        <v>0</v>
      </c>
      <c r="H36" s="230">
        <v>4292.18</v>
      </c>
      <c r="I36" s="231">
        <v>10611.68</v>
      </c>
      <c r="J36" s="232">
        <v>5270.42</v>
      </c>
      <c r="K36" s="232">
        <v>5270.42</v>
      </c>
      <c r="L36" s="232">
        <v>5270.42</v>
      </c>
      <c r="M36" s="232">
        <v>5270.42</v>
      </c>
      <c r="N36" s="232">
        <v>5270.42</v>
      </c>
      <c r="O36" s="232">
        <v>5270.42</v>
      </c>
      <c r="P36" s="234"/>
      <c r="Q36" s="234"/>
      <c r="R36" s="235">
        <v>67837.540000000008</v>
      </c>
      <c r="S36" s="228"/>
      <c r="T36" s="236"/>
      <c r="U36" s="237">
        <f t="shared" si="5"/>
        <v>36215.020000000004</v>
      </c>
      <c r="V36" s="238">
        <f t="shared" si="6"/>
        <v>31622.519999999997</v>
      </c>
      <c r="W36" s="235">
        <f t="shared" si="7"/>
        <v>67837.540000000008</v>
      </c>
      <c r="X36" s="228"/>
      <c r="Y36" s="240"/>
      <c r="Z36" s="1279"/>
    </row>
    <row r="37" spans="1:26">
      <c r="A37" s="7">
        <v>28</v>
      </c>
      <c r="B37" s="228" t="s">
        <v>1408</v>
      </c>
      <c r="C37" s="228" t="s">
        <v>1419</v>
      </c>
      <c r="D37" s="229">
        <v>4129.54</v>
      </c>
      <c r="E37" s="230">
        <v>315.92</v>
      </c>
      <c r="F37" s="230">
        <v>18598.36</v>
      </c>
      <c r="G37" s="230">
        <v>2754.36</v>
      </c>
      <c r="H37" s="230">
        <v>4024.1600000000003</v>
      </c>
      <c r="I37" s="231">
        <v>13219.57</v>
      </c>
      <c r="J37" s="232">
        <v>4005.52</v>
      </c>
      <c r="K37" s="232">
        <v>4005.52</v>
      </c>
      <c r="L37" s="232">
        <v>4005.52</v>
      </c>
      <c r="M37" s="232">
        <v>4005.52</v>
      </c>
      <c r="N37" s="232">
        <v>4005.52</v>
      </c>
      <c r="O37" s="232">
        <v>4005.52</v>
      </c>
      <c r="P37" s="234"/>
      <c r="Q37" s="234"/>
      <c r="R37" s="235">
        <v>67075.03</v>
      </c>
      <c r="S37" s="228"/>
      <c r="T37" s="236"/>
      <c r="U37" s="237">
        <f t="shared" si="5"/>
        <v>43041.91</v>
      </c>
      <c r="V37" s="238">
        <f t="shared" si="6"/>
        <v>24033.119999999999</v>
      </c>
      <c r="W37" s="235">
        <f t="shared" si="7"/>
        <v>67075.03</v>
      </c>
      <c r="X37" s="228"/>
      <c r="Y37" s="240"/>
      <c r="Z37" s="1279"/>
    </row>
    <row r="38" spans="1:26">
      <c r="A38" s="7">
        <v>29</v>
      </c>
      <c r="B38" s="228" t="s">
        <v>1408</v>
      </c>
      <c r="C38" s="228" t="s">
        <v>1420</v>
      </c>
      <c r="D38" s="229">
        <v>128777.05</v>
      </c>
      <c r="E38" s="230">
        <v>199095.2</v>
      </c>
      <c r="F38" s="230">
        <v>212719.1</v>
      </c>
      <c r="G38" s="230">
        <v>537905.22</v>
      </c>
      <c r="H38" s="230">
        <v>289073.14</v>
      </c>
      <c r="I38" s="231">
        <v>512652.10000000003</v>
      </c>
      <c r="J38" s="232">
        <v>88395.77</v>
      </c>
      <c r="K38" s="232">
        <v>88395.77</v>
      </c>
      <c r="L38" s="232">
        <v>88395.77</v>
      </c>
      <c r="M38" s="232">
        <v>88395.77</v>
      </c>
      <c r="N38" s="232">
        <v>88395.77</v>
      </c>
      <c r="O38" s="232">
        <v>88395.77</v>
      </c>
      <c r="P38" s="233">
        <v>46022</v>
      </c>
      <c r="Q38" s="234">
        <v>376</v>
      </c>
      <c r="R38" s="235">
        <v>2410596.4300000002</v>
      </c>
      <c r="S38" s="228"/>
      <c r="T38" s="236">
        <f>+R38</f>
        <v>2410596.4300000002</v>
      </c>
      <c r="U38" s="237">
        <f t="shared" si="5"/>
        <v>1880221.81</v>
      </c>
      <c r="V38" s="238">
        <f t="shared" si="6"/>
        <v>530374.62</v>
      </c>
      <c r="W38" s="235">
        <f t="shared" si="7"/>
        <v>2410596.4300000002</v>
      </c>
      <c r="X38" s="228"/>
      <c r="Y38" s="240" t="s">
        <v>1421</v>
      </c>
      <c r="Z38" s="1279"/>
    </row>
    <row r="39" spans="1:26">
      <c r="A39" s="7">
        <v>30</v>
      </c>
      <c r="B39" s="228" t="s">
        <v>1408</v>
      </c>
      <c r="C39" s="228" t="s">
        <v>1422</v>
      </c>
      <c r="D39" s="229">
        <v>40580.67</v>
      </c>
      <c r="E39" s="230">
        <v>3314.71</v>
      </c>
      <c r="F39" s="230">
        <v>256.88</v>
      </c>
      <c r="G39" s="230">
        <v>32158</v>
      </c>
      <c r="H39" s="230">
        <v>11349.61</v>
      </c>
      <c r="I39" s="231">
        <v>8247.75</v>
      </c>
      <c r="J39" s="232">
        <v>13913.9</v>
      </c>
      <c r="K39" s="232">
        <v>13913.9</v>
      </c>
      <c r="L39" s="232">
        <v>13913.9</v>
      </c>
      <c r="M39" s="232">
        <v>13913.9</v>
      </c>
      <c r="N39" s="232">
        <v>13913.9</v>
      </c>
      <c r="O39" s="232">
        <v>13913.9</v>
      </c>
      <c r="P39" s="233">
        <v>46022</v>
      </c>
      <c r="Q39" s="234">
        <v>376</v>
      </c>
      <c r="R39" s="235">
        <v>179391.02</v>
      </c>
      <c r="S39" s="228"/>
      <c r="T39" s="236">
        <f t="shared" ref="T39:T47" si="8">+R39</f>
        <v>179391.02</v>
      </c>
      <c r="U39" s="237">
        <f t="shared" si="5"/>
        <v>95907.62</v>
      </c>
      <c r="V39" s="238">
        <f t="shared" si="6"/>
        <v>83483.399999999994</v>
      </c>
      <c r="W39" s="235">
        <f t="shared" si="7"/>
        <v>179391.02</v>
      </c>
      <c r="X39" s="236"/>
      <c r="Y39" s="240" t="s">
        <v>1423</v>
      </c>
      <c r="Z39" s="1279"/>
    </row>
    <row r="40" spans="1:26" s="1203" customFormat="1">
      <c r="A40" s="1193">
        <v>31</v>
      </c>
      <c r="B40" s="1194" t="s">
        <v>1408</v>
      </c>
      <c r="C40" s="1194" t="s">
        <v>1424</v>
      </c>
      <c r="D40" s="1195">
        <v>55687.64</v>
      </c>
      <c r="E40" s="1196">
        <v>82878.48</v>
      </c>
      <c r="F40" s="1196">
        <v>35242.370000000003</v>
      </c>
      <c r="G40" s="1196">
        <v>199515.2</v>
      </c>
      <c r="H40" s="1196">
        <v>124679.45</v>
      </c>
      <c r="I40" s="1197">
        <v>287916.64</v>
      </c>
      <c r="J40" s="1198">
        <v>103420.76000000001</v>
      </c>
      <c r="K40" s="1198">
        <v>103420.76000000001</v>
      </c>
      <c r="L40" s="1198">
        <v>103420.76000000001</v>
      </c>
      <c r="M40" s="1198">
        <v>103420.76000000001</v>
      </c>
      <c r="N40" s="1198">
        <v>103420.76000000001</v>
      </c>
      <c r="O40" s="1198">
        <v>170761.5</v>
      </c>
      <c r="P40" s="1199">
        <v>46022</v>
      </c>
      <c r="Q40" s="1198">
        <v>376</v>
      </c>
      <c r="R40" s="1200">
        <v>1473785.08</v>
      </c>
      <c r="S40" s="1194"/>
      <c r="T40" s="1201">
        <f t="shared" si="8"/>
        <v>1473785.08</v>
      </c>
      <c r="U40" s="1200">
        <f t="shared" si="5"/>
        <v>785919.78</v>
      </c>
      <c r="V40" s="1200">
        <f t="shared" si="6"/>
        <v>687865.3</v>
      </c>
      <c r="W40" s="1200">
        <f t="shared" si="7"/>
        <v>1473785.08</v>
      </c>
      <c r="X40" s="1201">
        <f>Z40</f>
        <v>1144545.6499999999</v>
      </c>
      <c r="Y40" s="1202" t="s">
        <v>1423</v>
      </c>
      <c r="Z40" s="1279">
        <v>1144545.6499999999</v>
      </c>
    </row>
    <row r="41" spans="1:26">
      <c r="A41" s="7">
        <v>32</v>
      </c>
      <c r="B41" s="228" t="s">
        <v>1408</v>
      </c>
      <c r="C41" s="228" t="s">
        <v>1425</v>
      </c>
      <c r="D41" s="229">
        <v>0</v>
      </c>
      <c r="E41" s="230">
        <v>0</v>
      </c>
      <c r="F41" s="230">
        <v>0</v>
      </c>
      <c r="G41" s="230">
        <v>0</v>
      </c>
      <c r="H41" s="230">
        <v>0</v>
      </c>
      <c r="I41" s="231">
        <v>0</v>
      </c>
      <c r="J41" s="232">
        <v>4148.87</v>
      </c>
      <c r="K41" s="232">
        <v>4148.87</v>
      </c>
      <c r="L41" s="232">
        <v>4148.87</v>
      </c>
      <c r="M41" s="232">
        <v>4148.87</v>
      </c>
      <c r="N41" s="232">
        <v>4148.87</v>
      </c>
      <c r="O41" s="232">
        <v>11257.61</v>
      </c>
      <c r="P41" s="233">
        <v>44561</v>
      </c>
      <c r="Q41" s="234"/>
      <c r="R41" s="235">
        <v>32001.96</v>
      </c>
      <c r="S41" s="228"/>
      <c r="T41" s="236">
        <f t="shared" si="8"/>
        <v>32001.96</v>
      </c>
      <c r="U41" s="237">
        <f t="shared" si="5"/>
        <v>0</v>
      </c>
      <c r="V41" s="238">
        <f t="shared" si="6"/>
        <v>32001.96</v>
      </c>
      <c r="W41" s="235">
        <f t="shared" si="7"/>
        <v>32001.96</v>
      </c>
      <c r="X41" s="228"/>
      <c r="Y41" s="240" t="s">
        <v>1421</v>
      </c>
      <c r="Z41" s="1279"/>
    </row>
    <row r="42" spans="1:26" s="1203" customFormat="1">
      <c r="A42" s="1193">
        <v>33</v>
      </c>
      <c r="B42" s="1194" t="s">
        <v>1408</v>
      </c>
      <c r="C42" s="1194" t="s">
        <v>1426</v>
      </c>
      <c r="D42" s="1195">
        <v>3196.17</v>
      </c>
      <c r="E42" s="1196">
        <v>14268.12</v>
      </c>
      <c r="F42" s="1196">
        <v>35800.400000000001</v>
      </c>
      <c r="G42" s="1196">
        <v>19489.97</v>
      </c>
      <c r="H42" s="1196">
        <v>34540.31</v>
      </c>
      <c r="I42" s="1197">
        <v>597.29</v>
      </c>
      <c r="J42" s="1198">
        <v>28547.53</v>
      </c>
      <c r="K42" s="1198">
        <v>28547.53</v>
      </c>
      <c r="L42" s="1198">
        <v>28547.53</v>
      </c>
      <c r="M42" s="1198">
        <v>28547.53</v>
      </c>
      <c r="N42" s="1198">
        <v>28547.53</v>
      </c>
      <c r="O42" s="1198">
        <v>63346.85</v>
      </c>
      <c r="P42" s="1199">
        <v>44561</v>
      </c>
      <c r="Q42" s="1198">
        <v>378</v>
      </c>
      <c r="R42" s="1200">
        <v>313976.76</v>
      </c>
      <c r="S42" s="1194"/>
      <c r="T42" s="1201">
        <f t="shared" si="8"/>
        <v>313976.76</v>
      </c>
      <c r="U42" s="1200">
        <f t="shared" si="5"/>
        <v>107892.26</v>
      </c>
      <c r="V42" s="1200">
        <f t="shared" si="6"/>
        <v>206084.5</v>
      </c>
      <c r="W42" s="1200">
        <f t="shared" si="7"/>
        <v>313976.76</v>
      </c>
      <c r="X42" s="1201">
        <f>Z42</f>
        <v>158998.25</v>
      </c>
      <c r="Y42" s="1202">
        <v>1</v>
      </c>
      <c r="Z42" s="1279">
        <v>158998.25</v>
      </c>
    </row>
    <row r="43" spans="1:26">
      <c r="A43" s="7">
        <v>34</v>
      </c>
      <c r="B43" s="228" t="s">
        <v>1408</v>
      </c>
      <c r="C43" s="228" t="s">
        <v>1427</v>
      </c>
      <c r="D43" s="229">
        <v>425471.21</v>
      </c>
      <c r="E43" s="230">
        <v>427992.8</v>
      </c>
      <c r="F43" s="230">
        <v>801069.6</v>
      </c>
      <c r="G43" s="230">
        <v>583642.74</v>
      </c>
      <c r="H43" s="230">
        <v>976127.56</v>
      </c>
      <c r="I43" s="231">
        <v>830737.68</v>
      </c>
      <c r="J43" s="232">
        <v>406853.45</v>
      </c>
      <c r="K43" s="232">
        <v>406853.45</v>
      </c>
      <c r="L43" s="232">
        <v>406853.45</v>
      </c>
      <c r="M43" s="232">
        <v>406853.45</v>
      </c>
      <c r="N43" s="232">
        <v>406853.45</v>
      </c>
      <c r="O43" s="232">
        <v>406853.45</v>
      </c>
      <c r="P43" s="233">
        <v>46022</v>
      </c>
      <c r="Q43" s="234">
        <v>380</v>
      </c>
      <c r="R43" s="235">
        <v>6486162.29</v>
      </c>
      <c r="S43" s="228"/>
      <c r="T43" s="236">
        <f t="shared" si="8"/>
        <v>6486162.29</v>
      </c>
      <c r="U43" s="237">
        <f t="shared" si="5"/>
        <v>4045041.59</v>
      </c>
      <c r="V43" s="238">
        <f t="shared" si="6"/>
        <v>2441120.7000000002</v>
      </c>
      <c r="W43" s="235">
        <f t="shared" si="7"/>
        <v>6486162.29</v>
      </c>
      <c r="X43" s="228"/>
      <c r="Y43" s="240" t="s">
        <v>1421</v>
      </c>
      <c r="Z43" s="1279"/>
    </row>
    <row r="44" spans="1:26">
      <c r="A44" s="7">
        <v>35</v>
      </c>
      <c r="B44" s="228" t="s">
        <v>1408</v>
      </c>
      <c r="C44" s="228" t="s">
        <v>1428</v>
      </c>
      <c r="D44" s="229">
        <v>16055.460000000001</v>
      </c>
      <c r="E44" s="230">
        <v>10871.14</v>
      </c>
      <c r="F44" s="230">
        <v>12512.68</v>
      </c>
      <c r="G44" s="230">
        <v>11191.84</v>
      </c>
      <c r="H44" s="230">
        <v>12369.720000000001</v>
      </c>
      <c r="I44" s="231">
        <v>9354.7199999999993</v>
      </c>
      <c r="J44" s="232">
        <v>10540.83</v>
      </c>
      <c r="K44" s="232">
        <v>10540.83</v>
      </c>
      <c r="L44" s="232">
        <v>10540.83</v>
      </c>
      <c r="M44" s="232">
        <v>10540.83</v>
      </c>
      <c r="N44" s="232">
        <v>10540.83</v>
      </c>
      <c r="O44" s="232">
        <v>10540.83</v>
      </c>
      <c r="P44" s="233">
        <v>46022</v>
      </c>
      <c r="Q44" s="234">
        <v>385</v>
      </c>
      <c r="R44" s="235">
        <v>135600.54</v>
      </c>
      <c r="S44" s="228"/>
      <c r="T44" s="236">
        <f t="shared" si="8"/>
        <v>135600.54</v>
      </c>
      <c r="U44" s="237">
        <f t="shared" si="5"/>
        <v>72355.56</v>
      </c>
      <c r="V44" s="238">
        <f t="shared" si="6"/>
        <v>63244.98</v>
      </c>
      <c r="W44" s="235">
        <f t="shared" si="7"/>
        <v>135600.54</v>
      </c>
      <c r="X44" s="228"/>
      <c r="Y44" s="240" t="s">
        <v>1421</v>
      </c>
      <c r="Z44" s="1279"/>
    </row>
    <row r="45" spans="1:26" s="1203" customFormat="1">
      <c r="A45" s="1193">
        <v>36</v>
      </c>
      <c r="B45" s="1194" t="s">
        <v>1408</v>
      </c>
      <c r="C45" s="1194" t="s">
        <v>1429</v>
      </c>
      <c r="D45" s="1195">
        <v>53877.35</v>
      </c>
      <c r="E45" s="1196">
        <v>44300.14</v>
      </c>
      <c r="F45" s="1196">
        <v>118263.37</v>
      </c>
      <c r="G45" s="1196">
        <v>54435.64</v>
      </c>
      <c r="H45" s="1196">
        <v>108146.2</v>
      </c>
      <c r="I45" s="1197">
        <v>56643.76</v>
      </c>
      <c r="J45" s="1198">
        <v>72099.3</v>
      </c>
      <c r="K45" s="1198">
        <v>72099.3</v>
      </c>
      <c r="L45" s="1198">
        <v>72099.3</v>
      </c>
      <c r="M45" s="1198">
        <v>72099.3</v>
      </c>
      <c r="N45" s="1198">
        <v>72099.3</v>
      </c>
      <c r="O45" s="1198">
        <v>72099.3</v>
      </c>
      <c r="P45" s="1199">
        <v>46022</v>
      </c>
      <c r="Q45" s="1198">
        <v>385</v>
      </c>
      <c r="R45" s="1200">
        <v>868262.26</v>
      </c>
      <c r="S45" s="1194"/>
      <c r="T45" s="1201">
        <f t="shared" si="8"/>
        <v>868262.26</v>
      </c>
      <c r="U45" s="1200">
        <f t="shared" si="5"/>
        <v>435666.46</v>
      </c>
      <c r="V45" s="1200">
        <f t="shared" si="6"/>
        <v>432595.8</v>
      </c>
      <c r="W45" s="1200">
        <f t="shared" si="7"/>
        <v>868262.26</v>
      </c>
      <c r="X45" s="1201">
        <f>Z45</f>
        <v>672425.8</v>
      </c>
      <c r="Y45" s="1202">
        <v>1</v>
      </c>
      <c r="Z45" s="1279">
        <v>672425.8</v>
      </c>
    </row>
    <row r="46" spans="1:26">
      <c r="A46" s="7">
        <v>37</v>
      </c>
      <c r="B46" s="228" t="s">
        <v>1408</v>
      </c>
      <c r="C46" s="228" t="s">
        <v>1430</v>
      </c>
      <c r="D46" s="229">
        <v>7209.58</v>
      </c>
      <c r="E46" s="230">
        <v>11044.86</v>
      </c>
      <c r="F46" s="230">
        <v>12298.220000000001</v>
      </c>
      <c r="G46" s="230">
        <v>5253.38</v>
      </c>
      <c r="H46" s="230">
        <v>4908.74</v>
      </c>
      <c r="I46" s="231">
        <v>24161.05</v>
      </c>
      <c r="J46" s="232">
        <v>14967.98</v>
      </c>
      <c r="K46" s="232">
        <v>14967.98</v>
      </c>
      <c r="L46" s="232">
        <v>14967.98</v>
      </c>
      <c r="M46" s="232">
        <v>14967.98</v>
      </c>
      <c r="N46" s="232">
        <v>14967.98</v>
      </c>
      <c r="O46" s="232">
        <v>14967.98</v>
      </c>
      <c r="P46" s="233">
        <v>46022</v>
      </c>
      <c r="Q46" s="234">
        <v>385</v>
      </c>
      <c r="R46" s="235">
        <v>154683.71</v>
      </c>
      <c r="S46" s="228"/>
      <c r="T46" s="236">
        <f t="shared" si="8"/>
        <v>154683.71</v>
      </c>
      <c r="U46" s="237">
        <f t="shared" si="5"/>
        <v>64875.83</v>
      </c>
      <c r="V46" s="238">
        <f t="shared" si="6"/>
        <v>89807.87999999999</v>
      </c>
      <c r="W46" s="235">
        <f t="shared" si="7"/>
        <v>154683.71</v>
      </c>
      <c r="X46" s="228"/>
      <c r="Y46" s="240" t="s">
        <v>1421</v>
      </c>
      <c r="Z46" s="1279"/>
    </row>
    <row r="47" spans="1:26">
      <c r="A47" s="7">
        <v>38</v>
      </c>
      <c r="B47" s="228" t="s">
        <v>1408</v>
      </c>
      <c r="C47" s="228" t="s">
        <v>1431</v>
      </c>
      <c r="D47" s="229">
        <v>8555.82</v>
      </c>
      <c r="E47" s="230">
        <v>9462.36</v>
      </c>
      <c r="F47" s="230">
        <v>10953.56</v>
      </c>
      <c r="G47" s="230">
        <v>19761.36</v>
      </c>
      <c r="H47" s="230">
        <v>28329.13</v>
      </c>
      <c r="I47" s="231">
        <v>38182.980000000003</v>
      </c>
      <c r="J47" s="232">
        <v>10766.210000000001</v>
      </c>
      <c r="K47" s="232">
        <v>10766.210000000001</v>
      </c>
      <c r="L47" s="232">
        <v>10766.210000000001</v>
      </c>
      <c r="M47" s="232">
        <v>10766.210000000001</v>
      </c>
      <c r="N47" s="232">
        <v>10766.210000000001</v>
      </c>
      <c r="O47" s="232">
        <v>10766.210000000001</v>
      </c>
      <c r="P47" s="233">
        <v>46022</v>
      </c>
      <c r="Q47" s="234">
        <v>385</v>
      </c>
      <c r="R47" s="235">
        <v>179842.47</v>
      </c>
      <c r="S47" s="228"/>
      <c r="T47" s="236">
        <f t="shared" si="8"/>
        <v>179842.47</v>
      </c>
      <c r="U47" s="237">
        <f t="shared" si="5"/>
        <v>115245.20999999999</v>
      </c>
      <c r="V47" s="238">
        <f t="shared" si="6"/>
        <v>64597.26</v>
      </c>
      <c r="W47" s="235">
        <f t="shared" si="7"/>
        <v>179842.47</v>
      </c>
      <c r="X47" s="236"/>
      <c r="Y47" s="240" t="s">
        <v>1423</v>
      </c>
      <c r="Z47" s="1279"/>
    </row>
    <row r="48" spans="1:26">
      <c r="A48" s="7">
        <v>39</v>
      </c>
      <c r="B48" s="228" t="s">
        <v>1408</v>
      </c>
      <c r="C48" s="228" t="s">
        <v>1432</v>
      </c>
      <c r="D48" s="229">
        <v>33464.85</v>
      </c>
      <c r="E48" s="230">
        <v>831159.6</v>
      </c>
      <c r="F48" s="230">
        <v>199409.07</v>
      </c>
      <c r="G48" s="230">
        <v>48252.06</v>
      </c>
      <c r="H48" s="230">
        <v>56381.25</v>
      </c>
      <c r="I48" s="231">
        <v>408318.52</v>
      </c>
      <c r="J48" s="232">
        <v>390010.83</v>
      </c>
      <c r="K48" s="232">
        <v>390010.83</v>
      </c>
      <c r="L48" s="232">
        <v>390010.83</v>
      </c>
      <c r="M48" s="232">
        <v>390010.83</v>
      </c>
      <c r="N48" s="232">
        <v>390010.83</v>
      </c>
      <c r="O48" s="232">
        <v>390010.83</v>
      </c>
      <c r="P48" s="233">
        <v>46022</v>
      </c>
      <c r="Q48" s="234"/>
      <c r="R48" s="235">
        <v>3917050.33</v>
      </c>
      <c r="S48" s="935">
        <f>+'State Allocation Formulas'!$L$25</f>
        <v>0.77239999999999998</v>
      </c>
      <c r="T48" s="236">
        <f t="shared" ref="T48:T49" si="9">+R48*S48</f>
        <v>3025529.6748919999</v>
      </c>
      <c r="U48" s="237">
        <f t="shared" si="5"/>
        <v>1576985.35</v>
      </c>
      <c r="V48" s="238">
        <f t="shared" si="6"/>
        <v>2340064.98</v>
      </c>
      <c r="W48" s="235">
        <f t="shared" si="7"/>
        <v>3917050.33</v>
      </c>
      <c r="X48" s="228"/>
      <c r="Y48" s="240" t="s">
        <v>1421</v>
      </c>
      <c r="Z48" s="1279"/>
    </row>
    <row r="49" spans="1:26">
      <c r="A49" s="7">
        <v>40</v>
      </c>
      <c r="B49" s="228" t="s">
        <v>1408</v>
      </c>
      <c r="C49" s="228" t="s">
        <v>1433</v>
      </c>
      <c r="D49" s="229">
        <v>16226.91</v>
      </c>
      <c r="E49" s="230">
        <v>78726.98</v>
      </c>
      <c r="F49" s="230">
        <v>47950.559999999998</v>
      </c>
      <c r="G49" s="230">
        <v>32704.15</v>
      </c>
      <c r="H49" s="230">
        <v>38599.06</v>
      </c>
      <c r="I49" s="231">
        <v>43650.64</v>
      </c>
      <c r="J49" s="232">
        <v>30146.78</v>
      </c>
      <c r="K49" s="232">
        <v>30146.78</v>
      </c>
      <c r="L49" s="232">
        <v>30146.78</v>
      </c>
      <c r="M49" s="232">
        <v>30146.78</v>
      </c>
      <c r="N49" s="232">
        <v>30146.78</v>
      </c>
      <c r="O49" s="232">
        <v>30146.78</v>
      </c>
      <c r="P49" s="233">
        <v>46022</v>
      </c>
      <c r="Q49" s="234"/>
      <c r="R49" s="235">
        <v>438738.98</v>
      </c>
      <c r="S49" s="935">
        <f>+'State Allocation Formulas'!$L$25</f>
        <v>0.77239999999999998</v>
      </c>
      <c r="T49" s="236">
        <f t="shared" si="9"/>
        <v>338881.98815199995</v>
      </c>
      <c r="U49" s="237">
        <f t="shared" si="5"/>
        <v>257858.3</v>
      </c>
      <c r="V49" s="238">
        <f t="shared" si="6"/>
        <v>180880.68</v>
      </c>
      <c r="W49" s="235">
        <f t="shared" si="7"/>
        <v>438738.98</v>
      </c>
      <c r="X49" s="228"/>
      <c r="Y49" s="240" t="s">
        <v>1421</v>
      </c>
      <c r="Z49" s="1279"/>
    </row>
    <row r="50" spans="1:26" s="1203" customFormat="1">
      <c r="A50" s="1193">
        <v>41</v>
      </c>
      <c r="B50" s="1194" t="s">
        <v>1408</v>
      </c>
      <c r="C50" s="1194" t="s">
        <v>1434</v>
      </c>
      <c r="D50" s="1195">
        <v>55182.26</v>
      </c>
      <c r="E50" s="1196">
        <v>51675.71</v>
      </c>
      <c r="F50" s="1196">
        <v>117859.57</v>
      </c>
      <c r="G50" s="1196">
        <v>134681.64000000001</v>
      </c>
      <c r="H50" s="1196">
        <v>114745.13</v>
      </c>
      <c r="I50" s="1197">
        <v>151471.5</v>
      </c>
      <c r="J50" s="1198">
        <v>25375.16</v>
      </c>
      <c r="K50" s="1198">
        <v>25375.16</v>
      </c>
      <c r="L50" s="1198">
        <v>25375.16</v>
      </c>
      <c r="M50" s="1198">
        <v>25375.16</v>
      </c>
      <c r="N50" s="1198">
        <v>25375.16</v>
      </c>
      <c r="O50" s="1198">
        <v>25375.16</v>
      </c>
      <c r="P50" s="1199">
        <v>46022</v>
      </c>
      <c r="Q50" s="1198">
        <v>380</v>
      </c>
      <c r="R50" s="1200">
        <v>777866.77</v>
      </c>
      <c r="S50" s="1194"/>
      <c r="T50" s="1201">
        <f t="shared" ref="T50:T53" si="10">+R50</f>
        <v>777866.77</v>
      </c>
      <c r="U50" s="1200">
        <f t="shared" si="5"/>
        <v>625615.81000000006</v>
      </c>
      <c r="V50" s="1200">
        <f t="shared" si="6"/>
        <v>152250.96</v>
      </c>
      <c r="W50" s="1200">
        <f t="shared" si="7"/>
        <v>777866.77</v>
      </c>
      <c r="X50" s="1201">
        <f>Z50</f>
        <v>1160368.8400000001</v>
      </c>
      <c r="Y50" s="1202">
        <v>1</v>
      </c>
      <c r="Z50" s="1279">
        <v>1160368.8400000001</v>
      </c>
    </row>
    <row r="51" spans="1:26">
      <c r="A51" s="7">
        <v>42</v>
      </c>
      <c r="B51" s="228" t="s">
        <v>1408</v>
      </c>
      <c r="C51" s="228" t="s">
        <v>1435</v>
      </c>
      <c r="D51" s="229">
        <v>58.800000000000004</v>
      </c>
      <c r="E51" s="230">
        <v>7802.16</v>
      </c>
      <c r="F51" s="230">
        <v>20236.580000000002</v>
      </c>
      <c r="G51" s="230">
        <v>-49</v>
      </c>
      <c r="H51" s="230">
        <v>1377</v>
      </c>
      <c r="I51" s="231">
        <v>0</v>
      </c>
      <c r="J51" s="232">
        <v>0</v>
      </c>
      <c r="K51" s="232">
        <v>0</v>
      </c>
      <c r="L51" s="232">
        <v>0</v>
      </c>
      <c r="M51" s="232">
        <v>0</v>
      </c>
      <c r="N51" s="232">
        <v>0</v>
      </c>
      <c r="O51" s="232">
        <v>0</v>
      </c>
      <c r="P51" s="233">
        <v>42643</v>
      </c>
      <c r="Q51" s="234">
        <v>376</v>
      </c>
      <c r="R51" s="235">
        <v>29425.54</v>
      </c>
      <c r="S51" s="228"/>
      <c r="T51" s="236">
        <f t="shared" si="10"/>
        <v>29425.54</v>
      </c>
      <c r="U51" s="237">
        <f t="shared" si="5"/>
        <v>29425.54</v>
      </c>
      <c r="V51" s="238">
        <f t="shared" si="6"/>
        <v>0</v>
      </c>
      <c r="W51" s="235">
        <f t="shared" si="7"/>
        <v>29425.54</v>
      </c>
      <c r="X51" s="228"/>
      <c r="Y51" s="240" t="s">
        <v>1436</v>
      </c>
      <c r="Z51" s="1279"/>
    </row>
    <row r="52" spans="1:26">
      <c r="A52" s="7">
        <v>43</v>
      </c>
      <c r="B52" s="228" t="s">
        <v>1408</v>
      </c>
      <c r="C52" s="228" t="s">
        <v>1437</v>
      </c>
      <c r="D52" s="229">
        <v>-241.59</v>
      </c>
      <c r="E52" s="230">
        <v>-12212.15</v>
      </c>
      <c r="F52" s="230">
        <v>13201.27</v>
      </c>
      <c r="G52" s="230">
        <v>3359.34</v>
      </c>
      <c r="H52" s="230">
        <v>8699.16</v>
      </c>
      <c r="I52" s="231">
        <v>9996.68</v>
      </c>
      <c r="J52" s="232">
        <v>0</v>
      </c>
      <c r="K52" s="232">
        <v>0</v>
      </c>
      <c r="L52" s="232">
        <v>0</v>
      </c>
      <c r="M52" s="232">
        <v>0</v>
      </c>
      <c r="N52" s="232">
        <v>75000</v>
      </c>
      <c r="O52" s="232">
        <v>0</v>
      </c>
      <c r="P52" s="233">
        <v>43100</v>
      </c>
      <c r="Q52" s="234">
        <v>378</v>
      </c>
      <c r="R52" s="235">
        <v>97802.71</v>
      </c>
      <c r="S52" s="228"/>
      <c r="T52" s="236">
        <f t="shared" si="10"/>
        <v>97802.71</v>
      </c>
      <c r="U52" s="237">
        <f t="shared" si="5"/>
        <v>22802.71</v>
      </c>
      <c r="V52" s="238">
        <f t="shared" si="6"/>
        <v>75000</v>
      </c>
      <c r="W52" s="235">
        <f t="shared" si="7"/>
        <v>97802.709999999992</v>
      </c>
      <c r="X52" s="236"/>
      <c r="Y52" s="240">
        <v>19</v>
      </c>
      <c r="Z52" s="1279"/>
    </row>
    <row r="53" spans="1:26">
      <c r="A53" s="7">
        <v>44</v>
      </c>
      <c r="B53" s="228" t="s">
        <v>1408</v>
      </c>
      <c r="C53" s="228" t="s">
        <v>1438</v>
      </c>
      <c r="D53" s="229">
        <v>0</v>
      </c>
      <c r="E53" s="230">
        <v>3434.7200000000003</v>
      </c>
      <c r="F53" s="230">
        <v>3455.5</v>
      </c>
      <c r="G53" s="230">
        <v>4089.88</v>
      </c>
      <c r="H53" s="230">
        <v>3192.06</v>
      </c>
      <c r="I53" s="231">
        <v>0</v>
      </c>
      <c r="J53" s="232">
        <v>0</v>
      </c>
      <c r="K53" s="232">
        <v>0</v>
      </c>
      <c r="L53" s="232">
        <v>0</v>
      </c>
      <c r="M53" s="232">
        <v>0</v>
      </c>
      <c r="N53" s="232">
        <v>0</v>
      </c>
      <c r="O53" s="232">
        <v>0</v>
      </c>
      <c r="P53" s="233">
        <v>42810</v>
      </c>
      <c r="Q53" s="234">
        <v>376</v>
      </c>
      <c r="R53" s="235">
        <v>14172.16</v>
      </c>
      <c r="S53" s="228"/>
      <c r="T53" s="236">
        <f t="shared" si="10"/>
        <v>14172.16</v>
      </c>
      <c r="U53" s="237">
        <f t="shared" si="5"/>
        <v>14172.16</v>
      </c>
      <c r="V53" s="238">
        <f t="shared" si="6"/>
        <v>0</v>
      </c>
      <c r="W53" s="235">
        <f t="shared" si="7"/>
        <v>14172.16</v>
      </c>
      <c r="X53" s="239"/>
      <c r="Y53" s="240" t="s">
        <v>1439</v>
      </c>
      <c r="Z53" s="1279"/>
    </row>
    <row r="54" spans="1:26">
      <c r="A54" s="7">
        <v>45</v>
      </c>
      <c r="B54" s="228" t="s">
        <v>1408</v>
      </c>
      <c r="C54" s="228" t="s">
        <v>1440</v>
      </c>
      <c r="D54" s="229">
        <v>95867.94</v>
      </c>
      <c r="E54" s="230">
        <v>3845.17</v>
      </c>
      <c r="F54" s="230">
        <v>45604.25</v>
      </c>
      <c r="G54" s="230">
        <v>6382.88</v>
      </c>
      <c r="H54" s="230">
        <v>34460.33</v>
      </c>
      <c r="I54" s="231">
        <v>-3542.42</v>
      </c>
      <c r="J54" s="232">
        <v>0</v>
      </c>
      <c r="K54" s="232">
        <v>0</v>
      </c>
      <c r="L54" s="232">
        <v>0</v>
      </c>
      <c r="M54" s="232">
        <v>0</v>
      </c>
      <c r="N54" s="232">
        <v>0</v>
      </c>
      <c r="O54" s="232">
        <v>0</v>
      </c>
      <c r="P54" s="234"/>
      <c r="Q54" s="234"/>
      <c r="R54" s="235">
        <v>182618.15</v>
      </c>
      <c r="S54" s="228"/>
      <c r="T54" s="236"/>
      <c r="U54" s="237">
        <f t="shared" si="5"/>
        <v>182618.15</v>
      </c>
      <c r="V54" s="238">
        <f t="shared" si="6"/>
        <v>0</v>
      </c>
      <c r="W54" s="235">
        <f t="shared" si="7"/>
        <v>182618.15</v>
      </c>
      <c r="X54" s="228"/>
      <c r="Y54" s="240"/>
      <c r="Z54" s="1279"/>
    </row>
    <row r="55" spans="1:26">
      <c r="A55" s="7">
        <v>46</v>
      </c>
      <c r="B55" s="228" t="s">
        <v>1408</v>
      </c>
      <c r="C55" s="228" t="s">
        <v>1441</v>
      </c>
      <c r="D55" s="229">
        <v>2409.87</v>
      </c>
      <c r="E55" s="230">
        <v>28588.36</v>
      </c>
      <c r="F55" s="230">
        <v>3748.52</v>
      </c>
      <c r="G55" s="230">
        <v>1542.54</v>
      </c>
      <c r="H55" s="230">
        <v>2553.92</v>
      </c>
      <c r="I55" s="231">
        <v>27719.61</v>
      </c>
      <c r="J55" s="232">
        <v>253141.74000000002</v>
      </c>
      <c r="K55" s="232">
        <v>381027.81</v>
      </c>
      <c r="L55" s="232">
        <v>655082.67000000004</v>
      </c>
      <c r="M55" s="232">
        <v>861079.46</v>
      </c>
      <c r="N55" s="232">
        <v>644470.81000000006</v>
      </c>
      <c r="O55" s="232">
        <v>331800.07</v>
      </c>
      <c r="P55" s="233">
        <v>44531</v>
      </c>
      <c r="Q55" s="234"/>
      <c r="R55" s="235">
        <v>3193165.38</v>
      </c>
      <c r="S55" s="228"/>
      <c r="T55" s="236">
        <f t="shared" ref="T55:T56" si="11">+R55</f>
        <v>3193165.38</v>
      </c>
      <c r="U55" s="237">
        <f t="shared" si="5"/>
        <v>66562.820000000007</v>
      </c>
      <c r="V55" s="238">
        <f t="shared" si="6"/>
        <v>3126602.56</v>
      </c>
      <c r="W55" s="235">
        <f t="shared" si="7"/>
        <v>3193165.38</v>
      </c>
      <c r="X55" s="228"/>
      <c r="Y55" s="240" t="s">
        <v>1436</v>
      </c>
      <c r="Z55" s="1279"/>
    </row>
    <row r="56" spans="1:26">
      <c r="A56" s="7">
        <v>47</v>
      </c>
      <c r="B56" s="228" t="s">
        <v>1408</v>
      </c>
      <c r="C56" s="228" t="s">
        <v>1442</v>
      </c>
      <c r="D56" s="229">
        <v>13508.300000000001</v>
      </c>
      <c r="E56" s="230">
        <v>30443.24</v>
      </c>
      <c r="F56" s="230">
        <v>62108.880000000005</v>
      </c>
      <c r="G56" s="230">
        <v>21952.49</v>
      </c>
      <c r="H56" s="230">
        <v>111589.23</v>
      </c>
      <c r="I56" s="231">
        <v>27022.850000000002</v>
      </c>
      <c r="J56" s="232">
        <v>465089.71</v>
      </c>
      <c r="K56" s="232">
        <v>467654.68</v>
      </c>
      <c r="L56" s="232">
        <v>210929.30000000002</v>
      </c>
      <c r="M56" s="232">
        <v>212092.57</v>
      </c>
      <c r="N56" s="232">
        <v>205546.25</v>
      </c>
      <c r="O56" s="232">
        <v>205546.25</v>
      </c>
      <c r="P56" s="233">
        <v>43039</v>
      </c>
      <c r="Q56" s="234"/>
      <c r="R56" s="235">
        <v>2033483.75</v>
      </c>
      <c r="S56" s="228"/>
      <c r="T56" s="236">
        <f t="shared" si="11"/>
        <v>2033483.75</v>
      </c>
      <c r="U56" s="237">
        <f t="shared" si="5"/>
        <v>266624.99</v>
      </c>
      <c r="V56" s="238">
        <f t="shared" si="6"/>
        <v>1766858.76</v>
      </c>
      <c r="W56" s="235">
        <f t="shared" si="7"/>
        <v>2033483.75</v>
      </c>
      <c r="X56" s="228"/>
      <c r="Y56" s="240" t="s">
        <v>1436</v>
      </c>
      <c r="Z56" s="1279"/>
    </row>
    <row r="57" spans="1:26">
      <c r="A57" s="7">
        <v>48</v>
      </c>
      <c r="B57" s="228" t="s">
        <v>1408</v>
      </c>
      <c r="C57" s="228" t="s">
        <v>1443</v>
      </c>
      <c r="D57" s="229">
        <v>47821.770000000004</v>
      </c>
      <c r="E57" s="230">
        <v>5899.81</v>
      </c>
      <c r="F57" s="230">
        <v>48333.93</v>
      </c>
      <c r="G57" s="230">
        <v>184273.71</v>
      </c>
      <c r="H57" s="230">
        <v>420724.88</v>
      </c>
      <c r="I57" s="231">
        <v>122117.23</v>
      </c>
      <c r="J57" s="232">
        <v>417942.54000000004</v>
      </c>
      <c r="K57" s="232">
        <v>420247.49</v>
      </c>
      <c r="L57" s="232">
        <v>422565.16000000003</v>
      </c>
      <c r="M57" s="232">
        <v>424895.60000000003</v>
      </c>
      <c r="N57" s="232">
        <v>389291.9</v>
      </c>
      <c r="O57" s="232">
        <v>126490</v>
      </c>
      <c r="P57" s="234"/>
      <c r="Q57" s="234"/>
      <c r="R57" s="235">
        <v>3030604.02</v>
      </c>
      <c r="S57" s="228"/>
      <c r="T57" s="236"/>
      <c r="U57" s="237">
        <f t="shared" si="5"/>
        <v>829171.33</v>
      </c>
      <c r="V57" s="238">
        <f t="shared" si="6"/>
        <v>2201432.69</v>
      </c>
      <c r="W57" s="235">
        <f t="shared" si="7"/>
        <v>3030604.02</v>
      </c>
      <c r="X57" s="228"/>
      <c r="Y57" s="240"/>
      <c r="Z57" s="1279"/>
    </row>
    <row r="58" spans="1:26">
      <c r="A58" s="7">
        <v>49</v>
      </c>
      <c r="B58" s="228" t="s">
        <v>1408</v>
      </c>
      <c r="C58" s="228" t="s">
        <v>1444</v>
      </c>
      <c r="D58" s="229">
        <v>161.38</v>
      </c>
      <c r="E58" s="230">
        <v>162.36000000000001</v>
      </c>
      <c r="F58" s="230">
        <v>163.34</v>
      </c>
      <c r="G58" s="230">
        <v>149.82</v>
      </c>
      <c r="H58" s="230">
        <v>150.64000000000001</v>
      </c>
      <c r="I58" s="231">
        <v>151.47999999999999</v>
      </c>
      <c r="J58" s="232">
        <v>152.31</v>
      </c>
      <c r="K58" s="232">
        <v>153.15</v>
      </c>
      <c r="L58" s="232">
        <v>153.99</v>
      </c>
      <c r="M58" s="232">
        <v>31777.350000000002</v>
      </c>
      <c r="N58" s="232">
        <v>31952.59</v>
      </c>
      <c r="O58" s="232">
        <v>506.32</v>
      </c>
      <c r="P58" s="234"/>
      <c r="Q58" s="234"/>
      <c r="R58" s="235">
        <v>65634.73</v>
      </c>
      <c r="S58" s="228"/>
      <c r="T58" s="236"/>
      <c r="U58" s="237">
        <f t="shared" si="5"/>
        <v>939.0200000000001</v>
      </c>
      <c r="V58" s="238">
        <f t="shared" si="6"/>
        <v>64695.71</v>
      </c>
      <c r="W58" s="235">
        <f t="shared" si="7"/>
        <v>65634.73</v>
      </c>
      <c r="X58" s="228"/>
      <c r="Y58" s="240"/>
      <c r="Z58" s="1279"/>
    </row>
    <row r="59" spans="1:26">
      <c r="A59" s="7">
        <v>50</v>
      </c>
      <c r="B59" s="228" t="s">
        <v>1408</v>
      </c>
      <c r="C59" s="228" t="s">
        <v>1445</v>
      </c>
      <c r="D59" s="229">
        <v>0</v>
      </c>
      <c r="E59" s="230">
        <v>718.92</v>
      </c>
      <c r="F59" s="230">
        <v>808.77</v>
      </c>
      <c r="G59" s="230">
        <v>0</v>
      </c>
      <c r="H59" s="230">
        <v>447.34000000000003</v>
      </c>
      <c r="I59" s="231">
        <v>0</v>
      </c>
      <c r="J59" s="232">
        <v>0</v>
      </c>
      <c r="K59" s="232">
        <v>0</v>
      </c>
      <c r="L59" s="232">
        <v>0</v>
      </c>
      <c r="M59" s="232">
        <v>0</v>
      </c>
      <c r="N59" s="232">
        <v>0</v>
      </c>
      <c r="O59" s="232">
        <v>0</v>
      </c>
      <c r="P59" s="233">
        <v>42735</v>
      </c>
      <c r="Q59" s="234"/>
      <c r="R59" s="235">
        <v>1975.03</v>
      </c>
      <c r="S59" s="228"/>
      <c r="T59" s="236">
        <f t="shared" ref="T59:T62" si="12">+R59</f>
        <v>1975.03</v>
      </c>
      <c r="U59" s="237">
        <f t="shared" si="5"/>
        <v>1975.0300000000002</v>
      </c>
      <c r="V59" s="238">
        <f t="shared" si="6"/>
        <v>0</v>
      </c>
      <c r="W59" s="235">
        <f t="shared" si="7"/>
        <v>1975.0300000000002</v>
      </c>
      <c r="X59" s="228"/>
      <c r="Y59" s="240" t="s">
        <v>1436</v>
      </c>
      <c r="Z59" s="1279"/>
    </row>
    <row r="60" spans="1:26">
      <c r="A60" s="7">
        <v>51</v>
      </c>
      <c r="B60" s="228" t="s">
        <v>1408</v>
      </c>
      <c r="C60" s="228" t="s">
        <v>1446</v>
      </c>
      <c r="D60" s="229">
        <v>0</v>
      </c>
      <c r="E60" s="230">
        <v>0</v>
      </c>
      <c r="F60" s="230">
        <v>0</v>
      </c>
      <c r="G60" s="230">
        <v>0</v>
      </c>
      <c r="H60" s="230">
        <v>52745.33</v>
      </c>
      <c r="I60" s="231">
        <v>6744.02</v>
      </c>
      <c r="J60" s="232">
        <v>306.19</v>
      </c>
      <c r="K60" s="232">
        <v>632757.87</v>
      </c>
      <c r="L60" s="232">
        <v>636247.54</v>
      </c>
      <c r="M60" s="232">
        <v>632450</v>
      </c>
      <c r="N60" s="232">
        <v>0</v>
      </c>
      <c r="O60" s="232">
        <v>0</v>
      </c>
      <c r="P60" s="233">
        <v>42993</v>
      </c>
      <c r="Q60" s="234"/>
      <c r="R60" s="235">
        <v>1961250.9500000002</v>
      </c>
      <c r="S60" s="228"/>
      <c r="T60" s="236">
        <f t="shared" si="12"/>
        <v>1961250.9500000002</v>
      </c>
      <c r="U60" s="237">
        <f t="shared" si="5"/>
        <v>59489.350000000006</v>
      </c>
      <c r="V60" s="238">
        <f t="shared" si="6"/>
        <v>1901761.6</v>
      </c>
      <c r="W60" s="235">
        <f t="shared" si="7"/>
        <v>1961250.9500000002</v>
      </c>
      <c r="X60" s="228"/>
      <c r="Y60" s="240" t="s">
        <v>1436</v>
      </c>
      <c r="Z60" s="1279"/>
    </row>
    <row r="61" spans="1:26">
      <c r="A61" s="7">
        <v>52</v>
      </c>
      <c r="B61" s="228" t="s">
        <v>1408</v>
      </c>
      <c r="C61" s="228" t="s">
        <v>1447</v>
      </c>
      <c r="D61" s="229">
        <v>0</v>
      </c>
      <c r="E61" s="230">
        <v>0</v>
      </c>
      <c r="F61" s="230">
        <v>13660.92</v>
      </c>
      <c r="G61" s="230">
        <v>5570.43</v>
      </c>
      <c r="H61" s="230">
        <v>67349.39</v>
      </c>
      <c r="I61" s="231">
        <v>436956.91000000003</v>
      </c>
      <c r="J61" s="232">
        <v>635240.45000000007</v>
      </c>
      <c r="K61" s="232">
        <v>278247.3</v>
      </c>
      <c r="L61" s="232">
        <v>7828.33</v>
      </c>
      <c r="M61" s="232">
        <v>7871.51</v>
      </c>
      <c r="N61" s="232">
        <v>7914.92</v>
      </c>
      <c r="O61" s="232">
        <v>7958.5700000000006</v>
      </c>
      <c r="P61" s="233">
        <v>43100</v>
      </c>
      <c r="Q61" s="234"/>
      <c r="R61" s="235">
        <v>1468598.73</v>
      </c>
      <c r="S61" s="228"/>
      <c r="T61" s="236">
        <f t="shared" si="12"/>
        <v>1468598.73</v>
      </c>
      <c r="U61" s="237">
        <f t="shared" si="5"/>
        <v>523537.65</v>
      </c>
      <c r="V61" s="238">
        <f t="shared" si="6"/>
        <v>945061.08</v>
      </c>
      <c r="W61" s="235">
        <f t="shared" si="7"/>
        <v>1468598.73</v>
      </c>
      <c r="X61" s="228"/>
      <c r="Y61" s="240" t="s">
        <v>1436</v>
      </c>
      <c r="Z61" s="1279"/>
    </row>
    <row r="62" spans="1:26">
      <c r="A62" s="7">
        <v>53</v>
      </c>
      <c r="B62" s="228" t="s">
        <v>1408</v>
      </c>
      <c r="C62" s="228" t="s">
        <v>1448</v>
      </c>
      <c r="D62" s="229">
        <v>47337.67</v>
      </c>
      <c r="E62" s="230">
        <v>71.81</v>
      </c>
      <c r="F62" s="230">
        <v>15571.87</v>
      </c>
      <c r="G62" s="230">
        <v>18753.09</v>
      </c>
      <c r="H62" s="230">
        <v>0</v>
      </c>
      <c r="I62" s="231">
        <v>4155.0200000000004</v>
      </c>
      <c r="J62" s="232">
        <v>14999.99</v>
      </c>
      <c r="K62" s="232">
        <v>24999.99</v>
      </c>
      <c r="L62" s="232">
        <v>55787.55</v>
      </c>
      <c r="M62" s="232">
        <v>28718.62</v>
      </c>
      <c r="N62" s="232">
        <v>19999.990000000002</v>
      </c>
      <c r="O62" s="232">
        <v>15405.720000000001</v>
      </c>
      <c r="P62" s="233">
        <v>46022</v>
      </c>
      <c r="Q62" s="234">
        <v>376</v>
      </c>
      <c r="R62" s="235">
        <v>245801.32</v>
      </c>
      <c r="S62" s="228"/>
      <c r="T62" s="236">
        <f t="shared" si="12"/>
        <v>245801.32</v>
      </c>
      <c r="U62" s="237">
        <f t="shared" si="5"/>
        <v>85889.46</v>
      </c>
      <c r="V62" s="238">
        <f t="shared" si="6"/>
        <v>159911.85999999999</v>
      </c>
      <c r="W62" s="235">
        <f t="shared" si="7"/>
        <v>245801.32</v>
      </c>
      <c r="X62" s="236"/>
      <c r="Y62" s="240">
        <v>24</v>
      </c>
      <c r="Z62" s="1279"/>
    </row>
    <row r="63" spans="1:26">
      <c r="A63" s="7">
        <v>54</v>
      </c>
      <c r="B63" s="228" t="s">
        <v>1408</v>
      </c>
      <c r="C63" s="228" t="s">
        <v>1449</v>
      </c>
      <c r="D63" s="229">
        <v>9728.630000000001</v>
      </c>
      <c r="E63" s="230">
        <v>0</v>
      </c>
      <c r="F63" s="230">
        <v>0</v>
      </c>
      <c r="G63" s="230">
        <v>0</v>
      </c>
      <c r="H63" s="230">
        <v>0</v>
      </c>
      <c r="I63" s="231">
        <v>0</v>
      </c>
      <c r="J63" s="232">
        <v>32893.78</v>
      </c>
      <c r="K63" s="232">
        <v>22893.77</v>
      </c>
      <c r="L63" s="232">
        <v>14999.99</v>
      </c>
      <c r="M63" s="232">
        <v>38972.42</v>
      </c>
      <c r="N63" s="232">
        <v>32893.79</v>
      </c>
      <c r="O63" s="232">
        <v>23612.77</v>
      </c>
      <c r="P63" s="234"/>
      <c r="Q63" s="234"/>
      <c r="R63" s="235">
        <v>175995.15</v>
      </c>
      <c r="S63" s="228"/>
      <c r="T63" s="236"/>
      <c r="U63" s="237">
        <f t="shared" si="5"/>
        <v>9728.630000000001</v>
      </c>
      <c r="V63" s="238">
        <f t="shared" si="6"/>
        <v>166266.51999999999</v>
      </c>
      <c r="W63" s="235">
        <f t="shared" si="7"/>
        <v>175995.15</v>
      </c>
      <c r="X63" s="228"/>
      <c r="Y63" s="240"/>
      <c r="Z63" s="1279"/>
    </row>
    <row r="64" spans="1:26" s="1203" customFormat="1">
      <c r="A64" s="1193">
        <v>55</v>
      </c>
      <c r="B64" s="1194" t="s">
        <v>1408</v>
      </c>
      <c r="C64" s="1194" t="s">
        <v>1450</v>
      </c>
      <c r="D64" s="1195">
        <v>0</v>
      </c>
      <c r="E64" s="1196">
        <v>265.63</v>
      </c>
      <c r="F64" s="1196">
        <v>9157.73</v>
      </c>
      <c r="G64" s="1196">
        <v>126480.43000000001</v>
      </c>
      <c r="H64" s="1196">
        <v>178259.96</v>
      </c>
      <c r="I64" s="1197">
        <v>287444.65000000002</v>
      </c>
      <c r="J64" s="1198">
        <v>508507.55</v>
      </c>
      <c r="K64" s="1198">
        <v>258331.97</v>
      </c>
      <c r="L64" s="1198">
        <v>133266.67000000001</v>
      </c>
      <c r="M64" s="1198">
        <v>7511.63</v>
      </c>
      <c r="N64" s="1198">
        <v>7553.06</v>
      </c>
      <c r="O64" s="1198">
        <v>7594.72</v>
      </c>
      <c r="P64" s="1199">
        <v>43100</v>
      </c>
      <c r="Q64" s="1198">
        <v>376</v>
      </c>
      <c r="R64" s="1200">
        <v>1524374</v>
      </c>
      <c r="S64" s="1194"/>
      <c r="T64" s="1201">
        <f>+R64</f>
        <v>1524374</v>
      </c>
      <c r="U64" s="1200">
        <f t="shared" si="5"/>
        <v>601608.4</v>
      </c>
      <c r="V64" s="1200">
        <f t="shared" si="6"/>
        <v>922765.60000000009</v>
      </c>
      <c r="W64" s="1200">
        <f t="shared" si="7"/>
        <v>1524374</v>
      </c>
      <c r="X64" s="1201">
        <f>Z64</f>
        <v>1560305.27</v>
      </c>
      <c r="Y64" s="1202">
        <v>20</v>
      </c>
      <c r="Z64" s="1279">
        <v>1560305.27</v>
      </c>
    </row>
    <row r="65" spans="1:26">
      <c r="A65" s="7">
        <v>56</v>
      </c>
      <c r="B65" s="228" t="s">
        <v>1408</v>
      </c>
      <c r="C65" s="228" t="s">
        <v>1451</v>
      </c>
      <c r="D65" s="229">
        <v>111.42</v>
      </c>
      <c r="E65" s="230">
        <v>112.10000000000001</v>
      </c>
      <c r="F65" s="230">
        <v>112.77</v>
      </c>
      <c r="G65" s="230">
        <v>103.44</v>
      </c>
      <c r="H65" s="230">
        <v>1969.68</v>
      </c>
      <c r="I65" s="231">
        <v>15647.970000000001</v>
      </c>
      <c r="J65" s="232">
        <v>253179.63</v>
      </c>
      <c r="K65" s="232">
        <v>191330.91</v>
      </c>
      <c r="L65" s="232">
        <v>15300.11</v>
      </c>
      <c r="M65" s="232">
        <v>2735.4900000000002</v>
      </c>
      <c r="N65" s="232">
        <v>2750.57</v>
      </c>
      <c r="O65" s="232">
        <v>2765.7400000000002</v>
      </c>
      <c r="P65" s="233">
        <v>43100</v>
      </c>
      <c r="Q65" s="234">
        <v>376</v>
      </c>
      <c r="R65" s="235">
        <v>486119.83</v>
      </c>
      <c r="S65" s="228"/>
      <c r="T65" s="236"/>
      <c r="U65" s="237">
        <f t="shared" si="5"/>
        <v>18057.38</v>
      </c>
      <c r="V65" s="238">
        <f t="shared" si="6"/>
        <v>468062.45</v>
      </c>
      <c r="W65" s="235">
        <f t="shared" si="7"/>
        <v>486119.83</v>
      </c>
      <c r="X65" s="228"/>
      <c r="Y65" s="240"/>
      <c r="Z65" s="1279"/>
    </row>
    <row r="66" spans="1:26">
      <c r="A66" s="7">
        <v>57</v>
      </c>
      <c r="B66" s="228" t="s">
        <v>1408</v>
      </c>
      <c r="C66" s="228" t="s">
        <v>1452</v>
      </c>
      <c r="D66" s="229">
        <v>0</v>
      </c>
      <c r="E66" s="230">
        <v>0</v>
      </c>
      <c r="F66" s="230">
        <v>0</v>
      </c>
      <c r="G66" s="230">
        <v>0</v>
      </c>
      <c r="H66" s="230">
        <v>0</v>
      </c>
      <c r="I66" s="231">
        <v>177619.28</v>
      </c>
      <c r="J66" s="232">
        <v>252980</v>
      </c>
      <c r="K66" s="232">
        <v>127885.18000000001</v>
      </c>
      <c r="L66" s="232">
        <v>2100.4700000000003</v>
      </c>
      <c r="M66" s="232">
        <v>2112.0500000000002</v>
      </c>
      <c r="N66" s="232">
        <v>0</v>
      </c>
      <c r="O66" s="232">
        <v>0</v>
      </c>
      <c r="P66" s="233">
        <v>43100</v>
      </c>
      <c r="Q66" s="234">
        <v>376</v>
      </c>
      <c r="R66" s="235">
        <v>562696.98</v>
      </c>
      <c r="S66" s="228"/>
      <c r="T66" s="236"/>
      <c r="U66" s="237">
        <f t="shared" si="5"/>
        <v>177619.28</v>
      </c>
      <c r="V66" s="238">
        <f t="shared" si="6"/>
        <v>385077.69999999995</v>
      </c>
      <c r="W66" s="235">
        <f t="shared" si="7"/>
        <v>562696.98</v>
      </c>
      <c r="X66" s="228"/>
      <c r="Y66" s="240"/>
      <c r="Z66" s="1279"/>
    </row>
    <row r="67" spans="1:26">
      <c r="A67" s="7">
        <v>58</v>
      </c>
      <c r="B67" s="228" t="s">
        <v>1408</v>
      </c>
      <c r="C67" s="228" t="s">
        <v>1453</v>
      </c>
      <c r="D67" s="229">
        <v>9233.2199999999993</v>
      </c>
      <c r="E67" s="230">
        <v>9289.07</v>
      </c>
      <c r="F67" s="230">
        <v>9345.26</v>
      </c>
      <c r="G67" s="230">
        <v>8571.81</v>
      </c>
      <c r="H67" s="230">
        <v>66407.25</v>
      </c>
      <c r="I67" s="231">
        <v>366.23</v>
      </c>
      <c r="J67" s="232">
        <v>8987.34</v>
      </c>
      <c r="K67" s="232">
        <v>9036.9</v>
      </c>
      <c r="L67" s="232">
        <v>75493.990000000005</v>
      </c>
      <c r="M67" s="232">
        <v>9503.09</v>
      </c>
      <c r="N67" s="232">
        <v>9555.5</v>
      </c>
      <c r="O67" s="232">
        <v>9608.2000000000007</v>
      </c>
      <c r="P67" s="233">
        <v>43100</v>
      </c>
      <c r="Q67" s="234">
        <v>378</v>
      </c>
      <c r="R67" s="235">
        <v>225397.86000000002</v>
      </c>
      <c r="S67" s="228"/>
      <c r="T67" s="236">
        <f>+R67</f>
        <v>225397.86000000002</v>
      </c>
      <c r="U67" s="237">
        <f t="shared" si="5"/>
        <v>103212.84</v>
      </c>
      <c r="V67" s="238">
        <f t="shared" si="6"/>
        <v>122185.02</v>
      </c>
      <c r="W67" s="235">
        <f t="shared" si="7"/>
        <v>225397.86</v>
      </c>
      <c r="X67" s="236"/>
      <c r="Y67" s="240">
        <v>8</v>
      </c>
      <c r="Z67" s="1279"/>
    </row>
    <row r="68" spans="1:26">
      <c r="A68" s="7">
        <v>59</v>
      </c>
      <c r="B68" s="228" t="s">
        <v>1408</v>
      </c>
      <c r="C68" s="228" t="s">
        <v>1454</v>
      </c>
      <c r="D68" s="229">
        <v>0</v>
      </c>
      <c r="E68" s="230">
        <v>-201.38</v>
      </c>
      <c r="F68" s="230">
        <v>0</v>
      </c>
      <c r="G68" s="230">
        <v>0</v>
      </c>
      <c r="H68" s="230">
        <v>0</v>
      </c>
      <c r="I68" s="231">
        <v>0</v>
      </c>
      <c r="J68" s="232">
        <v>0</v>
      </c>
      <c r="K68" s="232">
        <v>0</v>
      </c>
      <c r="L68" s="232">
        <v>0</v>
      </c>
      <c r="M68" s="232">
        <v>0</v>
      </c>
      <c r="N68" s="232">
        <v>0</v>
      </c>
      <c r="O68" s="232">
        <v>0</v>
      </c>
      <c r="P68" s="234"/>
      <c r="Q68" s="234"/>
      <c r="R68" s="235">
        <v>-201.38</v>
      </c>
      <c r="S68" s="228"/>
      <c r="T68" s="236"/>
      <c r="U68" s="237">
        <f t="shared" si="5"/>
        <v>-201.38</v>
      </c>
      <c r="V68" s="238">
        <f t="shared" si="6"/>
        <v>0</v>
      </c>
      <c r="W68" s="235">
        <f t="shared" si="7"/>
        <v>-201.38</v>
      </c>
      <c r="X68" s="228"/>
      <c r="Y68" s="240"/>
      <c r="Z68" s="1279"/>
    </row>
    <row r="69" spans="1:26">
      <c r="A69" s="7">
        <v>60</v>
      </c>
      <c r="B69" s="228" t="s">
        <v>1408</v>
      </c>
      <c r="C69" s="228" t="s">
        <v>1455</v>
      </c>
      <c r="D69" s="229">
        <v>0</v>
      </c>
      <c r="E69" s="230">
        <v>0</v>
      </c>
      <c r="F69" s="230">
        <v>0</v>
      </c>
      <c r="G69" s="230">
        <v>0</v>
      </c>
      <c r="H69" s="230">
        <v>0</v>
      </c>
      <c r="I69" s="231">
        <v>18107.37</v>
      </c>
      <c r="J69" s="232">
        <v>0</v>
      </c>
      <c r="K69" s="232">
        <v>0</v>
      </c>
      <c r="L69" s="232">
        <v>88543</v>
      </c>
      <c r="M69" s="232">
        <v>126490</v>
      </c>
      <c r="N69" s="232">
        <v>0</v>
      </c>
      <c r="O69" s="232">
        <v>0</v>
      </c>
      <c r="P69" s="233">
        <v>42962</v>
      </c>
      <c r="Q69" s="234">
        <v>376</v>
      </c>
      <c r="R69" s="235">
        <v>233140.37</v>
      </c>
      <c r="S69" s="228"/>
      <c r="T69" s="236">
        <f t="shared" ref="T69:T71" si="13">+R69</f>
        <v>233140.37</v>
      </c>
      <c r="U69" s="237">
        <f t="shared" si="5"/>
        <v>18107.37</v>
      </c>
      <c r="V69" s="238">
        <f t="shared" si="6"/>
        <v>215033</v>
      </c>
      <c r="W69" s="235">
        <f t="shared" si="7"/>
        <v>233140.37</v>
      </c>
      <c r="X69" s="239"/>
      <c r="Y69" s="240">
        <v>52</v>
      </c>
      <c r="Z69" s="1279"/>
    </row>
    <row r="70" spans="1:26">
      <c r="A70" s="7">
        <v>61</v>
      </c>
      <c r="B70" s="228" t="s">
        <v>1408</v>
      </c>
      <c r="C70" s="228" t="s">
        <v>1456</v>
      </c>
      <c r="D70" s="229">
        <v>169.19</v>
      </c>
      <c r="E70" s="230">
        <v>170.22</v>
      </c>
      <c r="F70" s="230">
        <v>171.24</v>
      </c>
      <c r="G70" s="230">
        <v>157.07</v>
      </c>
      <c r="H70" s="230">
        <v>6995.9800000000005</v>
      </c>
      <c r="I70" s="231">
        <v>758.09</v>
      </c>
      <c r="J70" s="232">
        <v>31822.21</v>
      </c>
      <c r="K70" s="232">
        <v>19348.71</v>
      </c>
      <c r="L70" s="232">
        <v>6806.41</v>
      </c>
      <c r="M70" s="232">
        <v>11843.960000000001</v>
      </c>
      <c r="N70" s="232">
        <v>0</v>
      </c>
      <c r="O70" s="232">
        <v>0</v>
      </c>
      <c r="P70" s="233">
        <v>43039</v>
      </c>
      <c r="Q70" s="234">
        <v>376</v>
      </c>
      <c r="R70" s="235">
        <v>78243.08</v>
      </c>
      <c r="S70" s="228"/>
      <c r="T70" s="236">
        <f t="shared" si="13"/>
        <v>78243.08</v>
      </c>
      <c r="U70" s="237">
        <f t="shared" si="5"/>
        <v>8421.7900000000009</v>
      </c>
      <c r="V70" s="238">
        <f t="shared" si="6"/>
        <v>69821.290000000008</v>
      </c>
      <c r="W70" s="235">
        <f t="shared" si="7"/>
        <v>78243.080000000016</v>
      </c>
      <c r="X70" s="228"/>
      <c r="Y70" s="240" t="s">
        <v>1436</v>
      </c>
      <c r="Z70" s="1279"/>
    </row>
    <row r="71" spans="1:26">
      <c r="A71" s="7">
        <v>62</v>
      </c>
      <c r="B71" s="228" t="s">
        <v>1408</v>
      </c>
      <c r="C71" s="228" t="s">
        <v>1457</v>
      </c>
      <c r="D71" s="229">
        <v>4804.3599999999997</v>
      </c>
      <c r="E71" s="230">
        <v>5192.38</v>
      </c>
      <c r="F71" s="230">
        <v>68244.149999999994</v>
      </c>
      <c r="G71" s="230">
        <v>-1980.78</v>
      </c>
      <c r="H71" s="230">
        <v>0</v>
      </c>
      <c r="I71" s="231">
        <v>0</v>
      </c>
      <c r="J71" s="232">
        <v>0</v>
      </c>
      <c r="K71" s="232">
        <v>0</v>
      </c>
      <c r="L71" s="232">
        <v>0</v>
      </c>
      <c r="M71" s="232">
        <v>0</v>
      </c>
      <c r="N71" s="232">
        <v>0</v>
      </c>
      <c r="O71" s="232">
        <v>0</v>
      </c>
      <c r="P71" s="233">
        <v>42735</v>
      </c>
      <c r="Q71" s="234">
        <v>376</v>
      </c>
      <c r="R71" s="235">
        <v>76260.11</v>
      </c>
      <c r="S71" s="228"/>
      <c r="T71" s="236">
        <f t="shared" si="13"/>
        <v>76260.11</v>
      </c>
      <c r="U71" s="237">
        <f t="shared" si="5"/>
        <v>76260.11</v>
      </c>
      <c r="V71" s="238">
        <f t="shared" si="6"/>
        <v>0</v>
      </c>
      <c r="W71" s="235">
        <f t="shared" si="7"/>
        <v>76260.11</v>
      </c>
      <c r="X71" s="236"/>
      <c r="Y71" s="240">
        <v>39</v>
      </c>
      <c r="Z71" s="1279"/>
    </row>
    <row r="72" spans="1:26">
      <c r="A72" s="7">
        <v>63</v>
      </c>
      <c r="B72" s="228" t="s">
        <v>1408</v>
      </c>
      <c r="C72" s="228" t="s">
        <v>1458</v>
      </c>
      <c r="D72" s="229">
        <v>-8308.2900000000009</v>
      </c>
      <c r="E72" s="230">
        <v>203.88</v>
      </c>
      <c r="F72" s="230">
        <v>0</v>
      </c>
      <c r="G72" s="230">
        <v>-504.77000000000004</v>
      </c>
      <c r="H72" s="230">
        <v>1.73</v>
      </c>
      <c r="I72" s="231">
        <v>0</v>
      </c>
      <c r="J72" s="232">
        <v>0</v>
      </c>
      <c r="K72" s="232">
        <v>0</v>
      </c>
      <c r="L72" s="232">
        <v>0</v>
      </c>
      <c r="M72" s="232">
        <v>0</v>
      </c>
      <c r="N72" s="232">
        <v>0</v>
      </c>
      <c r="O72" s="232">
        <v>0</v>
      </c>
      <c r="P72" s="234"/>
      <c r="Q72" s="234"/>
      <c r="R72" s="235">
        <v>-8607.4500000000007</v>
      </c>
      <c r="S72" s="228"/>
      <c r="T72" s="236"/>
      <c r="U72" s="237">
        <f t="shared" si="5"/>
        <v>-8607.4500000000007</v>
      </c>
      <c r="V72" s="238">
        <f t="shared" si="6"/>
        <v>0</v>
      </c>
      <c r="W72" s="235">
        <f t="shared" si="7"/>
        <v>-8607.4500000000007</v>
      </c>
      <c r="X72" s="228"/>
      <c r="Y72" s="240"/>
      <c r="Z72" s="1279"/>
    </row>
    <row r="73" spans="1:26">
      <c r="A73" s="7">
        <v>64</v>
      </c>
      <c r="B73" s="228" t="s">
        <v>1408</v>
      </c>
      <c r="C73" s="228" t="s">
        <v>1459</v>
      </c>
      <c r="D73" s="229">
        <v>0</v>
      </c>
      <c r="E73" s="230">
        <v>0</v>
      </c>
      <c r="F73" s="230">
        <v>0</v>
      </c>
      <c r="G73" s="230">
        <v>0</v>
      </c>
      <c r="H73" s="230">
        <v>0</v>
      </c>
      <c r="I73" s="231">
        <v>0</v>
      </c>
      <c r="J73" s="232">
        <v>0</v>
      </c>
      <c r="K73" s="232">
        <v>0</v>
      </c>
      <c r="L73" s="232">
        <v>0</v>
      </c>
      <c r="M73" s="232">
        <v>0</v>
      </c>
      <c r="N73" s="232">
        <v>0</v>
      </c>
      <c r="O73" s="232">
        <v>2691</v>
      </c>
      <c r="P73" s="234"/>
      <c r="Q73" s="234"/>
      <c r="R73" s="235">
        <v>2691</v>
      </c>
      <c r="S73" s="228"/>
      <c r="T73" s="236">
        <f>+R73</f>
        <v>2691</v>
      </c>
      <c r="U73" s="237">
        <f t="shared" si="5"/>
        <v>0</v>
      </c>
      <c r="V73" s="238">
        <f t="shared" si="6"/>
        <v>2691</v>
      </c>
      <c r="W73" s="235">
        <f t="shared" si="7"/>
        <v>2691</v>
      </c>
      <c r="X73" s="228"/>
      <c r="Y73" s="240" t="s">
        <v>1421</v>
      </c>
      <c r="Z73" s="1279"/>
    </row>
    <row r="74" spans="1:26">
      <c r="A74" s="7">
        <v>65</v>
      </c>
      <c r="B74" s="228" t="s">
        <v>1408</v>
      </c>
      <c r="C74" s="228" t="s">
        <v>1460</v>
      </c>
      <c r="D74" s="229">
        <v>1581.56</v>
      </c>
      <c r="E74" s="230">
        <v>188.84</v>
      </c>
      <c r="F74" s="230">
        <v>189.98</v>
      </c>
      <c r="G74" s="230">
        <v>538.54</v>
      </c>
      <c r="H74" s="230">
        <v>4090.82</v>
      </c>
      <c r="I74" s="231">
        <v>26086.03</v>
      </c>
      <c r="J74" s="232">
        <v>632793.65</v>
      </c>
      <c r="K74" s="232">
        <v>320058.5</v>
      </c>
      <c r="L74" s="232">
        <v>132088.63</v>
      </c>
      <c r="M74" s="232">
        <v>37949.599999999999</v>
      </c>
      <c r="N74" s="232">
        <v>25509.89</v>
      </c>
      <c r="O74" s="232">
        <v>13001.57</v>
      </c>
      <c r="P74" s="234"/>
      <c r="Q74" s="234"/>
      <c r="R74" s="235">
        <v>1194077.6100000001</v>
      </c>
      <c r="S74" s="228"/>
      <c r="T74" s="236"/>
      <c r="U74" s="237">
        <f t="shared" si="5"/>
        <v>32675.769999999997</v>
      </c>
      <c r="V74" s="238">
        <f t="shared" si="6"/>
        <v>1161401.8400000001</v>
      </c>
      <c r="W74" s="235">
        <f t="shared" si="7"/>
        <v>1194077.6100000001</v>
      </c>
      <c r="X74" s="228"/>
      <c r="Y74" s="240"/>
      <c r="Z74" s="1279"/>
    </row>
    <row r="75" spans="1:26">
      <c r="A75" s="7">
        <v>66</v>
      </c>
      <c r="B75" s="228" t="s">
        <v>1408</v>
      </c>
      <c r="C75" s="228" t="s">
        <v>1461</v>
      </c>
      <c r="D75" s="229">
        <v>0</v>
      </c>
      <c r="E75" s="230">
        <v>0</v>
      </c>
      <c r="F75" s="230">
        <v>0</v>
      </c>
      <c r="G75" s="230">
        <v>0</v>
      </c>
      <c r="H75" s="230">
        <v>0</v>
      </c>
      <c r="I75" s="231">
        <v>259.08</v>
      </c>
      <c r="J75" s="232">
        <v>0</v>
      </c>
      <c r="K75" s="232">
        <v>0</v>
      </c>
      <c r="L75" s="232">
        <v>0</v>
      </c>
      <c r="M75" s="232">
        <v>0</v>
      </c>
      <c r="N75" s="232">
        <v>0</v>
      </c>
      <c r="O75" s="232">
        <v>0</v>
      </c>
      <c r="P75" s="234"/>
      <c r="Q75" s="234"/>
      <c r="R75" s="235">
        <v>259.08</v>
      </c>
      <c r="S75" s="228"/>
      <c r="T75" s="236">
        <f t="shared" ref="T75:T76" si="14">+R75</f>
        <v>259.08</v>
      </c>
      <c r="U75" s="237">
        <f t="shared" si="5"/>
        <v>259.08</v>
      </c>
      <c r="V75" s="238">
        <f t="shared" si="6"/>
        <v>0</v>
      </c>
      <c r="W75" s="235">
        <f t="shared" si="7"/>
        <v>259.08</v>
      </c>
      <c r="X75" s="239"/>
      <c r="Y75" s="240" t="s">
        <v>1439</v>
      </c>
      <c r="Z75" s="1279"/>
    </row>
    <row r="76" spans="1:26">
      <c r="A76" s="7">
        <v>67</v>
      </c>
      <c r="B76" s="228" t="s">
        <v>1408</v>
      </c>
      <c r="C76" s="228" t="s">
        <v>1462</v>
      </c>
      <c r="D76" s="229">
        <v>286.55</v>
      </c>
      <c r="E76" s="230">
        <v>291.92</v>
      </c>
      <c r="F76" s="230">
        <v>287.55</v>
      </c>
      <c r="G76" s="230">
        <v>282.27</v>
      </c>
      <c r="H76" s="230">
        <v>-997.89</v>
      </c>
      <c r="I76" s="231">
        <v>286.55</v>
      </c>
      <c r="J76" s="232">
        <v>0</v>
      </c>
      <c r="K76" s="232">
        <v>0</v>
      </c>
      <c r="L76" s="232">
        <v>0</v>
      </c>
      <c r="M76" s="232">
        <v>0</v>
      </c>
      <c r="N76" s="232">
        <v>0</v>
      </c>
      <c r="O76" s="232">
        <v>0</v>
      </c>
      <c r="P76" s="233">
        <v>42643</v>
      </c>
      <c r="Q76" s="234">
        <v>376</v>
      </c>
      <c r="R76" s="235">
        <v>436.95</v>
      </c>
      <c r="S76" s="228"/>
      <c r="T76" s="236">
        <f t="shared" si="14"/>
        <v>436.95</v>
      </c>
      <c r="U76" s="237">
        <f t="shared" si="5"/>
        <v>436.95</v>
      </c>
      <c r="V76" s="238">
        <f t="shared" si="6"/>
        <v>0</v>
      </c>
      <c r="W76" s="235">
        <f t="shared" si="7"/>
        <v>436.95</v>
      </c>
      <c r="X76" s="228"/>
      <c r="Y76" s="240" t="s">
        <v>1436</v>
      </c>
      <c r="Z76" s="1279"/>
    </row>
    <row r="77" spans="1:26">
      <c r="A77" s="7">
        <v>68</v>
      </c>
      <c r="B77" s="228" t="s">
        <v>1408</v>
      </c>
      <c r="C77" s="228" t="s">
        <v>1463</v>
      </c>
      <c r="D77" s="229">
        <v>62961.020000000004</v>
      </c>
      <c r="E77" s="230">
        <v>2667.92</v>
      </c>
      <c r="F77" s="230">
        <v>11996.460000000001</v>
      </c>
      <c r="G77" s="230">
        <v>9586.56</v>
      </c>
      <c r="H77" s="230">
        <v>94435.75</v>
      </c>
      <c r="I77" s="231">
        <v>6081.1500000000005</v>
      </c>
      <c r="J77" s="232">
        <v>0</v>
      </c>
      <c r="K77" s="232">
        <v>0</v>
      </c>
      <c r="L77" s="232">
        <v>0</v>
      </c>
      <c r="M77" s="232">
        <v>0</v>
      </c>
      <c r="N77" s="232">
        <v>0</v>
      </c>
      <c r="O77" s="232">
        <v>0</v>
      </c>
      <c r="P77" s="234"/>
      <c r="Q77" s="234"/>
      <c r="R77" s="235">
        <v>187728.86000000002</v>
      </c>
      <c r="S77" s="228"/>
      <c r="T77" s="236"/>
      <c r="U77" s="237">
        <f t="shared" si="5"/>
        <v>187728.86000000002</v>
      </c>
      <c r="V77" s="238">
        <f t="shared" si="6"/>
        <v>0</v>
      </c>
      <c r="W77" s="235">
        <f t="shared" si="7"/>
        <v>187728.86000000002</v>
      </c>
      <c r="X77" s="228"/>
      <c r="Y77" s="240"/>
      <c r="Z77" s="1279"/>
    </row>
    <row r="78" spans="1:26">
      <c r="A78" s="7">
        <v>69</v>
      </c>
      <c r="B78" s="228" t="s">
        <v>1408</v>
      </c>
      <c r="C78" s="228" t="s">
        <v>1464</v>
      </c>
      <c r="D78" s="229">
        <v>-482.39</v>
      </c>
      <c r="E78" s="230">
        <v>0.02</v>
      </c>
      <c r="F78" s="230">
        <v>0.02</v>
      </c>
      <c r="G78" s="230">
        <v>0.02</v>
      </c>
      <c r="H78" s="230">
        <v>0.02</v>
      </c>
      <c r="I78" s="231">
        <v>0.02</v>
      </c>
      <c r="J78" s="232">
        <v>0</v>
      </c>
      <c r="K78" s="232">
        <v>0</v>
      </c>
      <c r="L78" s="232">
        <v>0</v>
      </c>
      <c r="M78" s="232">
        <v>0</v>
      </c>
      <c r="N78" s="232">
        <v>0</v>
      </c>
      <c r="O78" s="232">
        <v>0</v>
      </c>
      <c r="P78" s="234"/>
      <c r="Q78" s="234"/>
      <c r="R78" s="235">
        <v>-482.29</v>
      </c>
      <c r="S78" s="228"/>
      <c r="T78" s="236"/>
      <c r="U78" s="237">
        <f t="shared" si="5"/>
        <v>-482.29000000000008</v>
      </c>
      <c r="V78" s="238">
        <f t="shared" si="6"/>
        <v>0</v>
      </c>
      <c r="W78" s="235">
        <f t="shared" si="7"/>
        <v>-482.29000000000008</v>
      </c>
      <c r="X78" s="228"/>
      <c r="Y78" s="240"/>
      <c r="Z78" s="1279"/>
    </row>
    <row r="79" spans="1:26">
      <c r="A79" s="7">
        <v>70</v>
      </c>
      <c r="B79" s="228" t="s">
        <v>1408</v>
      </c>
      <c r="C79" s="228" t="s">
        <v>1465</v>
      </c>
      <c r="D79" s="229">
        <v>48876.19</v>
      </c>
      <c r="E79" s="230">
        <v>3676.62</v>
      </c>
      <c r="F79" s="230">
        <v>7909.26</v>
      </c>
      <c r="G79" s="230">
        <v>0</v>
      </c>
      <c r="H79" s="230">
        <v>0</v>
      </c>
      <c r="I79" s="231">
        <v>0</v>
      </c>
      <c r="J79" s="232">
        <v>0</v>
      </c>
      <c r="K79" s="232">
        <v>0</v>
      </c>
      <c r="L79" s="232">
        <v>0</v>
      </c>
      <c r="M79" s="232">
        <v>0</v>
      </c>
      <c r="N79" s="232">
        <v>0</v>
      </c>
      <c r="O79" s="232">
        <v>0</v>
      </c>
      <c r="P79" s="233">
        <v>42735</v>
      </c>
      <c r="Q79" s="234"/>
      <c r="R79" s="235">
        <v>60462.07</v>
      </c>
      <c r="S79" s="228"/>
      <c r="T79" s="236">
        <f t="shared" ref="T79:T95" si="15">+R79</f>
        <v>60462.07</v>
      </c>
      <c r="U79" s="237">
        <f t="shared" si="5"/>
        <v>60462.070000000007</v>
      </c>
      <c r="V79" s="238">
        <f t="shared" si="6"/>
        <v>0</v>
      </c>
      <c r="W79" s="235">
        <f t="shared" si="7"/>
        <v>60462.070000000007</v>
      </c>
      <c r="X79" s="228"/>
      <c r="Y79" s="240" t="s">
        <v>1436</v>
      </c>
      <c r="Z79" s="1279"/>
    </row>
    <row r="80" spans="1:26">
      <c r="A80" s="7">
        <v>71</v>
      </c>
      <c r="B80" s="228" t="s">
        <v>1408</v>
      </c>
      <c r="C80" s="228" t="s">
        <v>1466</v>
      </c>
      <c r="D80" s="229">
        <v>48936.62</v>
      </c>
      <c r="E80" s="230">
        <v>3676.62</v>
      </c>
      <c r="F80" s="230">
        <v>19416.47</v>
      </c>
      <c r="G80" s="230">
        <v>0</v>
      </c>
      <c r="H80" s="230">
        <v>0</v>
      </c>
      <c r="I80" s="231">
        <v>0</v>
      </c>
      <c r="J80" s="232">
        <v>0</v>
      </c>
      <c r="K80" s="232">
        <v>0</v>
      </c>
      <c r="L80" s="232">
        <v>0</v>
      </c>
      <c r="M80" s="232">
        <v>0</v>
      </c>
      <c r="N80" s="232">
        <v>0</v>
      </c>
      <c r="O80" s="232">
        <v>0</v>
      </c>
      <c r="P80" s="233">
        <v>42735</v>
      </c>
      <c r="Q80" s="234"/>
      <c r="R80" s="235">
        <v>72029.710000000006</v>
      </c>
      <c r="S80" s="228"/>
      <c r="T80" s="236">
        <f t="shared" si="15"/>
        <v>72029.710000000006</v>
      </c>
      <c r="U80" s="237">
        <f t="shared" si="5"/>
        <v>72029.710000000006</v>
      </c>
      <c r="V80" s="238">
        <f t="shared" si="6"/>
        <v>0</v>
      </c>
      <c r="W80" s="235">
        <f t="shared" si="7"/>
        <v>72029.710000000006</v>
      </c>
      <c r="X80" s="228"/>
      <c r="Y80" s="240" t="s">
        <v>1436</v>
      </c>
      <c r="Z80" s="1279"/>
    </row>
    <row r="81" spans="1:26">
      <c r="A81" s="7">
        <v>72</v>
      </c>
      <c r="B81" s="228" t="s">
        <v>1408</v>
      </c>
      <c r="C81" s="228" t="s">
        <v>1467</v>
      </c>
      <c r="D81" s="229">
        <v>0</v>
      </c>
      <c r="E81" s="230">
        <v>0</v>
      </c>
      <c r="F81" s="230">
        <v>0</v>
      </c>
      <c r="G81" s="230">
        <v>0</v>
      </c>
      <c r="H81" s="230">
        <v>0</v>
      </c>
      <c r="I81" s="231">
        <v>0</v>
      </c>
      <c r="J81" s="232">
        <v>0</v>
      </c>
      <c r="K81" s="232">
        <v>0</v>
      </c>
      <c r="L81" s="232">
        <v>50596</v>
      </c>
      <c r="M81" s="232">
        <v>69569.5</v>
      </c>
      <c r="N81" s="232">
        <v>0</v>
      </c>
      <c r="O81" s="232">
        <v>0</v>
      </c>
      <c r="P81" s="234"/>
      <c r="Q81" s="234"/>
      <c r="R81" s="235">
        <v>120165.5</v>
      </c>
      <c r="S81" s="228"/>
      <c r="T81" s="236"/>
      <c r="U81" s="237">
        <f t="shared" si="5"/>
        <v>0</v>
      </c>
      <c r="V81" s="238">
        <f t="shared" si="6"/>
        <v>120165.5</v>
      </c>
      <c r="W81" s="235">
        <f t="shared" si="7"/>
        <v>120165.5</v>
      </c>
      <c r="X81" s="228"/>
      <c r="Y81" s="240"/>
      <c r="Z81" s="1279"/>
    </row>
    <row r="82" spans="1:26">
      <c r="A82" s="7">
        <v>73</v>
      </c>
      <c r="B82" s="228" t="s">
        <v>1408</v>
      </c>
      <c r="C82" s="228" t="s">
        <v>1468</v>
      </c>
      <c r="D82" s="229">
        <v>6756.88</v>
      </c>
      <c r="E82" s="230">
        <v>24852.29</v>
      </c>
      <c r="F82" s="230">
        <v>96288.92</v>
      </c>
      <c r="G82" s="230">
        <v>832898.79</v>
      </c>
      <c r="H82" s="230">
        <v>457551.32</v>
      </c>
      <c r="I82" s="231">
        <v>131346.23999999999</v>
      </c>
      <c r="J82" s="232">
        <v>50000</v>
      </c>
      <c r="K82" s="232">
        <v>275.75</v>
      </c>
      <c r="L82" s="232">
        <v>0</v>
      </c>
      <c r="M82" s="232">
        <v>0</v>
      </c>
      <c r="N82" s="232">
        <v>0</v>
      </c>
      <c r="O82" s="232">
        <v>0</v>
      </c>
      <c r="P82" s="233">
        <v>42978</v>
      </c>
      <c r="Q82" s="234">
        <v>376</v>
      </c>
      <c r="R82" s="235">
        <v>1599970.19</v>
      </c>
      <c r="S82" s="228"/>
      <c r="T82" s="236">
        <f t="shared" si="15"/>
        <v>1599970.19</v>
      </c>
      <c r="U82" s="237">
        <f t="shared" si="5"/>
        <v>1549694.44</v>
      </c>
      <c r="V82" s="238">
        <f t="shared" si="6"/>
        <v>50275.75</v>
      </c>
      <c r="W82" s="235">
        <f t="shared" si="7"/>
        <v>1599970.19</v>
      </c>
      <c r="X82" s="228"/>
      <c r="Y82" s="240" t="s">
        <v>1436</v>
      </c>
      <c r="Z82" s="1279"/>
    </row>
    <row r="83" spans="1:26">
      <c r="A83" s="7">
        <v>74</v>
      </c>
      <c r="B83" s="228" t="s">
        <v>1408</v>
      </c>
      <c r="C83" s="228" t="s">
        <v>1469</v>
      </c>
      <c r="D83" s="229">
        <v>0</v>
      </c>
      <c r="E83" s="230">
        <v>0</v>
      </c>
      <c r="F83" s="230">
        <v>0</v>
      </c>
      <c r="G83" s="230">
        <v>0</v>
      </c>
      <c r="H83" s="230">
        <v>0</v>
      </c>
      <c r="I83" s="231">
        <v>0</v>
      </c>
      <c r="J83" s="232">
        <v>0</v>
      </c>
      <c r="K83" s="232">
        <v>0</v>
      </c>
      <c r="L83" s="232">
        <v>82218.5</v>
      </c>
      <c r="M83" s="232">
        <v>126943.44</v>
      </c>
      <c r="N83" s="232">
        <v>1153.53</v>
      </c>
      <c r="O83" s="232">
        <v>1159.8900000000001</v>
      </c>
      <c r="P83" s="233">
        <v>43465</v>
      </c>
      <c r="Q83" s="234">
        <v>376</v>
      </c>
      <c r="R83" s="235">
        <v>211475.36000000002</v>
      </c>
      <c r="S83" s="228"/>
      <c r="T83" s="236">
        <f t="shared" si="15"/>
        <v>211475.36000000002</v>
      </c>
      <c r="U83" s="237">
        <f t="shared" si="5"/>
        <v>0</v>
      </c>
      <c r="V83" s="238">
        <f t="shared" si="6"/>
        <v>211475.36000000002</v>
      </c>
      <c r="W83" s="235">
        <f t="shared" si="7"/>
        <v>211475.36000000002</v>
      </c>
      <c r="X83" s="239"/>
      <c r="Y83" s="240" t="s">
        <v>1395</v>
      </c>
      <c r="Z83" s="1279"/>
    </row>
    <row r="84" spans="1:26">
      <c r="A84" s="7">
        <v>75</v>
      </c>
      <c r="B84" s="228" t="s">
        <v>1408</v>
      </c>
      <c r="C84" s="228" t="s">
        <v>1470</v>
      </c>
      <c r="D84" s="229">
        <v>-83891.7</v>
      </c>
      <c r="E84" s="230">
        <v>143790.94</v>
      </c>
      <c r="F84" s="230">
        <v>8953.27</v>
      </c>
      <c r="G84" s="230">
        <v>0</v>
      </c>
      <c r="H84" s="230">
        <v>0</v>
      </c>
      <c r="I84" s="231">
        <v>7050.42</v>
      </c>
      <c r="J84" s="232">
        <v>0</v>
      </c>
      <c r="K84" s="232">
        <v>0</v>
      </c>
      <c r="L84" s="232">
        <v>0</v>
      </c>
      <c r="M84" s="232">
        <v>0</v>
      </c>
      <c r="N84" s="232">
        <v>0</v>
      </c>
      <c r="O84" s="232">
        <v>0</v>
      </c>
      <c r="P84" s="233">
        <v>42704</v>
      </c>
      <c r="Q84" s="234">
        <v>376</v>
      </c>
      <c r="R84" s="235">
        <v>75902.930000000008</v>
      </c>
      <c r="S84" s="228"/>
      <c r="T84" s="236">
        <f t="shared" si="15"/>
        <v>75902.930000000008</v>
      </c>
      <c r="U84" s="237">
        <f t="shared" si="5"/>
        <v>75902.930000000008</v>
      </c>
      <c r="V84" s="238">
        <f t="shared" si="6"/>
        <v>0</v>
      </c>
      <c r="W84" s="235">
        <f t="shared" si="7"/>
        <v>75902.930000000008</v>
      </c>
      <c r="X84" s="236"/>
      <c r="Y84" s="240">
        <v>15</v>
      </c>
      <c r="Z84" s="1279"/>
    </row>
    <row r="85" spans="1:26">
      <c r="A85" s="7">
        <v>76</v>
      </c>
      <c r="B85" s="228" t="s">
        <v>1408</v>
      </c>
      <c r="C85" s="228" t="s">
        <v>1471</v>
      </c>
      <c r="D85" s="229">
        <v>52836.91</v>
      </c>
      <c r="E85" s="230">
        <v>319.61</v>
      </c>
      <c r="F85" s="230">
        <v>5622.6900000000005</v>
      </c>
      <c r="G85" s="230">
        <v>9808.8700000000008</v>
      </c>
      <c r="H85" s="230">
        <v>15186.82</v>
      </c>
      <c r="I85" s="231">
        <v>18870.64</v>
      </c>
      <c r="J85" s="232">
        <v>228248.09</v>
      </c>
      <c r="K85" s="232">
        <v>140963.88</v>
      </c>
      <c r="L85" s="232">
        <v>160714.79</v>
      </c>
      <c r="M85" s="232">
        <v>3488.63</v>
      </c>
      <c r="N85" s="232">
        <v>3507.88</v>
      </c>
      <c r="O85" s="232">
        <v>56231.39</v>
      </c>
      <c r="P85" s="234"/>
      <c r="Q85" s="234"/>
      <c r="R85" s="235">
        <v>695800.20000000007</v>
      </c>
      <c r="S85" s="228"/>
      <c r="T85" s="236"/>
      <c r="U85" s="237">
        <f t="shared" si="5"/>
        <v>102645.54</v>
      </c>
      <c r="V85" s="238">
        <f t="shared" si="6"/>
        <v>593154.66</v>
      </c>
      <c r="W85" s="235">
        <f t="shared" si="7"/>
        <v>695800.20000000007</v>
      </c>
      <c r="X85" s="228"/>
      <c r="Y85" s="240"/>
      <c r="Z85" s="1279"/>
    </row>
    <row r="86" spans="1:26">
      <c r="A86" s="7">
        <v>77</v>
      </c>
      <c r="B86" s="228" t="s">
        <v>1408</v>
      </c>
      <c r="C86" s="228" t="s">
        <v>1472</v>
      </c>
      <c r="D86" s="229">
        <v>0</v>
      </c>
      <c r="E86" s="230">
        <v>0</v>
      </c>
      <c r="F86" s="230">
        <v>0</v>
      </c>
      <c r="G86" s="230">
        <v>0</v>
      </c>
      <c r="H86" s="230">
        <v>0</v>
      </c>
      <c r="I86" s="231">
        <v>0</v>
      </c>
      <c r="J86" s="232">
        <v>63245</v>
      </c>
      <c r="K86" s="232">
        <v>88891.790000000008</v>
      </c>
      <c r="L86" s="232">
        <v>0</v>
      </c>
      <c r="M86" s="232">
        <v>0</v>
      </c>
      <c r="N86" s="232">
        <v>0</v>
      </c>
      <c r="O86" s="232">
        <v>0</v>
      </c>
      <c r="P86" s="233">
        <v>42978</v>
      </c>
      <c r="Q86" s="234">
        <v>376</v>
      </c>
      <c r="R86" s="235">
        <v>152136.79</v>
      </c>
      <c r="S86" s="228"/>
      <c r="T86" s="236">
        <f t="shared" si="15"/>
        <v>152136.79</v>
      </c>
      <c r="U86" s="237">
        <f t="shared" si="5"/>
        <v>0</v>
      </c>
      <c r="V86" s="238">
        <f t="shared" si="6"/>
        <v>152136.79</v>
      </c>
      <c r="W86" s="235">
        <f t="shared" si="7"/>
        <v>152136.79</v>
      </c>
      <c r="X86" s="239"/>
      <c r="Y86" s="240">
        <v>53</v>
      </c>
      <c r="Z86" s="1279"/>
    </row>
    <row r="87" spans="1:26">
      <c r="A87" s="7">
        <v>78</v>
      </c>
      <c r="B87" s="228" t="s">
        <v>1408</v>
      </c>
      <c r="C87" s="228" t="s">
        <v>1473</v>
      </c>
      <c r="D87" s="229">
        <v>322.48</v>
      </c>
      <c r="E87" s="230">
        <v>-2877.06</v>
      </c>
      <c r="F87" s="230">
        <v>4063.17</v>
      </c>
      <c r="G87" s="230">
        <v>0</v>
      </c>
      <c r="H87" s="230">
        <v>0</v>
      </c>
      <c r="I87" s="231">
        <v>648.1</v>
      </c>
      <c r="J87" s="232">
        <v>0</v>
      </c>
      <c r="K87" s="232">
        <v>0</v>
      </c>
      <c r="L87" s="232">
        <v>0</v>
      </c>
      <c r="M87" s="232">
        <v>0</v>
      </c>
      <c r="N87" s="232">
        <v>0</v>
      </c>
      <c r="O87" s="232">
        <v>0</v>
      </c>
      <c r="P87" s="233">
        <v>42735</v>
      </c>
      <c r="Q87" s="234">
        <v>376</v>
      </c>
      <c r="R87" s="235">
        <v>2156.69</v>
      </c>
      <c r="S87" s="228"/>
      <c r="T87" s="236">
        <f t="shared" si="15"/>
        <v>2156.69</v>
      </c>
      <c r="U87" s="237">
        <f t="shared" si="5"/>
        <v>2156.69</v>
      </c>
      <c r="V87" s="238">
        <f t="shared" si="6"/>
        <v>0</v>
      </c>
      <c r="W87" s="235">
        <f t="shared" si="7"/>
        <v>2156.69</v>
      </c>
      <c r="X87" s="236"/>
      <c r="Y87" s="240">
        <v>16</v>
      </c>
      <c r="Z87" s="1279"/>
    </row>
    <row r="88" spans="1:26">
      <c r="A88" s="7">
        <v>79</v>
      </c>
      <c r="B88" s="228" t="s">
        <v>1408</v>
      </c>
      <c r="C88" s="228" t="s">
        <v>1474</v>
      </c>
      <c r="D88" s="229">
        <v>2369.52</v>
      </c>
      <c r="E88" s="230">
        <v>498.21000000000004</v>
      </c>
      <c r="F88" s="230">
        <v>501.22</v>
      </c>
      <c r="G88" s="230">
        <v>459.74</v>
      </c>
      <c r="H88" s="230">
        <v>462.27</v>
      </c>
      <c r="I88" s="231">
        <v>464.82</v>
      </c>
      <c r="J88" s="232">
        <v>6791.89</v>
      </c>
      <c r="K88" s="232">
        <v>6829.34</v>
      </c>
      <c r="L88" s="232">
        <v>13191.5</v>
      </c>
      <c r="M88" s="232">
        <v>13264.26</v>
      </c>
      <c r="N88" s="232">
        <v>688.41</v>
      </c>
      <c r="O88" s="232">
        <v>692.2</v>
      </c>
      <c r="P88" s="233">
        <v>43100</v>
      </c>
      <c r="Q88" s="234">
        <v>376</v>
      </c>
      <c r="R88" s="235">
        <v>46213.38</v>
      </c>
      <c r="S88" s="228"/>
      <c r="T88" s="236">
        <f t="shared" si="15"/>
        <v>46213.38</v>
      </c>
      <c r="U88" s="237">
        <f t="shared" si="5"/>
        <v>4755.7799999999988</v>
      </c>
      <c r="V88" s="238">
        <f t="shared" si="6"/>
        <v>41457.599999999999</v>
      </c>
      <c r="W88" s="235">
        <f t="shared" si="7"/>
        <v>46213.38</v>
      </c>
      <c r="X88" s="228"/>
      <c r="Y88" s="240" t="s">
        <v>1436</v>
      </c>
      <c r="Z88" s="1279"/>
    </row>
    <row r="89" spans="1:26">
      <c r="A89" s="7">
        <v>80</v>
      </c>
      <c r="B89" s="228" t="s">
        <v>1408</v>
      </c>
      <c r="C89" s="228" t="s">
        <v>1475</v>
      </c>
      <c r="D89" s="229">
        <v>0</v>
      </c>
      <c r="E89" s="230">
        <v>0</v>
      </c>
      <c r="F89" s="230">
        <v>0</v>
      </c>
      <c r="G89" s="230">
        <v>0</v>
      </c>
      <c r="H89" s="230">
        <v>0</v>
      </c>
      <c r="I89" s="231">
        <v>0</v>
      </c>
      <c r="J89" s="232">
        <v>0</v>
      </c>
      <c r="K89" s="232">
        <v>0</v>
      </c>
      <c r="L89" s="232">
        <v>0</v>
      </c>
      <c r="M89" s="232">
        <v>31622.5</v>
      </c>
      <c r="N89" s="232">
        <v>31796.9</v>
      </c>
      <c r="O89" s="232">
        <v>349.76</v>
      </c>
      <c r="P89" s="234"/>
      <c r="Q89" s="234"/>
      <c r="R89" s="235">
        <v>63769.16</v>
      </c>
      <c r="S89" s="228"/>
      <c r="T89" s="236">
        <f t="shared" si="15"/>
        <v>63769.16</v>
      </c>
      <c r="U89" s="237">
        <f t="shared" si="5"/>
        <v>0</v>
      </c>
      <c r="V89" s="238">
        <f t="shared" si="6"/>
        <v>63769.16</v>
      </c>
      <c r="W89" s="235">
        <f t="shared" si="7"/>
        <v>63769.16</v>
      </c>
      <c r="X89" s="239"/>
      <c r="Y89" s="240" t="s">
        <v>1421</v>
      </c>
      <c r="Z89" s="1279"/>
    </row>
    <row r="90" spans="1:26">
      <c r="A90" s="7">
        <v>81</v>
      </c>
      <c r="B90" s="228" t="s">
        <v>1408</v>
      </c>
      <c r="C90" s="228" t="s">
        <v>1476</v>
      </c>
      <c r="D90" s="229">
        <v>3497.14</v>
      </c>
      <c r="E90" s="230">
        <v>112509</v>
      </c>
      <c r="F90" s="230">
        <v>4502.29</v>
      </c>
      <c r="G90" s="230">
        <v>2444.4900000000002</v>
      </c>
      <c r="H90" s="230">
        <v>0</v>
      </c>
      <c r="I90" s="231">
        <v>0</v>
      </c>
      <c r="J90" s="232">
        <v>0</v>
      </c>
      <c r="K90" s="232">
        <v>0</v>
      </c>
      <c r="L90" s="232">
        <v>0</v>
      </c>
      <c r="M90" s="232">
        <v>0</v>
      </c>
      <c r="N90" s="232">
        <v>0</v>
      </c>
      <c r="O90" s="232">
        <v>0</v>
      </c>
      <c r="P90" s="233">
        <v>42762</v>
      </c>
      <c r="Q90" s="234">
        <v>376</v>
      </c>
      <c r="R90" s="235">
        <v>122952.92</v>
      </c>
      <c r="S90" s="228"/>
      <c r="T90" s="236">
        <f t="shared" si="15"/>
        <v>122952.92</v>
      </c>
      <c r="U90" s="237">
        <f t="shared" si="5"/>
        <v>122952.92</v>
      </c>
      <c r="V90" s="238">
        <f t="shared" si="6"/>
        <v>0</v>
      </c>
      <c r="W90" s="235">
        <f t="shared" si="7"/>
        <v>122952.92</v>
      </c>
      <c r="X90" s="236"/>
      <c r="Y90" s="240">
        <v>40</v>
      </c>
      <c r="Z90" s="1279"/>
    </row>
    <row r="91" spans="1:26">
      <c r="A91" s="7">
        <v>82</v>
      </c>
      <c r="B91" s="228" t="s">
        <v>1408</v>
      </c>
      <c r="C91" s="228" t="s">
        <v>1477</v>
      </c>
      <c r="D91" s="229">
        <v>4298.6900000000005</v>
      </c>
      <c r="E91" s="230">
        <v>131.43</v>
      </c>
      <c r="F91" s="230">
        <v>72385.89</v>
      </c>
      <c r="G91" s="230">
        <v>2534.62</v>
      </c>
      <c r="H91" s="230">
        <v>0</v>
      </c>
      <c r="I91" s="231">
        <v>0</v>
      </c>
      <c r="J91" s="232">
        <v>0</v>
      </c>
      <c r="K91" s="232">
        <v>0</v>
      </c>
      <c r="L91" s="232">
        <v>0</v>
      </c>
      <c r="M91" s="232">
        <v>0</v>
      </c>
      <c r="N91" s="232">
        <v>0</v>
      </c>
      <c r="O91" s="232">
        <v>0</v>
      </c>
      <c r="P91" s="233">
        <v>42748</v>
      </c>
      <c r="Q91" s="234">
        <v>376</v>
      </c>
      <c r="R91" s="235">
        <v>79350.63</v>
      </c>
      <c r="S91" s="228"/>
      <c r="T91" s="236">
        <f t="shared" si="15"/>
        <v>79350.63</v>
      </c>
      <c r="U91" s="237">
        <f t="shared" ref="U91:U154" si="16">SUM(D91:I91)</f>
        <v>79350.62999999999</v>
      </c>
      <c r="V91" s="238">
        <f t="shared" ref="V91:V154" si="17">SUM(J91:O91)</f>
        <v>0</v>
      </c>
      <c r="W91" s="235">
        <f t="shared" ref="W91:W154" si="18">U91+V91</f>
        <v>79350.62999999999</v>
      </c>
      <c r="X91" s="228"/>
      <c r="Y91" s="240" t="s">
        <v>1436</v>
      </c>
      <c r="Z91" s="1279"/>
    </row>
    <row r="92" spans="1:26">
      <c r="A92" s="7">
        <v>83</v>
      </c>
      <c r="B92" s="228" t="s">
        <v>1408</v>
      </c>
      <c r="C92" s="228" t="s">
        <v>1478</v>
      </c>
      <c r="D92" s="229">
        <v>0</v>
      </c>
      <c r="E92" s="230">
        <v>2967.5</v>
      </c>
      <c r="F92" s="230">
        <v>71.25</v>
      </c>
      <c r="G92" s="230">
        <v>237.5</v>
      </c>
      <c r="H92" s="230">
        <v>6075.27</v>
      </c>
      <c r="I92" s="231">
        <v>84.66</v>
      </c>
      <c r="J92" s="232">
        <v>0</v>
      </c>
      <c r="K92" s="232">
        <v>0</v>
      </c>
      <c r="L92" s="232">
        <v>0</v>
      </c>
      <c r="M92" s="232">
        <v>0</v>
      </c>
      <c r="N92" s="232">
        <v>0</v>
      </c>
      <c r="O92" s="232">
        <v>0</v>
      </c>
      <c r="P92" s="233">
        <v>42582</v>
      </c>
      <c r="Q92" s="234">
        <v>376</v>
      </c>
      <c r="R92" s="235">
        <v>9436.18</v>
      </c>
      <c r="S92" s="228"/>
      <c r="T92" s="236">
        <f t="shared" si="15"/>
        <v>9436.18</v>
      </c>
      <c r="U92" s="237">
        <f t="shared" si="16"/>
        <v>9436.18</v>
      </c>
      <c r="V92" s="238">
        <f t="shared" si="17"/>
        <v>0</v>
      </c>
      <c r="W92" s="235">
        <f t="shared" si="18"/>
        <v>9436.18</v>
      </c>
      <c r="X92" s="239"/>
      <c r="Y92" s="240" t="s">
        <v>1439</v>
      </c>
      <c r="Z92" s="1279"/>
    </row>
    <row r="93" spans="1:26">
      <c r="A93" s="7">
        <v>84</v>
      </c>
      <c r="B93" s="228" t="s">
        <v>1408</v>
      </c>
      <c r="C93" s="228" t="s">
        <v>1479</v>
      </c>
      <c r="D93" s="229">
        <v>222.14000000000001</v>
      </c>
      <c r="E93" s="230">
        <v>0</v>
      </c>
      <c r="F93" s="230">
        <v>0</v>
      </c>
      <c r="G93" s="230">
        <v>0</v>
      </c>
      <c r="H93" s="230">
        <v>0</v>
      </c>
      <c r="I93" s="231">
        <v>0</v>
      </c>
      <c r="J93" s="232">
        <v>0</v>
      </c>
      <c r="K93" s="232">
        <v>0</v>
      </c>
      <c r="L93" s="232">
        <v>0</v>
      </c>
      <c r="M93" s="232">
        <v>0</v>
      </c>
      <c r="N93" s="232">
        <v>0</v>
      </c>
      <c r="O93" s="232">
        <v>0</v>
      </c>
      <c r="P93" s="233">
        <v>42734</v>
      </c>
      <c r="Q93" s="234">
        <v>376</v>
      </c>
      <c r="R93" s="235">
        <v>222.14000000000001</v>
      </c>
      <c r="S93" s="228"/>
      <c r="T93" s="236">
        <f t="shared" si="15"/>
        <v>222.14000000000001</v>
      </c>
      <c r="U93" s="237">
        <f t="shared" si="16"/>
        <v>222.14000000000001</v>
      </c>
      <c r="V93" s="238">
        <f t="shared" si="17"/>
        <v>0</v>
      </c>
      <c r="W93" s="235">
        <f t="shared" si="18"/>
        <v>222.14000000000001</v>
      </c>
      <c r="X93" s="236"/>
      <c r="Y93" s="240">
        <v>25</v>
      </c>
      <c r="Z93" s="1279"/>
    </row>
    <row r="94" spans="1:26">
      <c r="A94" s="7">
        <v>85</v>
      </c>
      <c r="B94" s="228" t="s">
        <v>1408</v>
      </c>
      <c r="C94" s="228" t="s">
        <v>1480</v>
      </c>
      <c r="D94" s="229">
        <v>0</v>
      </c>
      <c r="E94" s="230">
        <v>2200.67</v>
      </c>
      <c r="F94" s="230">
        <v>10498.99</v>
      </c>
      <c r="G94" s="230">
        <v>0</v>
      </c>
      <c r="H94" s="230">
        <v>0</v>
      </c>
      <c r="I94" s="231">
        <v>0</v>
      </c>
      <c r="J94" s="232">
        <v>0</v>
      </c>
      <c r="K94" s="232">
        <v>0</v>
      </c>
      <c r="L94" s="232">
        <v>0</v>
      </c>
      <c r="M94" s="232">
        <v>0</v>
      </c>
      <c r="N94" s="232">
        <v>0</v>
      </c>
      <c r="O94" s="232">
        <v>0</v>
      </c>
      <c r="P94" s="233">
        <v>42734</v>
      </c>
      <c r="Q94" s="234">
        <v>376</v>
      </c>
      <c r="R94" s="235">
        <v>12699.66</v>
      </c>
      <c r="S94" s="228"/>
      <c r="T94" s="236">
        <f t="shared" si="15"/>
        <v>12699.66</v>
      </c>
      <c r="U94" s="237">
        <f t="shared" si="16"/>
        <v>12699.66</v>
      </c>
      <c r="V94" s="238">
        <f t="shared" si="17"/>
        <v>0</v>
      </c>
      <c r="W94" s="235">
        <f t="shared" si="18"/>
        <v>12699.66</v>
      </c>
      <c r="X94" s="236"/>
      <c r="Y94" s="240">
        <v>26</v>
      </c>
      <c r="Z94" s="1279"/>
    </row>
    <row r="95" spans="1:26">
      <c r="A95" s="7">
        <v>86</v>
      </c>
      <c r="B95" s="228" t="s">
        <v>1408</v>
      </c>
      <c r="C95" s="228" t="s">
        <v>1481</v>
      </c>
      <c r="D95" s="229">
        <v>-33.33</v>
      </c>
      <c r="E95" s="230">
        <v>0</v>
      </c>
      <c r="F95" s="230">
        <v>0</v>
      </c>
      <c r="G95" s="230">
        <v>0</v>
      </c>
      <c r="H95" s="230">
        <v>0</v>
      </c>
      <c r="I95" s="231">
        <v>2548.33</v>
      </c>
      <c r="J95" s="232">
        <v>0</v>
      </c>
      <c r="K95" s="232">
        <v>0</v>
      </c>
      <c r="L95" s="232">
        <v>0</v>
      </c>
      <c r="M95" s="232">
        <v>0</v>
      </c>
      <c r="N95" s="232">
        <v>0</v>
      </c>
      <c r="O95" s="232">
        <v>0</v>
      </c>
      <c r="P95" s="233">
        <v>42734</v>
      </c>
      <c r="Q95" s="234">
        <v>376</v>
      </c>
      <c r="R95" s="235">
        <v>2515</v>
      </c>
      <c r="S95" s="228"/>
      <c r="T95" s="236">
        <f t="shared" si="15"/>
        <v>2515</v>
      </c>
      <c r="U95" s="237">
        <f t="shared" si="16"/>
        <v>2515</v>
      </c>
      <c r="V95" s="238">
        <f t="shared" si="17"/>
        <v>0</v>
      </c>
      <c r="W95" s="235">
        <f t="shared" si="18"/>
        <v>2515</v>
      </c>
      <c r="X95" s="236"/>
      <c r="Y95" s="240">
        <v>27</v>
      </c>
      <c r="Z95" s="1279"/>
    </row>
    <row r="96" spans="1:26">
      <c r="A96" s="7">
        <v>87</v>
      </c>
      <c r="B96" s="228" t="s">
        <v>1408</v>
      </c>
      <c r="C96" s="228" t="s">
        <v>1482</v>
      </c>
      <c r="D96" s="229">
        <v>9863.48</v>
      </c>
      <c r="E96" s="230">
        <v>2148.87</v>
      </c>
      <c r="F96" s="230">
        <v>24019.4</v>
      </c>
      <c r="G96" s="230">
        <v>8062.06</v>
      </c>
      <c r="H96" s="230">
        <v>21059.420000000002</v>
      </c>
      <c r="I96" s="231">
        <v>10013.83</v>
      </c>
      <c r="J96" s="232">
        <v>0</v>
      </c>
      <c r="K96" s="232">
        <v>0</v>
      </c>
      <c r="L96" s="232">
        <v>0</v>
      </c>
      <c r="M96" s="232">
        <v>0</v>
      </c>
      <c r="N96" s="232">
        <v>0</v>
      </c>
      <c r="O96" s="232">
        <v>0</v>
      </c>
      <c r="P96" s="234"/>
      <c r="Q96" s="234"/>
      <c r="R96" s="235">
        <v>75167.06</v>
      </c>
      <c r="S96" s="228"/>
      <c r="T96" s="236"/>
      <c r="U96" s="237">
        <f t="shared" si="16"/>
        <v>75167.06</v>
      </c>
      <c r="V96" s="238">
        <f t="shared" si="17"/>
        <v>0</v>
      </c>
      <c r="W96" s="235">
        <f t="shared" si="18"/>
        <v>75167.06</v>
      </c>
      <c r="X96" s="228"/>
      <c r="Y96" s="240"/>
      <c r="Z96" s="1279"/>
    </row>
    <row r="97" spans="1:26">
      <c r="A97" s="7">
        <v>88</v>
      </c>
      <c r="B97" s="228" t="s">
        <v>1408</v>
      </c>
      <c r="C97" s="228" t="s">
        <v>1483</v>
      </c>
      <c r="D97" s="229">
        <v>4653.5</v>
      </c>
      <c r="E97" s="230">
        <v>73.14</v>
      </c>
      <c r="F97" s="230">
        <v>73.59</v>
      </c>
      <c r="G97" s="230">
        <v>67.5</v>
      </c>
      <c r="H97" s="230">
        <v>67.87</v>
      </c>
      <c r="I97" s="231">
        <v>68.239999999999995</v>
      </c>
      <c r="J97" s="232">
        <v>68.62</v>
      </c>
      <c r="K97" s="232">
        <v>69</v>
      </c>
      <c r="L97" s="232">
        <v>69.38</v>
      </c>
      <c r="M97" s="232">
        <v>69.77</v>
      </c>
      <c r="N97" s="232">
        <v>70.14</v>
      </c>
      <c r="O97" s="232">
        <v>70.53</v>
      </c>
      <c r="P97" s="234"/>
      <c r="Q97" s="234"/>
      <c r="R97" s="235">
        <v>5421.28</v>
      </c>
      <c r="S97" s="228"/>
      <c r="T97" s="236"/>
      <c r="U97" s="237">
        <f t="shared" si="16"/>
        <v>5003.84</v>
      </c>
      <c r="V97" s="238">
        <f t="shared" si="17"/>
        <v>417.43999999999994</v>
      </c>
      <c r="W97" s="235">
        <f t="shared" si="18"/>
        <v>5421.28</v>
      </c>
      <c r="X97" s="228"/>
      <c r="Y97" s="240"/>
      <c r="Z97" s="1279"/>
    </row>
    <row r="98" spans="1:26">
      <c r="A98" s="7">
        <v>89</v>
      </c>
      <c r="B98" s="228" t="s">
        <v>1408</v>
      </c>
      <c r="C98" s="228" t="s">
        <v>1484</v>
      </c>
      <c r="D98" s="229">
        <v>2500.2800000000002</v>
      </c>
      <c r="E98" s="230">
        <v>725.07</v>
      </c>
      <c r="F98" s="230">
        <v>3929.07</v>
      </c>
      <c r="G98" s="230">
        <v>0</v>
      </c>
      <c r="H98" s="230">
        <v>6231.4000000000005</v>
      </c>
      <c r="I98" s="231">
        <v>471.15000000000003</v>
      </c>
      <c r="J98" s="232">
        <v>0</v>
      </c>
      <c r="K98" s="232">
        <v>0</v>
      </c>
      <c r="L98" s="232">
        <v>0</v>
      </c>
      <c r="M98" s="232">
        <v>0</v>
      </c>
      <c r="N98" s="232">
        <v>0</v>
      </c>
      <c r="O98" s="232">
        <v>0</v>
      </c>
      <c r="P98" s="233">
        <v>42811</v>
      </c>
      <c r="Q98" s="234">
        <v>378</v>
      </c>
      <c r="R98" s="235">
        <v>13856.970000000001</v>
      </c>
      <c r="S98" s="228"/>
      <c r="T98" s="236">
        <f>+R98</f>
        <v>13856.970000000001</v>
      </c>
      <c r="U98" s="237">
        <f t="shared" si="16"/>
        <v>13856.97</v>
      </c>
      <c r="V98" s="238">
        <f t="shared" si="17"/>
        <v>0</v>
      </c>
      <c r="W98" s="235">
        <f t="shared" si="18"/>
        <v>13856.97</v>
      </c>
      <c r="X98" s="236"/>
      <c r="Y98" s="240">
        <v>37</v>
      </c>
      <c r="Z98" s="1279"/>
    </row>
    <row r="99" spans="1:26">
      <c r="A99" s="7">
        <v>90</v>
      </c>
      <c r="B99" s="228" t="s">
        <v>1408</v>
      </c>
      <c r="C99" s="228" t="s">
        <v>1485</v>
      </c>
      <c r="D99" s="229">
        <v>0</v>
      </c>
      <c r="E99" s="230">
        <v>0</v>
      </c>
      <c r="F99" s="230">
        <v>0</v>
      </c>
      <c r="G99" s="230">
        <v>7416.25</v>
      </c>
      <c r="H99" s="230">
        <v>0</v>
      </c>
      <c r="I99" s="231">
        <v>0</v>
      </c>
      <c r="J99" s="232">
        <v>0</v>
      </c>
      <c r="K99" s="232">
        <v>0</v>
      </c>
      <c r="L99" s="232">
        <v>0</v>
      </c>
      <c r="M99" s="232">
        <v>0</v>
      </c>
      <c r="N99" s="232">
        <v>0</v>
      </c>
      <c r="O99" s="232">
        <v>0</v>
      </c>
      <c r="P99" s="233">
        <v>42643</v>
      </c>
      <c r="Q99" s="234">
        <v>378</v>
      </c>
      <c r="R99" s="235">
        <v>7416.25</v>
      </c>
      <c r="S99" s="228"/>
      <c r="T99" s="236">
        <f>+R99</f>
        <v>7416.25</v>
      </c>
      <c r="U99" s="237">
        <f t="shared" si="16"/>
        <v>7416.25</v>
      </c>
      <c r="V99" s="238">
        <f t="shared" si="17"/>
        <v>0</v>
      </c>
      <c r="W99" s="235">
        <f t="shared" si="18"/>
        <v>7416.25</v>
      </c>
      <c r="X99" s="236"/>
      <c r="Y99" s="240">
        <v>38</v>
      </c>
      <c r="Z99" s="1279"/>
    </row>
    <row r="100" spans="1:26">
      <c r="A100" s="7">
        <v>91</v>
      </c>
      <c r="B100" s="228" t="s">
        <v>1408</v>
      </c>
      <c r="C100" s="228" t="s">
        <v>1486</v>
      </c>
      <c r="D100" s="229">
        <v>0</v>
      </c>
      <c r="E100" s="230">
        <v>0</v>
      </c>
      <c r="F100" s="230">
        <v>0</v>
      </c>
      <c r="G100" s="230">
        <v>0</v>
      </c>
      <c r="H100" s="230">
        <v>0</v>
      </c>
      <c r="I100" s="231">
        <v>0</v>
      </c>
      <c r="J100" s="232">
        <v>0</v>
      </c>
      <c r="K100" s="232">
        <v>0</v>
      </c>
      <c r="L100" s="232">
        <v>0</v>
      </c>
      <c r="M100" s="232">
        <v>55655.6</v>
      </c>
      <c r="N100" s="232">
        <v>306.94</v>
      </c>
      <c r="O100" s="232">
        <v>308.63</v>
      </c>
      <c r="P100" s="234"/>
      <c r="Q100" s="234"/>
      <c r="R100" s="235">
        <v>56271.17</v>
      </c>
      <c r="S100" s="228"/>
      <c r="T100" s="236">
        <f>+R100</f>
        <v>56271.17</v>
      </c>
      <c r="U100" s="237">
        <f t="shared" si="16"/>
        <v>0</v>
      </c>
      <c r="V100" s="238">
        <f t="shared" si="17"/>
        <v>56271.17</v>
      </c>
      <c r="W100" s="235">
        <f t="shared" si="18"/>
        <v>56271.17</v>
      </c>
      <c r="X100" s="236"/>
      <c r="Y100" s="240">
        <v>21</v>
      </c>
      <c r="Z100" s="1279"/>
    </row>
    <row r="101" spans="1:26">
      <c r="A101" s="7">
        <v>92</v>
      </c>
      <c r="B101" s="228" t="s">
        <v>1408</v>
      </c>
      <c r="C101" s="228" t="s">
        <v>1487</v>
      </c>
      <c r="D101" s="229">
        <v>2.5</v>
      </c>
      <c r="E101" s="230">
        <v>2.52</v>
      </c>
      <c r="F101" s="230">
        <v>2.54</v>
      </c>
      <c r="G101" s="230">
        <v>2.33</v>
      </c>
      <c r="H101" s="230">
        <v>2.34</v>
      </c>
      <c r="I101" s="231">
        <v>2.35</v>
      </c>
      <c r="J101" s="232">
        <v>2.37</v>
      </c>
      <c r="K101" s="232">
        <v>2.38</v>
      </c>
      <c r="L101" s="232">
        <v>2.4</v>
      </c>
      <c r="M101" s="232">
        <v>2.4</v>
      </c>
      <c r="N101" s="232">
        <v>2.42</v>
      </c>
      <c r="O101" s="232">
        <v>2.4300000000000002</v>
      </c>
      <c r="P101" s="233">
        <v>43465</v>
      </c>
      <c r="Q101" s="234">
        <v>376</v>
      </c>
      <c r="R101" s="235">
        <v>28.98</v>
      </c>
      <c r="S101" s="228"/>
      <c r="T101" s="236"/>
      <c r="U101" s="237">
        <f t="shared" si="16"/>
        <v>14.58</v>
      </c>
      <c r="V101" s="238">
        <f t="shared" si="17"/>
        <v>14.4</v>
      </c>
      <c r="W101" s="235">
        <f t="shared" si="18"/>
        <v>28.98</v>
      </c>
      <c r="X101" s="228"/>
      <c r="Y101" s="240"/>
      <c r="Z101" s="1279"/>
    </row>
    <row r="102" spans="1:26">
      <c r="A102" s="7">
        <v>93</v>
      </c>
      <c r="B102" s="228" t="s">
        <v>1408</v>
      </c>
      <c r="C102" s="228" t="s">
        <v>1488</v>
      </c>
      <c r="D102" s="229">
        <v>4625.59</v>
      </c>
      <c r="E102" s="230">
        <v>0</v>
      </c>
      <c r="F102" s="230">
        <v>5624.87</v>
      </c>
      <c r="G102" s="230">
        <v>3751.23</v>
      </c>
      <c r="H102" s="230">
        <v>7515.13</v>
      </c>
      <c r="I102" s="231">
        <v>64.680000000000007</v>
      </c>
      <c r="J102" s="232">
        <v>0</v>
      </c>
      <c r="K102" s="232">
        <v>0</v>
      </c>
      <c r="L102" s="232">
        <v>0</v>
      </c>
      <c r="M102" s="232">
        <v>0</v>
      </c>
      <c r="N102" s="232">
        <v>0</v>
      </c>
      <c r="O102" s="232">
        <v>0</v>
      </c>
      <c r="P102" s="234"/>
      <c r="Q102" s="234"/>
      <c r="R102" s="235">
        <v>21581.5</v>
      </c>
      <c r="S102" s="228"/>
      <c r="T102" s="236"/>
      <c r="U102" s="237">
        <f t="shared" si="16"/>
        <v>21581.5</v>
      </c>
      <c r="V102" s="238">
        <f t="shared" si="17"/>
        <v>0</v>
      </c>
      <c r="W102" s="235">
        <f t="shared" si="18"/>
        <v>21581.5</v>
      </c>
      <c r="X102" s="228"/>
      <c r="Y102" s="240"/>
      <c r="Z102" s="1279"/>
    </row>
    <row r="103" spans="1:26">
      <c r="A103" s="7">
        <v>94</v>
      </c>
      <c r="B103" s="228" t="s">
        <v>1408</v>
      </c>
      <c r="C103" s="228" t="s">
        <v>1489</v>
      </c>
      <c r="D103" s="229">
        <v>0</v>
      </c>
      <c r="E103" s="230">
        <v>0</v>
      </c>
      <c r="F103" s="230">
        <v>0</v>
      </c>
      <c r="G103" s="230">
        <v>0</v>
      </c>
      <c r="H103" s="230">
        <v>0</v>
      </c>
      <c r="I103" s="231">
        <v>0</v>
      </c>
      <c r="J103" s="232">
        <v>34784.75</v>
      </c>
      <c r="K103" s="232">
        <v>38138.840000000004</v>
      </c>
      <c r="L103" s="232">
        <v>32024.670000000002</v>
      </c>
      <c r="M103" s="232">
        <v>578.79</v>
      </c>
      <c r="N103" s="232">
        <v>581.98</v>
      </c>
      <c r="O103" s="232">
        <v>585.19000000000005</v>
      </c>
      <c r="P103" s="234"/>
      <c r="Q103" s="234"/>
      <c r="R103" s="235">
        <v>106694.22</v>
      </c>
      <c r="S103" s="228"/>
      <c r="T103" s="236"/>
      <c r="U103" s="237">
        <f t="shared" si="16"/>
        <v>0</v>
      </c>
      <c r="V103" s="238">
        <f t="shared" si="17"/>
        <v>106694.21999999999</v>
      </c>
      <c r="W103" s="235">
        <f t="shared" si="18"/>
        <v>106694.21999999999</v>
      </c>
      <c r="X103" s="228"/>
      <c r="Y103" s="240"/>
      <c r="Z103" s="1279"/>
    </row>
    <row r="104" spans="1:26">
      <c r="A104" s="7">
        <v>95</v>
      </c>
      <c r="B104" s="228" t="s">
        <v>1408</v>
      </c>
      <c r="C104" s="228" t="s">
        <v>1490</v>
      </c>
      <c r="D104" s="229">
        <v>48448.88</v>
      </c>
      <c r="E104" s="230">
        <v>344.81</v>
      </c>
      <c r="F104" s="230">
        <v>346.90000000000003</v>
      </c>
      <c r="G104" s="230">
        <v>318.18</v>
      </c>
      <c r="H104" s="230">
        <v>319.94</v>
      </c>
      <c r="I104" s="231">
        <v>14476.73</v>
      </c>
      <c r="J104" s="232">
        <v>6324.5</v>
      </c>
      <c r="K104" s="232">
        <v>0</v>
      </c>
      <c r="L104" s="232">
        <v>0</v>
      </c>
      <c r="M104" s="232">
        <v>0</v>
      </c>
      <c r="N104" s="232">
        <v>0</v>
      </c>
      <c r="O104" s="232">
        <v>0</v>
      </c>
      <c r="P104" s="234"/>
      <c r="Q104" s="234"/>
      <c r="R104" s="235">
        <v>70579.94</v>
      </c>
      <c r="S104" s="228"/>
      <c r="T104" s="236"/>
      <c r="U104" s="237">
        <f t="shared" si="16"/>
        <v>64255.44</v>
      </c>
      <c r="V104" s="238">
        <f t="shared" si="17"/>
        <v>6324.5</v>
      </c>
      <c r="W104" s="235">
        <f t="shared" si="18"/>
        <v>70579.94</v>
      </c>
      <c r="X104" s="228"/>
      <c r="Y104" s="240"/>
      <c r="Z104" s="1279"/>
    </row>
    <row r="105" spans="1:26">
      <c r="A105" s="7">
        <v>96</v>
      </c>
      <c r="B105" s="228" t="s">
        <v>1408</v>
      </c>
      <c r="C105" s="228" t="s">
        <v>1491</v>
      </c>
      <c r="D105" s="229">
        <v>170.24</v>
      </c>
      <c r="E105" s="230">
        <v>171.28</v>
      </c>
      <c r="F105" s="230">
        <v>172.31</v>
      </c>
      <c r="G105" s="230">
        <v>158.05000000000001</v>
      </c>
      <c r="H105" s="230">
        <v>37645.800000000003</v>
      </c>
      <c r="I105" s="231">
        <v>361.74</v>
      </c>
      <c r="J105" s="232">
        <v>1628.65</v>
      </c>
      <c r="K105" s="232">
        <v>0</v>
      </c>
      <c r="L105" s="232">
        <v>0</v>
      </c>
      <c r="M105" s="232">
        <v>0</v>
      </c>
      <c r="N105" s="232">
        <v>0</v>
      </c>
      <c r="O105" s="232">
        <v>0</v>
      </c>
      <c r="P105" s="234"/>
      <c r="Q105" s="234"/>
      <c r="R105" s="235">
        <v>40308.07</v>
      </c>
      <c r="S105" s="228"/>
      <c r="T105" s="236"/>
      <c r="U105" s="237">
        <f t="shared" si="16"/>
        <v>38679.42</v>
      </c>
      <c r="V105" s="238">
        <f t="shared" si="17"/>
        <v>1628.65</v>
      </c>
      <c r="W105" s="235">
        <f t="shared" si="18"/>
        <v>40308.07</v>
      </c>
      <c r="X105" s="228"/>
      <c r="Y105" s="240"/>
      <c r="Z105" s="1279"/>
    </row>
    <row r="106" spans="1:26">
      <c r="A106" s="7">
        <v>97</v>
      </c>
      <c r="B106" s="228" t="s">
        <v>1408</v>
      </c>
      <c r="C106" s="228" t="s">
        <v>1492</v>
      </c>
      <c r="D106" s="229">
        <v>0</v>
      </c>
      <c r="E106" s="230">
        <v>0</v>
      </c>
      <c r="F106" s="230">
        <v>0</v>
      </c>
      <c r="G106" s="230">
        <v>0</v>
      </c>
      <c r="H106" s="230">
        <v>0</v>
      </c>
      <c r="I106" s="231">
        <v>0</v>
      </c>
      <c r="J106" s="232">
        <v>0</v>
      </c>
      <c r="K106" s="232">
        <v>0</v>
      </c>
      <c r="L106" s="232">
        <v>50596</v>
      </c>
      <c r="M106" s="232">
        <v>50596</v>
      </c>
      <c r="N106" s="232">
        <v>0</v>
      </c>
      <c r="O106" s="232">
        <v>0</v>
      </c>
      <c r="P106" s="234"/>
      <c r="Q106" s="234"/>
      <c r="R106" s="235">
        <v>101192</v>
      </c>
      <c r="S106" s="228"/>
      <c r="T106" s="236"/>
      <c r="U106" s="237">
        <f t="shared" si="16"/>
        <v>0</v>
      </c>
      <c r="V106" s="238">
        <f t="shared" si="17"/>
        <v>101192</v>
      </c>
      <c r="W106" s="235">
        <f t="shared" si="18"/>
        <v>101192</v>
      </c>
      <c r="X106" s="228"/>
      <c r="Y106" s="240"/>
      <c r="Z106" s="1279"/>
    </row>
    <row r="107" spans="1:26">
      <c r="A107" s="7">
        <v>98</v>
      </c>
      <c r="B107" s="228" t="s">
        <v>1408</v>
      </c>
      <c r="C107" s="228" t="s">
        <v>1493</v>
      </c>
      <c r="D107" s="229">
        <v>0</v>
      </c>
      <c r="E107" s="230">
        <v>0</v>
      </c>
      <c r="F107" s="230">
        <v>0</v>
      </c>
      <c r="G107" s="230">
        <v>0</v>
      </c>
      <c r="H107" s="230">
        <v>0</v>
      </c>
      <c r="I107" s="231">
        <v>0</v>
      </c>
      <c r="J107" s="232">
        <v>0</v>
      </c>
      <c r="K107" s="232">
        <v>94867.5</v>
      </c>
      <c r="L107" s="232">
        <v>63768.19</v>
      </c>
      <c r="M107" s="232">
        <v>874.88</v>
      </c>
      <c r="N107" s="232">
        <v>879.7</v>
      </c>
      <c r="O107" s="232">
        <v>884.55000000000007</v>
      </c>
      <c r="P107" s="234"/>
      <c r="Q107" s="234"/>
      <c r="R107" s="235">
        <v>161274.82</v>
      </c>
      <c r="S107" s="228"/>
      <c r="T107" s="236"/>
      <c r="U107" s="237">
        <f t="shared" si="16"/>
        <v>0</v>
      </c>
      <c r="V107" s="238">
        <f t="shared" si="17"/>
        <v>161274.82</v>
      </c>
      <c r="W107" s="235">
        <f t="shared" si="18"/>
        <v>161274.82</v>
      </c>
      <c r="X107" s="228"/>
      <c r="Y107" s="240"/>
      <c r="Z107" s="1279"/>
    </row>
    <row r="108" spans="1:26">
      <c r="A108" s="7">
        <v>99</v>
      </c>
      <c r="B108" s="228" t="s">
        <v>1408</v>
      </c>
      <c r="C108" s="228" t="s">
        <v>1600</v>
      </c>
      <c r="D108" s="229">
        <v>8.4499999999999993</v>
      </c>
      <c r="E108" s="230">
        <v>8.49</v>
      </c>
      <c r="F108" s="230">
        <v>8.5500000000000007</v>
      </c>
      <c r="G108" s="230">
        <v>12816.15</v>
      </c>
      <c r="H108" s="230">
        <v>36175.85</v>
      </c>
      <c r="I108" s="231">
        <v>6271.87</v>
      </c>
      <c r="J108" s="232">
        <v>0</v>
      </c>
      <c r="K108" s="232">
        <v>0</v>
      </c>
      <c r="L108" s="232">
        <v>0</v>
      </c>
      <c r="M108" s="232">
        <v>0</v>
      </c>
      <c r="N108" s="232">
        <v>0</v>
      </c>
      <c r="O108" s="232">
        <v>0</v>
      </c>
      <c r="P108" s="233">
        <v>42978</v>
      </c>
      <c r="Q108" s="234">
        <v>376</v>
      </c>
      <c r="R108" s="235">
        <v>55289.36</v>
      </c>
      <c r="S108" s="228"/>
      <c r="T108" s="236">
        <f>+R108</f>
        <v>55289.36</v>
      </c>
      <c r="U108" s="237">
        <f t="shared" si="16"/>
        <v>55289.36</v>
      </c>
      <c r="V108" s="238">
        <f t="shared" si="17"/>
        <v>0</v>
      </c>
      <c r="W108" s="235">
        <f t="shared" si="18"/>
        <v>55289.36</v>
      </c>
      <c r="X108" s="236"/>
      <c r="Y108" s="240">
        <v>17</v>
      </c>
      <c r="Z108" s="1279"/>
    </row>
    <row r="109" spans="1:26">
      <c r="A109" s="7">
        <v>100</v>
      </c>
      <c r="B109" s="228" t="s">
        <v>1408</v>
      </c>
      <c r="C109" s="228" t="s">
        <v>1494</v>
      </c>
      <c r="D109" s="229">
        <v>1.29</v>
      </c>
      <c r="E109" s="230">
        <v>0</v>
      </c>
      <c r="F109" s="230">
        <v>3353.56</v>
      </c>
      <c r="G109" s="230">
        <v>17323.78</v>
      </c>
      <c r="H109" s="230">
        <v>133847.58000000002</v>
      </c>
      <c r="I109" s="231">
        <v>0</v>
      </c>
      <c r="J109" s="232">
        <v>825.23</v>
      </c>
      <c r="K109" s="232">
        <v>829.78</v>
      </c>
      <c r="L109" s="232">
        <v>834.35</v>
      </c>
      <c r="M109" s="232">
        <v>838.95</v>
      </c>
      <c r="N109" s="232">
        <v>843.59</v>
      </c>
      <c r="O109" s="232">
        <v>848.24</v>
      </c>
      <c r="P109" s="234"/>
      <c r="Q109" s="234"/>
      <c r="R109" s="235">
        <v>159546.35</v>
      </c>
      <c r="S109" s="228"/>
      <c r="T109" s="236"/>
      <c r="U109" s="237">
        <f t="shared" si="16"/>
        <v>154526.21000000002</v>
      </c>
      <c r="V109" s="238">
        <f t="shared" si="17"/>
        <v>5020.1400000000003</v>
      </c>
      <c r="W109" s="235">
        <f t="shared" si="18"/>
        <v>159546.35000000003</v>
      </c>
      <c r="X109" s="228"/>
      <c r="Y109" s="240">
        <v>1</v>
      </c>
      <c r="Z109" s="1279"/>
    </row>
    <row r="110" spans="1:26" s="1203" customFormat="1">
      <c r="A110" s="1193">
        <v>101</v>
      </c>
      <c r="B110" s="1194" t="s">
        <v>1408</v>
      </c>
      <c r="C110" s="1194" t="s">
        <v>1495</v>
      </c>
      <c r="D110" s="1195">
        <v>64242.18</v>
      </c>
      <c r="E110" s="1196">
        <v>60861.22</v>
      </c>
      <c r="F110" s="1196">
        <v>84583.35</v>
      </c>
      <c r="G110" s="1196">
        <v>83263.17</v>
      </c>
      <c r="H110" s="1196">
        <v>129580.83</v>
      </c>
      <c r="I110" s="1197">
        <v>70501.39</v>
      </c>
      <c r="J110" s="1198">
        <v>99889.58</v>
      </c>
      <c r="K110" s="1198">
        <v>99889.58</v>
      </c>
      <c r="L110" s="1198">
        <v>99889.58</v>
      </c>
      <c r="M110" s="1198">
        <v>99889.58</v>
      </c>
      <c r="N110" s="1198">
        <v>99889.58</v>
      </c>
      <c r="O110" s="1198">
        <v>99889.58</v>
      </c>
      <c r="P110" s="1199">
        <v>43100</v>
      </c>
      <c r="Q110" s="1198">
        <v>381</v>
      </c>
      <c r="R110" s="1200">
        <v>1092369.6200000001</v>
      </c>
      <c r="S110" s="1204">
        <f>+'State Allocation Formulas'!$L$25</f>
        <v>0.77239999999999998</v>
      </c>
      <c r="T110" s="1201">
        <f>+R110*S110</f>
        <v>843746.2944880001</v>
      </c>
      <c r="U110" s="1200">
        <f t="shared" si="16"/>
        <v>493032.14</v>
      </c>
      <c r="V110" s="1200">
        <f t="shared" si="17"/>
        <v>599337.48</v>
      </c>
      <c r="W110" s="1200">
        <f t="shared" si="18"/>
        <v>1092369.6200000001</v>
      </c>
      <c r="X110" s="1201">
        <f>Z110</f>
        <v>666648.68999999994</v>
      </c>
      <c r="Y110" s="1202">
        <v>51</v>
      </c>
      <c r="Z110" s="1279">
        <v>666648.68999999994</v>
      </c>
    </row>
    <row r="111" spans="1:26">
      <c r="A111" s="7">
        <v>102</v>
      </c>
      <c r="B111" s="228" t="s">
        <v>1408</v>
      </c>
      <c r="C111" s="228" t="s">
        <v>1496</v>
      </c>
      <c r="D111" s="229">
        <v>320.5</v>
      </c>
      <c r="E111" s="230">
        <v>12080.95</v>
      </c>
      <c r="F111" s="230">
        <v>0</v>
      </c>
      <c r="G111" s="230">
        <v>0</v>
      </c>
      <c r="H111" s="230">
        <v>0</v>
      </c>
      <c r="I111" s="231">
        <v>0</v>
      </c>
      <c r="J111" s="232">
        <v>0</v>
      </c>
      <c r="K111" s="232">
        <v>0</v>
      </c>
      <c r="L111" s="232">
        <v>0</v>
      </c>
      <c r="M111" s="232">
        <v>0</v>
      </c>
      <c r="N111" s="232">
        <v>0</v>
      </c>
      <c r="O111" s="232">
        <v>0</v>
      </c>
      <c r="P111" s="233">
        <v>42735</v>
      </c>
      <c r="Q111" s="234">
        <v>376</v>
      </c>
      <c r="R111" s="235">
        <v>12401.45</v>
      </c>
      <c r="S111" s="228"/>
      <c r="T111" s="236">
        <f t="shared" ref="T111" si="19">+R111</f>
        <v>12401.45</v>
      </c>
      <c r="U111" s="237">
        <f t="shared" si="16"/>
        <v>12401.45</v>
      </c>
      <c r="V111" s="238">
        <f t="shared" si="17"/>
        <v>0</v>
      </c>
      <c r="W111" s="235">
        <f t="shared" si="18"/>
        <v>12401.45</v>
      </c>
      <c r="X111" s="228"/>
      <c r="Y111" s="240" t="s">
        <v>1421</v>
      </c>
      <c r="Z111" s="1279"/>
    </row>
    <row r="112" spans="1:26">
      <c r="A112" s="7">
        <v>103</v>
      </c>
      <c r="B112" s="228" t="s">
        <v>1408</v>
      </c>
      <c r="C112" s="228" t="s">
        <v>1497</v>
      </c>
      <c r="D112" s="229">
        <v>6695.93</v>
      </c>
      <c r="E112" s="230">
        <v>0</v>
      </c>
      <c r="F112" s="230">
        <v>104622.8</v>
      </c>
      <c r="G112" s="230">
        <v>0</v>
      </c>
      <c r="H112" s="230">
        <v>-0.67</v>
      </c>
      <c r="I112" s="231">
        <v>0</v>
      </c>
      <c r="J112" s="232">
        <v>0</v>
      </c>
      <c r="K112" s="232">
        <v>0</v>
      </c>
      <c r="L112" s="232">
        <v>0</v>
      </c>
      <c r="M112" s="232">
        <v>0</v>
      </c>
      <c r="N112" s="232">
        <v>0</v>
      </c>
      <c r="O112" s="232">
        <v>0</v>
      </c>
      <c r="P112" s="233">
        <v>42735</v>
      </c>
      <c r="Q112" s="234">
        <v>376</v>
      </c>
      <c r="R112" s="235">
        <v>111318.06</v>
      </c>
      <c r="S112" s="228"/>
      <c r="T112" s="236">
        <f>+R112</f>
        <v>111318.06</v>
      </c>
      <c r="U112" s="237">
        <f t="shared" si="16"/>
        <v>111318.06000000001</v>
      </c>
      <c r="V112" s="238">
        <f t="shared" si="17"/>
        <v>0</v>
      </c>
      <c r="W112" s="235">
        <f t="shared" si="18"/>
        <v>111318.06000000001</v>
      </c>
      <c r="X112" s="236"/>
      <c r="Y112" s="240">
        <v>32</v>
      </c>
      <c r="Z112" s="1279"/>
    </row>
    <row r="113" spans="1:26">
      <c r="A113" s="7">
        <v>104</v>
      </c>
      <c r="B113" s="228" t="s">
        <v>1408</v>
      </c>
      <c r="C113" s="228" t="s">
        <v>1498</v>
      </c>
      <c r="D113" s="229">
        <v>35.25</v>
      </c>
      <c r="E113" s="230">
        <v>45802.37</v>
      </c>
      <c r="F113" s="230">
        <v>13110.08</v>
      </c>
      <c r="G113" s="230">
        <v>51034.270000000004</v>
      </c>
      <c r="H113" s="230">
        <v>85.33</v>
      </c>
      <c r="I113" s="231">
        <v>0</v>
      </c>
      <c r="J113" s="232">
        <v>0</v>
      </c>
      <c r="K113" s="232">
        <v>0</v>
      </c>
      <c r="L113" s="232">
        <v>0</v>
      </c>
      <c r="M113" s="232">
        <v>0</v>
      </c>
      <c r="N113" s="232">
        <v>0</v>
      </c>
      <c r="O113" s="232">
        <v>0</v>
      </c>
      <c r="P113" s="233">
        <v>42917</v>
      </c>
      <c r="Q113" s="234">
        <v>376</v>
      </c>
      <c r="R113" s="235">
        <v>110067.3</v>
      </c>
      <c r="S113" s="228"/>
      <c r="T113" s="236">
        <f>+R113</f>
        <v>110067.3</v>
      </c>
      <c r="U113" s="237">
        <f t="shared" si="16"/>
        <v>110067.3</v>
      </c>
      <c r="V113" s="238">
        <f t="shared" si="17"/>
        <v>0</v>
      </c>
      <c r="W113" s="235">
        <f t="shared" si="18"/>
        <v>110067.3</v>
      </c>
      <c r="X113" s="236"/>
      <c r="Y113" s="240">
        <v>33</v>
      </c>
      <c r="Z113" s="1279"/>
    </row>
    <row r="114" spans="1:26">
      <c r="A114" s="7">
        <v>105</v>
      </c>
      <c r="B114" s="228" t="s">
        <v>1408</v>
      </c>
      <c r="C114" s="228" t="s">
        <v>1499</v>
      </c>
      <c r="D114" s="229">
        <v>0</v>
      </c>
      <c r="E114" s="230">
        <v>0</v>
      </c>
      <c r="F114" s="230">
        <v>0</v>
      </c>
      <c r="G114" s="230">
        <v>0</v>
      </c>
      <c r="H114" s="230">
        <v>0</v>
      </c>
      <c r="I114" s="231">
        <v>0</v>
      </c>
      <c r="J114" s="232">
        <v>0</v>
      </c>
      <c r="K114" s="232">
        <v>193529.7</v>
      </c>
      <c r="L114" s="232">
        <v>1067.31</v>
      </c>
      <c r="M114" s="232">
        <v>1073.2</v>
      </c>
      <c r="N114" s="232">
        <v>1079.1300000000001</v>
      </c>
      <c r="O114" s="232">
        <v>1085.07</v>
      </c>
      <c r="P114" s="233">
        <v>43100</v>
      </c>
      <c r="Q114" s="234">
        <v>376</v>
      </c>
      <c r="R114" s="235">
        <v>197834.41</v>
      </c>
      <c r="S114" s="228"/>
      <c r="T114" s="236">
        <f t="shared" ref="T114:T120" si="20">+R114</f>
        <v>197834.41</v>
      </c>
      <c r="U114" s="237">
        <f t="shared" si="16"/>
        <v>0</v>
      </c>
      <c r="V114" s="238">
        <f t="shared" si="17"/>
        <v>197834.41000000003</v>
      </c>
      <c r="W114" s="235">
        <f t="shared" si="18"/>
        <v>197834.41000000003</v>
      </c>
      <c r="X114" s="239"/>
      <c r="Y114" s="240">
        <v>34</v>
      </c>
      <c r="Z114" s="1279"/>
    </row>
    <row r="115" spans="1:26" s="1203" customFormat="1">
      <c r="A115" s="1193">
        <v>106</v>
      </c>
      <c r="B115" s="1194" t="s">
        <v>1408</v>
      </c>
      <c r="C115" s="1194" t="s">
        <v>1500</v>
      </c>
      <c r="D115" s="1195">
        <v>0</v>
      </c>
      <c r="E115" s="1196">
        <v>0</v>
      </c>
      <c r="F115" s="1196">
        <v>0</v>
      </c>
      <c r="G115" s="1196">
        <v>27933.95</v>
      </c>
      <c r="H115" s="1196">
        <v>86874.77</v>
      </c>
      <c r="I115" s="1197">
        <v>42247.22</v>
      </c>
      <c r="J115" s="1198">
        <v>23634.36</v>
      </c>
      <c r="K115" s="1198">
        <v>41473.31</v>
      </c>
      <c r="L115" s="1198">
        <v>42334.48</v>
      </c>
      <c r="M115" s="1198">
        <v>254438.71</v>
      </c>
      <c r="N115" s="1198">
        <v>265841.93</v>
      </c>
      <c r="O115" s="1198">
        <v>257252.9</v>
      </c>
      <c r="P115" s="1199">
        <v>43100</v>
      </c>
      <c r="Q115" s="1198">
        <v>376</v>
      </c>
      <c r="R115" s="1200">
        <v>1042031.63</v>
      </c>
      <c r="S115" s="1194"/>
      <c r="T115" s="1201">
        <f t="shared" si="20"/>
        <v>1042031.63</v>
      </c>
      <c r="U115" s="1200">
        <f t="shared" si="16"/>
        <v>157055.94</v>
      </c>
      <c r="V115" s="1200">
        <f t="shared" si="17"/>
        <v>884975.69000000006</v>
      </c>
      <c r="W115" s="1200">
        <f t="shared" si="18"/>
        <v>1042031.6300000001</v>
      </c>
      <c r="X115" s="1201">
        <f>Z115</f>
        <v>230692.74</v>
      </c>
      <c r="Y115" s="1202">
        <v>34</v>
      </c>
      <c r="Z115" s="1279">
        <v>230692.74</v>
      </c>
    </row>
    <row r="116" spans="1:26">
      <c r="A116" s="7">
        <v>107</v>
      </c>
      <c r="B116" s="228" t="s">
        <v>1408</v>
      </c>
      <c r="C116" s="228" t="s">
        <v>1501</v>
      </c>
      <c r="D116" s="229">
        <v>276578.96000000002</v>
      </c>
      <c r="E116" s="230">
        <v>95544.89</v>
      </c>
      <c r="F116" s="230">
        <v>108569.42</v>
      </c>
      <c r="G116" s="230">
        <v>748.01</v>
      </c>
      <c r="H116" s="230">
        <v>14502.69</v>
      </c>
      <c r="I116" s="231">
        <v>0</v>
      </c>
      <c r="J116" s="232">
        <v>0</v>
      </c>
      <c r="K116" s="232">
        <v>0</v>
      </c>
      <c r="L116" s="232">
        <v>0</v>
      </c>
      <c r="M116" s="232">
        <v>0</v>
      </c>
      <c r="N116" s="232">
        <v>0</v>
      </c>
      <c r="O116" s="232">
        <v>0</v>
      </c>
      <c r="P116" s="233">
        <v>42795</v>
      </c>
      <c r="Q116" s="234">
        <v>378</v>
      </c>
      <c r="R116" s="235">
        <v>495943.97000000003</v>
      </c>
      <c r="S116" s="228"/>
      <c r="T116" s="236">
        <f t="shared" si="20"/>
        <v>495943.97000000003</v>
      </c>
      <c r="U116" s="237">
        <f t="shared" si="16"/>
        <v>495943.97000000003</v>
      </c>
      <c r="V116" s="238">
        <f t="shared" si="17"/>
        <v>0</v>
      </c>
      <c r="W116" s="235">
        <f t="shared" si="18"/>
        <v>495943.97000000003</v>
      </c>
      <c r="X116" s="236"/>
      <c r="Y116" s="240" t="s">
        <v>1421</v>
      </c>
      <c r="Z116" s="1279"/>
    </row>
    <row r="117" spans="1:26">
      <c r="A117" s="7">
        <v>108</v>
      </c>
      <c r="B117" s="228" t="s">
        <v>1408</v>
      </c>
      <c r="C117" s="228" t="s">
        <v>1502</v>
      </c>
      <c r="D117" s="229">
        <v>0</v>
      </c>
      <c r="E117" s="230">
        <v>0</v>
      </c>
      <c r="F117" s="230">
        <v>0</v>
      </c>
      <c r="G117" s="230">
        <v>0</v>
      </c>
      <c r="H117" s="230">
        <v>15068.23</v>
      </c>
      <c r="I117" s="231">
        <v>83.100000000000009</v>
      </c>
      <c r="J117" s="232">
        <v>83.56</v>
      </c>
      <c r="K117" s="232">
        <v>84.02</v>
      </c>
      <c r="L117" s="232">
        <v>84.48</v>
      </c>
      <c r="M117" s="232">
        <v>84.95</v>
      </c>
      <c r="N117" s="232">
        <v>0</v>
      </c>
      <c r="O117" s="232">
        <v>0</v>
      </c>
      <c r="P117" s="233">
        <v>43029</v>
      </c>
      <c r="Q117" s="234">
        <v>376</v>
      </c>
      <c r="R117" s="235">
        <v>15488.34</v>
      </c>
      <c r="S117" s="228"/>
      <c r="T117" s="236">
        <f t="shared" si="20"/>
        <v>15488.34</v>
      </c>
      <c r="U117" s="237">
        <f t="shared" si="16"/>
        <v>15151.33</v>
      </c>
      <c r="V117" s="238">
        <f t="shared" si="17"/>
        <v>337.01</v>
      </c>
      <c r="W117" s="235">
        <f t="shared" si="18"/>
        <v>15488.34</v>
      </c>
      <c r="X117" s="228"/>
      <c r="Y117" s="240" t="s">
        <v>1421</v>
      </c>
      <c r="Z117" s="1279"/>
    </row>
    <row r="118" spans="1:26">
      <c r="A118" s="7">
        <v>109</v>
      </c>
      <c r="B118" s="228" t="s">
        <v>1408</v>
      </c>
      <c r="C118" s="228" t="s">
        <v>1503</v>
      </c>
      <c r="D118" s="229">
        <v>93.37</v>
      </c>
      <c r="E118" s="230">
        <v>85441.38</v>
      </c>
      <c r="F118" s="230">
        <v>1142.54</v>
      </c>
      <c r="G118" s="230">
        <v>123455.44</v>
      </c>
      <c r="H118" s="230">
        <v>28808.9</v>
      </c>
      <c r="I118" s="231">
        <v>0</v>
      </c>
      <c r="J118" s="232">
        <v>0</v>
      </c>
      <c r="K118" s="232">
        <v>0</v>
      </c>
      <c r="L118" s="232">
        <v>0</v>
      </c>
      <c r="M118" s="232">
        <v>0</v>
      </c>
      <c r="N118" s="232">
        <v>0</v>
      </c>
      <c r="O118" s="232">
        <v>0</v>
      </c>
      <c r="P118" s="233">
        <v>42916</v>
      </c>
      <c r="Q118" s="234">
        <v>376</v>
      </c>
      <c r="R118" s="235">
        <v>238941.63</v>
      </c>
      <c r="S118" s="228"/>
      <c r="T118" s="236">
        <f t="shared" si="20"/>
        <v>238941.63</v>
      </c>
      <c r="U118" s="237">
        <f t="shared" si="16"/>
        <v>238941.62999999998</v>
      </c>
      <c r="V118" s="238">
        <f t="shared" si="17"/>
        <v>0</v>
      </c>
      <c r="W118" s="235">
        <f t="shared" si="18"/>
        <v>238941.62999999998</v>
      </c>
      <c r="X118" s="236"/>
      <c r="Y118" s="240">
        <v>2</v>
      </c>
      <c r="Z118" s="1279"/>
    </row>
    <row r="119" spans="1:26">
      <c r="A119" s="7">
        <v>110</v>
      </c>
      <c r="B119" s="228" t="s">
        <v>1408</v>
      </c>
      <c r="C119" s="228" t="s">
        <v>1504</v>
      </c>
      <c r="D119" s="229">
        <v>855.16</v>
      </c>
      <c r="E119" s="230">
        <v>3280.9</v>
      </c>
      <c r="F119" s="230">
        <v>20012.48</v>
      </c>
      <c r="G119" s="230">
        <v>2926.28</v>
      </c>
      <c r="H119" s="230">
        <v>0</v>
      </c>
      <c r="I119" s="231">
        <v>0</v>
      </c>
      <c r="J119" s="232">
        <v>0</v>
      </c>
      <c r="K119" s="232">
        <v>0</v>
      </c>
      <c r="L119" s="232">
        <v>0</v>
      </c>
      <c r="M119" s="232">
        <v>0</v>
      </c>
      <c r="N119" s="232">
        <v>0</v>
      </c>
      <c r="O119" s="232">
        <v>0</v>
      </c>
      <c r="P119" s="233">
        <v>42719</v>
      </c>
      <c r="Q119" s="234">
        <v>378</v>
      </c>
      <c r="R119" s="235">
        <v>27074.82</v>
      </c>
      <c r="S119" s="228"/>
      <c r="T119" s="236">
        <f t="shared" si="20"/>
        <v>27074.82</v>
      </c>
      <c r="U119" s="237">
        <f t="shared" si="16"/>
        <v>27074.82</v>
      </c>
      <c r="V119" s="238">
        <f t="shared" si="17"/>
        <v>0</v>
      </c>
      <c r="W119" s="235">
        <f t="shared" si="18"/>
        <v>27074.82</v>
      </c>
      <c r="X119" s="236"/>
      <c r="Y119" s="240" t="s">
        <v>1421</v>
      </c>
      <c r="Z119" s="1279"/>
    </row>
    <row r="120" spans="1:26">
      <c r="A120" s="7">
        <v>111</v>
      </c>
      <c r="B120" s="228" t="s">
        <v>1408</v>
      </c>
      <c r="C120" s="228" t="s">
        <v>1505</v>
      </c>
      <c r="D120" s="229">
        <v>0</v>
      </c>
      <c r="E120" s="230">
        <v>0</v>
      </c>
      <c r="F120" s="230">
        <v>0</v>
      </c>
      <c r="G120" s="230">
        <v>0</v>
      </c>
      <c r="H120" s="230">
        <v>0</v>
      </c>
      <c r="I120" s="231">
        <v>0</v>
      </c>
      <c r="J120" s="232">
        <v>0</v>
      </c>
      <c r="K120" s="232">
        <v>4427.1500000000005</v>
      </c>
      <c r="L120" s="232">
        <v>75285.97</v>
      </c>
      <c r="M120" s="232">
        <v>9293.91</v>
      </c>
      <c r="N120" s="232">
        <v>490.87</v>
      </c>
      <c r="O120" s="232">
        <v>493.58</v>
      </c>
      <c r="P120" s="234"/>
      <c r="Q120" s="234"/>
      <c r="R120" s="235">
        <v>89991.48</v>
      </c>
      <c r="S120" s="228"/>
      <c r="T120" s="236">
        <f t="shared" si="20"/>
        <v>89991.48</v>
      </c>
      <c r="U120" s="237">
        <f t="shared" si="16"/>
        <v>0</v>
      </c>
      <c r="V120" s="238">
        <f t="shared" si="17"/>
        <v>89991.48</v>
      </c>
      <c r="W120" s="235">
        <f t="shared" si="18"/>
        <v>89991.48</v>
      </c>
      <c r="X120" s="236"/>
      <c r="Y120" s="240">
        <v>28</v>
      </c>
      <c r="Z120" s="1279"/>
    </row>
    <row r="121" spans="1:26">
      <c r="A121" s="7">
        <v>112</v>
      </c>
      <c r="B121" s="228" t="s">
        <v>1408</v>
      </c>
      <c r="C121" s="228" t="s">
        <v>1506</v>
      </c>
      <c r="D121" s="229">
        <v>0</v>
      </c>
      <c r="E121" s="230">
        <v>0</v>
      </c>
      <c r="F121" s="230">
        <v>0</v>
      </c>
      <c r="G121" s="230">
        <v>0</v>
      </c>
      <c r="H121" s="230">
        <v>0</v>
      </c>
      <c r="I121" s="231">
        <v>73.960000000000008</v>
      </c>
      <c r="J121" s="232">
        <v>8854.7100000000009</v>
      </c>
      <c r="K121" s="232">
        <v>49.24</v>
      </c>
      <c r="L121" s="232">
        <v>0</v>
      </c>
      <c r="M121" s="232">
        <v>0</v>
      </c>
      <c r="N121" s="232">
        <v>0</v>
      </c>
      <c r="O121" s="232">
        <v>0</v>
      </c>
      <c r="P121" s="234"/>
      <c r="Q121" s="234"/>
      <c r="R121" s="235">
        <v>8977.91</v>
      </c>
      <c r="S121" s="228"/>
      <c r="T121" s="236"/>
      <c r="U121" s="237">
        <f t="shared" si="16"/>
        <v>73.960000000000008</v>
      </c>
      <c r="V121" s="238">
        <f t="shared" si="17"/>
        <v>8903.9500000000007</v>
      </c>
      <c r="W121" s="235">
        <f t="shared" si="18"/>
        <v>8977.91</v>
      </c>
      <c r="X121" s="228"/>
      <c r="Y121" s="240"/>
      <c r="Z121" s="1279"/>
    </row>
    <row r="122" spans="1:26">
      <c r="A122" s="7">
        <v>113</v>
      </c>
      <c r="B122" s="228" t="s">
        <v>1408</v>
      </c>
      <c r="C122" s="228" t="s">
        <v>1507</v>
      </c>
      <c r="D122" s="229">
        <v>0</v>
      </c>
      <c r="E122" s="230">
        <v>0</v>
      </c>
      <c r="F122" s="230">
        <v>0</v>
      </c>
      <c r="G122" s="230">
        <v>0</v>
      </c>
      <c r="H122" s="230">
        <v>0</v>
      </c>
      <c r="I122" s="231">
        <v>0</v>
      </c>
      <c r="J122" s="232">
        <v>0</v>
      </c>
      <c r="K122" s="232">
        <v>4427.1500000000005</v>
      </c>
      <c r="L122" s="232">
        <v>75285.97</v>
      </c>
      <c r="M122" s="232">
        <v>9293.91</v>
      </c>
      <c r="N122" s="232">
        <v>490.87</v>
      </c>
      <c r="O122" s="232">
        <v>493.58</v>
      </c>
      <c r="P122" s="234"/>
      <c r="Q122" s="234"/>
      <c r="R122" s="235">
        <v>89991.48</v>
      </c>
      <c r="S122" s="228"/>
      <c r="T122" s="236">
        <f>+R122</f>
        <v>89991.48</v>
      </c>
      <c r="U122" s="237">
        <f t="shared" si="16"/>
        <v>0</v>
      </c>
      <c r="V122" s="238">
        <f t="shared" si="17"/>
        <v>89991.48</v>
      </c>
      <c r="W122" s="235">
        <f t="shared" si="18"/>
        <v>89991.48</v>
      </c>
      <c r="X122" s="236"/>
      <c r="Y122" s="240">
        <v>29</v>
      </c>
      <c r="Z122" s="1279"/>
    </row>
    <row r="123" spans="1:26">
      <c r="A123" s="7">
        <v>114</v>
      </c>
      <c r="B123" s="228" t="s">
        <v>1408</v>
      </c>
      <c r="C123" s="228" t="s">
        <v>1508</v>
      </c>
      <c r="D123" s="229">
        <v>0</v>
      </c>
      <c r="E123" s="230">
        <v>0</v>
      </c>
      <c r="F123" s="230">
        <v>0</v>
      </c>
      <c r="G123" s="230">
        <v>0</v>
      </c>
      <c r="H123" s="230">
        <v>0</v>
      </c>
      <c r="I123" s="231">
        <v>0</v>
      </c>
      <c r="J123" s="232">
        <v>8854.3000000000011</v>
      </c>
      <c r="K123" s="232">
        <v>48.83</v>
      </c>
      <c r="L123" s="232">
        <v>0</v>
      </c>
      <c r="M123" s="232">
        <v>0</v>
      </c>
      <c r="N123" s="232">
        <v>0</v>
      </c>
      <c r="O123" s="232">
        <v>0</v>
      </c>
      <c r="P123" s="234"/>
      <c r="Q123" s="234"/>
      <c r="R123" s="235">
        <v>8903.130000000001</v>
      </c>
      <c r="S123" s="228"/>
      <c r="T123" s="236"/>
      <c r="U123" s="237">
        <f t="shared" si="16"/>
        <v>0</v>
      </c>
      <c r="V123" s="238">
        <f t="shared" si="17"/>
        <v>8903.130000000001</v>
      </c>
      <c r="W123" s="235">
        <f t="shared" si="18"/>
        <v>8903.130000000001</v>
      </c>
      <c r="X123" s="228"/>
      <c r="Y123" s="240"/>
      <c r="Z123" s="1279"/>
    </row>
    <row r="124" spans="1:26">
      <c r="A124" s="7">
        <v>115</v>
      </c>
      <c r="B124" s="228" t="s">
        <v>1408</v>
      </c>
      <c r="C124" s="228" t="s">
        <v>1509</v>
      </c>
      <c r="D124" s="229">
        <v>22.52</v>
      </c>
      <c r="E124" s="230">
        <v>22.67</v>
      </c>
      <c r="F124" s="230">
        <v>22.8</v>
      </c>
      <c r="G124" s="230">
        <v>20.91</v>
      </c>
      <c r="H124" s="230">
        <v>86575.69</v>
      </c>
      <c r="I124" s="231">
        <v>0</v>
      </c>
      <c r="J124" s="232">
        <v>0</v>
      </c>
      <c r="K124" s="232">
        <v>0</v>
      </c>
      <c r="L124" s="232">
        <v>0</v>
      </c>
      <c r="M124" s="232">
        <v>0</v>
      </c>
      <c r="N124" s="232">
        <v>0</v>
      </c>
      <c r="O124" s="232">
        <v>0</v>
      </c>
      <c r="P124" s="234"/>
      <c r="Q124" s="234"/>
      <c r="R124" s="235">
        <v>86664.59</v>
      </c>
      <c r="S124" s="228"/>
      <c r="T124" s="236"/>
      <c r="U124" s="237">
        <f t="shared" si="16"/>
        <v>86664.59</v>
      </c>
      <c r="V124" s="238">
        <f t="shared" si="17"/>
        <v>0</v>
      </c>
      <c r="W124" s="235">
        <f t="shared" si="18"/>
        <v>86664.59</v>
      </c>
      <c r="X124" s="228"/>
      <c r="Y124" s="240"/>
      <c r="Z124" s="1279"/>
    </row>
    <row r="125" spans="1:26">
      <c r="A125" s="7">
        <v>116</v>
      </c>
      <c r="B125" s="228" t="s">
        <v>1408</v>
      </c>
      <c r="C125" s="228" t="s">
        <v>1510</v>
      </c>
      <c r="D125" s="229">
        <v>3099.37</v>
      </c>
      <c r="E125" s="230">
        <v>8939.86</v>
      </c>
      <c r="F125" s="230">
        <v>1980.13</v>
      </c>
      <c r="G125" s="230">
        <v>0</v>
      </c>
      <c r="H125" s="230">
        <v>0</v>
      </c>
      <c r="I125" s="231">
        <v>0</v>
      </c>
      <c r="J125" s="232">
        <v>0</v>
      </c>
      <c r="K125" s="232">
        <v>0</v>
      </c>
      <c r="L125" s="232">
        <v>0</v>
      </c>
      <c r="M125" s="232">
        <v>0</v>
      </c>
      <c r="N125" s="232">
        <v>0</v>
      </c>
      <c r="O125" s="232">
        <v>0</v>
      </c>
      <c r="P125" s="233">
        <v>42765</v>
      </c>
      <c r="Q125" s="234">
        <v>376</v>
      </c>
      <c r="R125" s="235">
        <v>14019.36</v>
      </c>
      <c r="S125" s="228"/>
      <c r="T125" s="236">
        <f t="shared" ref="T125:T128" si="21">+R125</f>
        <v>14019.36</v>
      </c>
      <c r="U125" s="237">
        <f t="shared" si="16"/>
        <v>14019.36</v>
      </c>
      <c r="V125" s="238">
        <f t="shared" si="17"/>
        <v>0</v>
      </c>
      <c r="W125" s="235">
        <f t="shared" si="18"/>
        <v>14019.36</v>
      </c>
      <c r="X125" s="236"/>
      <c r="Y125" s="240">
        <v>6</v>
      </c>
      <c r="Z125" s="1279"/>
    </row>
    <row r="126" spans="1:26">
      <c r="A126" s="7">
        <v>117</v>
      </c>
      <c r="B126" s="228" t="s">
        <v>1408</v>
      </c>
      <c r="C126" s="228" t="s">
        <v>1511</v>
      </c>
      <c r="D126" s="229">
        <v>0</v>
      </c>
      <c r="E126" s="230">
        <v>267.13</v>
      </c>
      <c r="F126" s="230">
        <v>11872.72</v>
      </c>
      <c r="G126" s="230">
        <v>0</v>
      </c>
      <c r="H126" s="230">
        <v>0</v>
      </c>
      <c r="I126" s="231">
        <v>0</v>
      </c>
      <c r="J126" s="232">
        <v>0</v>
      </c>
      <c r="K126" s="232">
        <v>0</v>
      </c>
      <c r="L126" s="232">
        <v>0</v>
      </c>
      <c r="M126" s="232">
        <v>0</v>
      </c>
      <c r="N126" s="232">
        <v>0</v>
      </c>
      <c r="O126" s="232">
        <v>0</v>
      </c>
      <c r="P126" s="233">
        <v>43100</v>
      </c>
      <c r="Q126" s="234">
        <v>376</v>
      </c>
      <c r="R126" s="235">
        <v>12139.85</v>
      </c>
      <c r="S126" s="228"/>
      <c r="T126" s="236">
        <f t="shared" si="21"/>
        <v>12139.85</v>
      </c>
      <c r="U126" s="237">
        <f t="shared" si="16"/>
        <v>12139.849999999999</v>
      </c>
      <c r="V126" s="238">
        <f t="shared" si="17"/>
        <v>0</v>
      </c>
      <c r="W126" s="235">
        <f t="shared" si="18"/>
        <v>12139.849999999999</v>
      </c>
      <c r="X126" s="236"/>
      <c r="Y126" s="240" t="s">
        <v>1421</v>
      </c>
      <c r="Z126" s="1279"/>
    </row>
    <row r="127" spans="1:26" s="1203" customFormat="1">
      <c r="A127" s="1193">
        <v>118</v>
      </c>
      <c r="B127" s="1194" t="s">
        <v>1408</v>
      </c>
      <c r="C127" s="1194" t="s">
        <v>1512</v>
      </c>
      <c r="D127" s="1195">
        <v>5883.75</v>
      </c>
      <c r="E127" s="1196">
        <v>1428.1000000000001</v>
      </c>
      <c r="F127" s="1196">
        <v>42879.69</v>
      </c>
      <c r="G127" s="1196">
        <v>292918.66000000003</v>
      </c>
      <c r="H127" s="1196">
        <v>387922.7</v>
      </c>
      <c r="I127" s="1197">
        <v>158928.14000000001</v>
      </c>
      <c r="J127" s="1198">
        <v>637734.85</v>
      </c>
      <c r="K127" s="1198">
        <v>1147211.96</v>
      </c>
      <c r="L127" s="1198">
        <v>1912478.83</v>
      </c>
      <c r="M127" s="1198">
        <v>341901.16000000003</v>
      </c>
      <c r="N127" s="1198">
        <v>0</v>
      </c>
      <c r="O127" s="1198">
        <v>0</v>
      </c>
      <c r="P127" s="1199">
        <v>43039</v>
      </c>
      <c r="Q127" s="1198">
        <v>376</v>
      </c>
      <c r="R127" s="1200">
        <v>4929287.84</v>
      </c>
      <c r="S127" s="1194"/>
      <c r="T127" s="1201">
        <f t="shared" si="21"/>
        <v>4929287.84</v>
      </c>
      <c r="U127" s="1200">
        <f t="shared" si="16"/>
        <v>889961.04</v>
      </c>
      <c r="V127" s="1200">
        <f t="shared" si="17"/>
        <v>4039326.8000000003</v>
      </c>
      <c r="W127" s="1200">
        <f t="shared" si="18"/>
        <v>4929287.84</v>
      </c>
      <c r="X127" s="1201">
        <f>Z127</f>
        <v>0</v>
      </c>
      <c r="Y127" s="1202">
        <v>14</v>
      </c>
      <c r="Z127" s="1279">
        <v>0</v>
      </c>
    </row>
    <row r="128" spans="1:26">
      <c r="A128" s="7">
        <v>119</v>
      </c>
      <c r="B128" s="228" t="s">
        <v>1408</v>
      </c>
      <c r="C128" s="228" t="s">
        <v>1513</v>
      </c>
      <c r="D128" s="229">
        <v>0</v>
      </c>
      <c r="E128" s="230">
        <v>14709.56</v>
      </c>
      <c r="F128" s="230">
        <v>1390.1200000000001</v>
      </c>
      <c r="G128" s="230">
        <v>0</v>
      </c>
      <c r="H128" s="230">
        <v>0</v>
      </c>
      <c r="I128" s="231">
        <v>1651.46</v>
      </c>
      <c r="J128" s="232">
        <v>0</v>
      </c>
      <c r="K128" s="232">
        <v>0</v>
      </c>
      <c r="L128" s="232">
        <v>0</v>
      </c>
      <c r="M128" s="232">
        <v>0</v>
      </c>
      <c r="N128" s="232">
        <v>0</v>
      </c>
      <c r="O128" s="232">
        <v>0</v>
      </c>
      <c r="P128" s="233">
        <v>42735</v>
      </c>
      <c r="Q128" s="234">
        <v>376</v>
      </c>
      <c r="R128" s="235">
        <v>17751.14</v>
      </c>
      <c r="S128" s="228"/>
      <c r="T128" s="236">
        <f t="shared" si="21"/>
        <v>17751.14</v>
      </c>
      <c r="U128" s="237">
        <f t="shared" si="16"/>
        <v>17751.14</v>
      </c>
      <c r="V128" s="238">
        <f t="shared" si="17"/>
        <v>0</v>
      </c>
      <c r="W128" s="235">
        <f t="shared" si="18"/>
        <v>17751.14</v>
      </c>
      <c r="X128" s="236"/>
      <c r="Y128" s="240" t="s">
        <v>1421</v>
      </c>
      <c r="Z128" s="1279"/>
    </row>
    <row r="129" spans="1:26">
      <c r="A129" s="7">
        <v>120</v>
      </c>
      <c r="B129" s="228" t="s">
        <v>1408</v>
      </c>
      <c r="C129" s="228" t="s">
        <v>1514</v>
      </c>
      <c r="D129" s="229">
        <v>0</v>
      </c>
      <c r="E129" s="230">
        <v>0</v>
      </c>
      <c r="F129" s="230">
        <v>0</v>
      </c>
      <c r="G129" s="230">
        <v>556.66999999999996</v>
      </c>
      <c r="H129" s="230">
        <v>10839.68</v>
      </c>
      <c r="I129" s="231">
        <v>37053.03</v>
      </c>
      <c r="J129" s="232">
        <v>0</v>
      </c>
      <c r="K129" s="232">
        <v>0</v>
      </c>
      <c r="L129" s="232">
        <v>0</v>
      </c>
      <c r="M129" s="232">
        <v>0</v>
      </c>
      <c r="N129" s="232">
        <v>0</v>
      </c>
      <c r="O129" s="232">
        <v>0</v>
      </c>
      <c r="P129" s="233">
        <v>42725</v>
      </c>
      <c r="Q129" s="234">
        <v>378</v>
      </c>
      <c r="R129" s="235">
        <v>48449.38</v>
      </c>
      <c r="S129" s="228"/>
      <c r="T129" s="236"/>
      <c r="U129" s="237">
        <f t="shared" si="16"/>
        <v>48449.38</v>
      </c>
      <c r="V129" s="238">
        <f t="shared" si="17"/>
        <v>0</v>
      </c>
      <c r="W129" s="235">
        <f t="shared" si="18"/>
        <v>48449.38</v>
      </c>
      <c r="X129" s="228"/>
      <c r="Y129" s="240"/>
      <c r="Z129" s="1279"/>
    </row>
    <row r="130" spans="1:26">
      <c r="A130" s="7">
        <v>121</v>
      </c>
      <c r="B130" s="228" t="s">
        <v>1408</v>
      </c>
      <c r="C130" s="228" t="s">
        <v>1515</v>
      </c>
      <c r="D130" s="229">
        <v>0</v>
      </c>
      <c r="E130" s="230">
        <v>0</v>
      </c>
      <c r="F130" s="230">
        <v>9652.64</v>
      </c>
      <c r="G130" s="230">
        <v>0</v>
      </c>
      <c r="H130" s="230">
        <v>24.11</v>
      </c>
      <c r="I130" s="231">
        <v>0</v>
      </c>
      <c r="J130" s="232">
        <v>0</v>
      </c>
      <c r="K130" s="232">
        <v>0</v>
      </c>
      <c r="L130" s="232">
        <v>0</v>
      </c>
      <c r="M130" s="232">
        <v>0</v>
      </c>
      <c r="N130" s="232">
        <v>0</v>
      </c>
      <c r="O130" s="232">
        <v>0</v>
      </c>
      <c r="P130" s="233">
        <v>42856</v>
      </c>
      <c r="Q130" s="234">
        <v>376</v>
      </c>
      <c r="R130" s="235">
        <v>9676.75</v>
      </c>
      <c r="S130" s="228"/>
      <c r="T130" s="236">
        <f>+R130</f>
        <v>9676.75</v>
      </c>
      <c r="U130" s="237">
        <f t="shared" si="16"/>
        <v>9676.75</v>
      </c>
      <c r="V130" s="238">
        <f t="shared" si="17"/>
        <v>0</v>
      </c>
      <c r="W130" s="235">
        <f t="shared" si="18"/>
        <v>9676.75</v>
      </c>
      <c r="X130" s="236"/>
      <c r="Y130" s="240" t="s">
        <v>1421</v>
      </c>
      <c r="Z130" s="1279"/>
    </row>
    <row r="131" spans="1:26">
      <c r="A131" s="7">
        <v>122</v>
      </c>
      <c r="B131" s="228" t="s">
        <v>1408</v>
      </c>
      <c r="C131" s="228" t="s">
        <v>1516</v>
      </c>
      <c r="D131" s="229">
        <v>0</v>
      </c>
      <c r="E131" s="230">
        <v>0</v>
      </c>
      <c r="F131" s="230">
        <v>33580.559999999998</v>
      </c>
      <c r="G131" s="230">
        <v>0</v>
      </c>
      <c r="H131" s="230">
        <v>1138.4100000000001</v>
      </c>
      <c r="I131" s="231">
        <v>34937.629999999997</v>
      </c>
      <c r="J131" s="232">
        <v>0</v>
      </c>
      <c r="K131" s="232">
        <v>0</v>
      </c>
      <c r="L131" s="232">
        <v>0</v>
      </c>
      <c r="M131" s="232">
        <v>0</v>
      </c>
      <c r="N131" s="232">
        <v>0</v>
      </c>
      <c r="O131" s="232">
        <v>0</v>
      </c>
      <c r="P131" s="233">
        <v>43033</v>
      </c>
      <c r="Q131" s="234">
        <v>376</v>
      </c>
      <c r="R131" s="235">
        <v>69656.600000000006</v>
      </c>
      <c r="S131" s="228"/>
      <c r="T131" s="236"/>
      <c r="U131" s="237">
        <f t="shared" si="16"/>
        <v>69656.600000000006</v>
      </c>
      <c r="V131" s="238">
        <f t="shared" si="17"/>
        <v>0</v>
      </c>
      <c r="W131" s="235">
        <f t="shared" si="18"/>
        <v>69656.600000000006</v>
      </c>
      <c r="X131" s="228"/>
      <c r="Y131" s="240"/>
      <c r="Z131" s="1279"/>
    </row>
    <row r="132" spans="1:26">
      <c r="A132" s="7">
        <v>123</v>
      </c>
      <c r="B132" s="228" t="s">
        <v>1408</v>
      </c>
      <c r="C132" s="228" t="s">
        <v>1517</v>
      </c>
      <c r="D132" s="229">
        <v>7055.21</v>
      </c>
      <c r="E132" s="230">
        <v>228.6</v>
      </c>
      <c r="F132" s="230">
        <v>1742.01</v>
      </c>
      <c r="G132" s="230">
        <v>219.28</v>
      </c>
      <c r="H132" s="230">
        <v>588.47</v>
      </c>
      <c r="I132" s="231">
        <v>69805.27</v>
      </c>
      <c r="J132" s="232">
        <v>608.71</v>
      </c>
      <c r="K132" s="232">
        <v>0</v>
      </c>
      <c r="L132" s="232">
        <v>0</v>
      </c>
      <c r="M132" s="232">
        <v>0</v>
      </c>
      <c r="N132" s="232">
        <v>0</v>
      </c>
      <c r="O132" s="232">
        <v>0</v>
      </c>
      <c r="P132" s="233">
        <v>42947</v>
      </c>
      <c r="Q132" s="234">
        <v>376</v>
      </c>
      <c r="R132" s="235">
        <v>80247.55</v>
      </c>
      <c r="S132" s="228"/>
      <c r="T132" s="236"/>
      <c r="U132" s="237">
        <f t="shared" si="16"/>
        <v>79638.84</v>
      </c>
      <c r="V132" s="238">
        <f t="shared" si="17"/>
        <v>608.71</v>
      </c>
      <c r="W132" s="235">
        <f t="shared" si="18"/>
        <v>80247.55</v>
      </c>
      <c r="X132" s="228"/>
      <c r="Y132" s="240"/>
      <c r="Z132" s="1279"/>
    </row>
    <row r="133" spans="1:26">
      <c r="A133" s="7">
        <v>124</v>
      </c>
      <c r="B133" s="228" t="s">
        <v>1408</v>
      </c>
      <c r="C133" s="228" t="s">
        <v>1518</v>
      </c>
      <c r="D133" s="229">
        <v>1595.75</v>
      </c>
      <c r="E133" s="230">
        <v>11049.630000000001</v>
      </c>
      <c r="F133" s="230">
        <v>29107.5</v>
      </c>
      <c r="G133" s="230">
        <v>406.5</v>
      </c>
      <c r="H133" s="230">
        <v>1043.23</v>
      </c>
      <c r="I133" s="231">
        <v>0</v>
      </c>
      <c r="J133" s="232">
        <v>0</v>
      </c>
      <c r="K133" s="232">
        <v>0</v>
      </c>
      <c r="L133" s="232">
        <v>0</v>
      </c>
      <c r="M133" s="232">
        <v>0</v>
      </c>
      <c r="N133" s="232">
        <v>0</v>
      </c>
      <c r="O133" s="232">
        <v>0</v>
      </c>
      <c r="P133" s="233">
        <v>42734</v>
      </c>
      <c r="Q133" s="234">
        <v>376</v>
      </c>
      <c r="R133" s="235">
        <v>43202.61</v>
      </c>
      <c r="S133" s="228"/>
      <c r="T133" s="236">
        <f t="shared" ref="T133:T154" si="22">+R133</f>
        <v>43202.61</v>
      </c>
      <c r="U133" s="237">
        <f t="shared" si="16"/>
        <v>43202.610000000008</v>
      </c>
      <c r="V133" s="238">
        <f t="shared" si="17"/>
        <v>0</v>
      </c>
      <c r="W133" s="235">
        <f t="shared" si="18"/>
        <v>43202.610000000008</v>
      </c>
      <c r="X133" s="236"/>
      <c r="Y133" s="240" t="s">
        <v>1421</v>
      </c>
      <c r="Z133" s="1279"/>
    </row>
    <row r="134" spans="1:26">
      <c r="A134" s="7">
        <v>125</v>
      </c>
      <c r="B134" s="228" t="s">
        <v>1408</v>
      </c>
      <c r="C134" s="228" t="s">
        <v>1519</v>
      </c>
      <c r="D134" s="229">
        <v>63428.54</v>
      </c>
      <c r="E134" s="230">
        <v>3712.31</v>
      </c>
      <c r="F134" s="230">
        <v>4666.18</v>
      </c>
      <c r="G134" s="230">
        <v>0</v>
      </c>
      <c r="H134" s="230">
        <v>0</v>
      </c>
      <c r="I134" s="231">
        <v>0</v>
      </c>
      <c r="J134" s="232">
        <v>0</v>
      </c>
      <c r="K134" s="232">
        <v>0</v>
      </c>
      <c r="L134" s="232">
        <v>0</v>
      </c>
      <c r="M134" s="232">
        <v>0</v>
      </c>
      <c r="N134" s="232">
        <v>0</v>
      </c>
      <c r="O134" s="232">
        <v>0</v>
      </c>
      <c r="P134" s="233">
        <v>42709</v>
      </c>
      <c r="Q134" s="234">
        <v>376</v>
      </c>
      <c r="R134" s="235">
        <v>71807.03</v>
      </c>
      <c r="S134" s="228"/>
      <c r="T134" s="236">
        <f t="shared" si="22"/>
        <v>71807.03</v>
      </c>
      <c r="U134" s="237">
        <f t="shared" si="16"/>
        <v>71807.03</v>
      </c>
      <c r="V134" s="238">
        <f t="shared" si="17"/>
        <v>0</v>
      </c>
      <c r="W134" s="235">
        <f t="shared" si="18"/>
        <v>71807.03</v>
      </c>
      <c r="X134" s="236"/>
      <c r="Y134" s="240" t="s">
        <v>1436</v>
      </c>
      <c r="Z134" s="1279"/>
    </row>
    <row r="135" spans="1:26">
      <c r="A135" s="7">
        <v>126</v>
      </c>
      <c r="B135" s="228" t="s">
        <v>1408</v>
      </c>
      <c r="C135" s="228" t="s">
        <v>1601</v>
      </c>
      <c r="D135" s="229">
        <v>0</v>
      </c>
      <c r="E135" s="230">
        <v>0</v>
      </c>
      <c r="F135" s="230">
        <v>380.68</v>
      </c>
      <c r="G135" s="230">
        <v>554.25</v>
      </c>
      <c r="H135" s="230">
        <v>53887.96</v>
      </c>
      <c r="I135" s="231">
        <v>0</v>
      </c>
      <c r="J135" s="232">
        <v>0</v>
      </c>
      <c r="K135" s="232">
        <v>0</v>
      </c>
      <c r="L135" s="232">
        <v>0</v>
      </c>
      <c r="M135" s="232">
        <v>0</v>
      </c>
      <c r="N135" s="232">
        <v>0</v>
      </c>
      <c r="O135" s="232">
        <v>0</v>
      </c>
      <c r="P135" s="233">
        <v>42916</v>
      </c>
      <c r="Q135" s="234">
        <v>376</v>
      </c>
      <c r="R135" s="235">
        <v>54822.89</v>
      </c>
      <c r="S135" s="228"/>
      <c r="T135" s="236">
        <f t="shared" si="22"/>
        <v>54822.89</v>
      </c>
      <c r="U135" s="237">
        <f t="shared" si="16"/>
        <v>54822.89</v>
      </c>
      <c r="V135" s="238">
        <f t="shared" si="17"/>
        <v>0</v>
      </c>
      <c r="W135" s="235">
        <f t="shared" si="18"/>
        <v>54822.89</v>
      </c>
      <c r="X135" s="236"/>
      <c r="Y135" s="240" t="s">
        <v>1421</v>
      </c>
      <c r="Z135" s="1279"/>
    </row>
    <row r="136" spans="1:26">
      <c r="A136" s="7">
        <v>127</v>
      </c>
      <c r="B136" s="228" t="s">
        <v>1408</v>
      </c>
      <c r="C136" s="228" t="s">
        <v>1520</v>
      </c>
      <c r="D136" s="229">
        <v>0</v>
      </c>
      <c r="E136" s="230">
        <v>0</v>
      </c>
      <c r="F136" s="230">
        <v>0</v>
      </c>
      <c r="G136" s="230">
        <v>0</v>
      </c>
      <c r="H136" s="230">
        <v>4634.41</v>
      </c>
      <c r="I136" s="231">
        <v>0</v>
      </c>
      <c r="J136" s="232">
        <v>0</v>
      </c>
      <c r="K136" s="232">
        <v>0</v>
      </c>
      <c r="L136" s="232">
        <v>0</v>
      </c>
      <c r="M136" s="232">
        <v>0</v>
      </c>
      <c r="N136" s="232">
        <v>0</v>
      </c>
      <c r="O136" s="232">
        <v>0</v>
      </c>
      <c r="P136" s="233">
        <v>42885</v>
      </c>
      <c r="Q136" s="234">
        <v>376</v>
      </c>
      <c r="R136" s="235">
        <v>4634.41</v>
      </c>
      <c r="S136" s="228"/>
      <c r="T136" s="236">
        <f t="shared" si="22"/>
        <v>4634.41</v>
      </c>
      <c r="U136" s="237">
        <f t="shared" si="16"/>
        <v>4634.41</v>
      </c>
      <c r="V136" s="238">
        <f t="shared" si="17"/>
        <v>0</v>
      </c>
      <c r="W136" s="235">
        <f t="shared" si="18"/>
        <v>4634.41</v>
      </c>
      <c r="X136" s="236"/>
      <c r="Y136" s="240" t="s">
        <v>1421</v>
      </c>
      <c r="Z136" s="1279"/>
    </row>
    <row r="137" spans="1:26">
      <c r="A137" s="7">
        <v>128</v>
      </c>
      <c r="B137" s="228" t="s">
        <v>1408</v>
      </c>
      <c r="C137" s="228" t="s">
        <v>1521</v>
      </c>
      <c r="D137" s="229">
        <v>80684.53</v>
      </c>
      <c r="E137" s="230">
        <v>493.03000000000003</v>
      </c>
      <c r="F137" s="230">
        <v>-498</v>
      </c>
      <c r="G137" s="230">
        <v>816.75</v>
      </c>
      <c r="H137" s="230">
        <v>0</v>
      </c>
      <c r="I137" s="231">
        <v>33107.360000000001</v>
      </c>
      <c r="J137" s="232">
        <v>0</v>
      </c>
      <c r="K137" s="232">
        <v>0</v>
      </c>
      <c r="L137" s="232">
        <v>0</v>
      </c>
      <c r="M137" s="232">
        <v>0</v>
      </c>
      <c r="N137" s="232">
        <v>0</v>
      </c>
      <c r="O137" s="232">
        <v>0</v>
      </c>
      <c r="P137" s="233">
        <v>42766</v>
      </c>
      <c r="Q137" s="234">
        <v>376</v>
      </c>
      <c r="R137" s="235">
        <v>114603.67</v>
      </c>
      <c r="S137" s="228"/>
      <c r="T137" s="236">
        <f t="shared" si="22"/>
        <v>114603.67</v>
      </c>
      <c r="U137" s="237">
        <f t="shared" si="16"/>
        <v>114603.67</v>
      </c>
      <c r="V137" s="238">
        <f t="shared" si="17"/>
        <v>0</v>
      </c>
      <c r="W137" s="235">
        <f t="shared" si="18"/>
        <v>114603.67</v>
      </c>
      <c r="X137" s="239"/>
      <c r="Y137" s="240">
        <v>54</v>
      </c>
      <c r="Z137" s="1279"/>
    </row>
    <row r="138" spans="1:26">
      <c r="A138" s="7">
        <v>129</v>
      </c>
      <c r="B138" s="228" t="s">
        <v>1408</v>
      </c>
      <c r="C138" s="228" t="s">
        <v>1522</v>
      </c>
      <c r="D138" s="229">
        <v>6893.34</v>
      </c>
      <c r="E138" s="230">
        <v>0</v>
      </c>
      <c r="F138" s="230">
        <v>0</v>
      </c>
      <c r="G138" s="230">
        <v>0</v>
      </c>
      <c r="H138" s="230">
        <v>0</v>
      </c>
      <c r="I138" s="231">
        <v>0</v>
      </c>
      <c r="J138" s="232">
        <v>0</v>
      </c>
      <c r="K138" s="232">
        <v>0</v>
      </c>
      <c r="L138" s="232">
        <v>0</v>
      </c>
      <c r="M138" s="232">
        <v>0</v>
      </c>
      <c r="N138" s="232">
        <v>0</v>
      </c>
      <c r="O138" s="232">
        <v>59326.6</v>
      </c>
      <c r="P138" s="233">
        <v>42916</v>
      </c>
      <c r="Q138" s="234">
        <v>376</v>
      </c>
      <c r="R138" s="235">
        <v>66219.94</v>
      </c>
      <c r="S138" s="228"/>
      <c r="T138" s="236">
        <f t="shared" si="22"/>
        <v>66219.94</v>
      </c>
      <c r="U138" s="237">
        <f t="shared" si="16"/>
        <v>6893.34</v>
      </c>
      <c r="V138" s="238">
        <f t="shared" si="17"/>
        <v>59326.6</v>
      </c>
      <c r="W138" s="235">
        <f t="shared" si="18"/>
        <v>66219.94</v>
      </c>
      <c r="X138" s="236"/>
      <c r="Y138" s="240">
        <v>22</v>
      </c>
      <c r="Z138" s="1279"/>
    </row>
    <row r="139" spans="1:26">
      <c r="A139" s="7">
        <v>130</v>
      </c>
      <c r="B139" s="228" t="s">
        <v>1408</v>
      </c>
      <c r="C139" s="228" t="s">
        <v>1523</v>
      </c>
      <c r="D139" s="229">
        <v>0</v>
      </c>
      <c r="E139" s="230">
        <v>0</v>
      </c>
      <c r="F139" s="230">
        <v>0</v>
      </c>
      <c r="G139" s="230">
        <v>4705.43</v>
      </c>
      <c r="H139" s="230">
        <v>79634.14</v>
      </c>
      <c r="I139" s="231">
        <v>0</v>
      </c>
      <c r="J139" s="232">
        <v>0</v>
      </c>
      <c r="K139" s="232">
        <v>0</v>
      </c>
      <c r="L139" s="232">
        <v>0</v>
      </c>
      <c r="M139" s="232">
        <v>0</v>
      </c>
      <c r="N139" s="232">
        <v>0</v>
      </c>
      <c r="O139" s="232">
        <v>0</v>
      </c>
      <c r="P139" s="234"/>
      <c r="Q139" s="234"/>
      <c r="R139" s="235">
        <v>84339.57</v>
      </c>
      <c r="S139" s="228"/>
      <c r="T139" s="236"/>
      <c r="U139" s="237">
        <f t="shared" si="16"/>
        <v>84339.57</v>
      </c>
      <c r="V139" s="238">
        <f t="shared" si="17"/>
        <v>0</v>
      </c>
      <c r="W139" s="235">
        <f t="shared" si="18"/>
        <v>84339.57</v>
      </c>
      <c r="X139" s="228"/>
      <c r="Y139" s="240"/>
      <c r="Z139" s="1279"/>
    </row>
    <row r="140" spans="1:26">
      <c r="A140" s="7">
        <v>131</v>
      </c>
      <c r="B140" s="228" t="s">
        <v>1408</v>
      </c>
      <c r="C140" s="228" t="s">
        <v>1524</v>
      </c>
      <c r="D140" s="229">
        <v>0</v>
      </c>
      <c r="E140" s="230">
        <v>189.74</v>
      </c>
      <c r="F140" s="230">
        <v>7056.89</v>
      </c>
      <c r="G140" s="230">
        <v>50600.07</v>
      </c>
      <c r="H140" s="230">
        <v>319.02</v>
      </c>
      <c r="I140" s="231">
        <v>7142.78</v>
      </c>
      <c r="J140" s="232">
        <v>360.17</v>
      </c>
      <c r="K140" s="232">
        <v>362.16</v>
      </c>
      <c r="L140" s="232">
        <v>0</v>
      </c>
      <c r="M140" s="232">
        <v>0</v>
      </c>
      <c r="N140" s="232">
        <v>0</v>
      </c>
      <c r="O140" s="232">
        <v>0</v>
      </c>
      <c r="P140" s="233">
        <v>42978</v>
      </c>
      <c r="Q140" s="234">
        <v>376</v>
      </c>
      <c r="R140" s="235">
        <v>66030.83</v>
      </c>
      <c r="S140" s="228"/>
      <c r="T140" s="236">
        <f t="shared" si="22"/>
        <v>66030.83</v>
      </c>
      <c r="U140" s="237">
        <f t="shared" si="16"/>
        <v>65308.499999999993</v>
      </c>
      <c r="V140" s="238">
        <f t="shared" si="17"/>
        <v>722.33</v>
      </c>
      <c r="W140" s="235">
        <f t="shared" si="18"/>
        <v>66030.829999999987</v>
      </c>
      <c r="X140" s="239"/>
      <c r="Y140" s="240" t="s">
        <v>1421</v>
      </c>
      <c r="Z140" s="1279"/>
    </row>
    <row r="141" spans="1:26" s="1203" customFormat="1">
      <c r="A141" s="1193">
        <v>132</v>
      </c>
      <c r="B141" s="1194" t="s">
        <v>1408</v>
      </c>
      <c r="C141" s="1194" t="s">
        <v>1525</v>
      </c>
      <c r="D141" s="1195">
        <v>0</v>
      </c>
      <c r="E141" s="1196">
        <v>0</v>
      </c>
      <c r="F141" s="1196">
        <v>0</v>
      </c>
      <c r="G141" s="1196">
        <v>40618.47</v>
      </c>
      <c r="H141" s="1196">
        <v>339071.88</v>
      </c>
      <c r="I141" s="1197">
        <v>6389.21</v>
      </c>
      <c r="J141" s="1198">
        <v>0</v>
      </c>
      <c r="K141" s="1198">
        <v>0</v>
      </c>
      <c r="L141" s="1198">
        <v>0</v>
      </c>
      <c r="M141" s="1198">
        <v>0</v>
      </c>
      <c r="N141" s="1198">
        <v>0</v>
      </c>
      <c r="O141" s="1198">
        <v>0</v>
      </c>
      <c r="P141" s="1199">
        <v>42874</v>
      </c>
      <c r="Q141" s="1198">
        <v>367</v>
      </c>
      <c r="R141" s="1200">
        <v>386079.56</v>
      </c>
      <c r="S141" s="1194"/>
      <c r="T141" s="1201">
        <f t="shared" si="22"/>
        <v>386079.56</v>
      </c>
      <c r="U141" s="1200">
        <f t="shared" si="16"/>
        <v>386079.56</v>
      </c>
      <c r="V141" s="1200">
        <f t="shared" si="17"/>
        <v>0</v>
      </c>
      <c r="W141" s="1200">
        <f t="shared" si="18"/>
        <v>386079.56</v>
      </c>
      <c r="X141" s="1201">
        <f>Z141</f>
        <v>0</v>
      </c>
      <c r="Y141" s="1202">
        <v>18</v>
      </c>
      <c r="Z141" s="1279">
        <v>0</v>
      </c>
    </row>
    <row r="142" spans="1:26" s="1203" customFormat="1">
      <c r="A142" s="1193">
        <v>133</v>
      </c>
      <c r="B142" s="1194" t="s">
        <v>1408</v>
      </c>
      <c r="C142" s="1194" t="s">
        <v>1526</v>
      </c>
      <c r="D142" s="1195">
        <v>0</v>
      </c>
      <c r="E142" s="1196">
        <v>671</v>
      </c>
      <c r="F142" s="1196">
        <v>5903.55</v>
      </c>
      <c r="G142" s="1196">
        <v>303815.90000000002</v>
      </c>
      <c r="H142" s="1196">
        <v>681.13</v>
      </c>
      <c r="I142" s="1197">
        <v>0</v>
      </c>
      <c r="J142" s="1198">
        <v>0</v>
      </c>
      <c r="K142" s="1198">
        <v>0</v>
      </c>
      <c r="L142" s="1198">
        <v>0</v>
      </c>
      <c r="M142" s="1198">
        <v>0</v>
      </c>
      <c r="N142" s="1198">
        <v>0</v>
      </c>
      <c r="O142" s="1198">
        <v>0</v>
      </c>
      <c r="P142" s="1199">
        <v>42800</v>
      </c>
      <c r="Q142" s="1198">
        <v>376</v>
      </c>
      <c r="R142" s="1200">
        <v>311071.58</v>
      </c>
      <c r="S142" s="1194"/>
      <c r="T142" s="1201">
        <f t="shared" si="22"/>
        <v>311071.58</v>
      </c>
      <c r="U142" s="1200">
        <f t="shared" si="16"/>
        <v>311071.58</v>
      </c>
      <c r="V142" s="1200">
        <f t="shared" si="17"/>
        <v>0</v>
      </c>
      <c r="W142" s="1200">
        <f t="shared" si="18"/>
        <v>311071.58</v>
      </c>
      <c r="X142" s="1201">
        <f>Z142</f>
        <v>0</v>
      </c>
      <c r="Y142" s="1202">
        <v>1</v>
      </c>
      <c r="Z142" s="1279">
        <v>0</v>
      </c>
    </row>
    <row r="143" spans="1:26">
      <c r="A143" s="7">
        <v>134</v>
      </c>
      <c r="B143" s="228" t="s">
        <v>1408</v>
      </c>
      <c r="C143" s="228" t="s">
        <v>1527</v>
      </c>
      <c r="D143" s="229">
        <v>0</v>
      </c>
      <c r="E143" s="230">
        <v>0</v>
      </c>
      <c r="F143" s="230">
        <v>90775.67</v>
      </c>
      <c r="G143" s="230">
        <v>1537.38</v>
      </c>
      <c r="H143" s="230">
        <v>509.11</v>
      </c>
      <c r="I143" s="231">
        <v>764.18000000000006</v>
      </c>
      <c r="J143" s="232">
        <v>0</v>
      </c>
      <c r="K143" s="232">
        <v>0</v>
      </c>
      <c r="L143" s="232">
        <v>0</v>
      </c>
      <c r="M143" s="232">
        <v>0</v>
      </c>
      <c r="N143" s="232">
        <v>0</v>
      </c>
      <c r="O143" s="232">
        <v>0</v>
      </c>
      <c r="P143" s="233">
        <v>42885</v>
      </c>
      <c r="Q143" s="234">
        <v>376</v>
      </c>
      <c r="R143" s="235">
        <v>93586.34</v>
      </c>
      <c r="S143" s="228"/>
      <c r="T143" s="236">
        <f t="shared" si="22"/>
        <v>93586.34</v>
      </c>
      <c r="U143" s="237">
        <f t="shared" si="16"/>
        <v>93586.34</v>
      </c>
      <c r="V143" s="238">
        <f t="shared" si="17"/>
        <v>0</v>
      </c>
      <c r="W143" s="235">
        <f t="shared" si="18"/>
        <v>93586.34</v>
      </c>
      <c r="X143" s="236"/>
      <c r="Y143" s="240">
        <v>30</v>
      </c>
      <c r="Z143" s="1279"/>
    </row>
    <row r="144" spans="1:26">
      <c r="A144" s="7">
        <v>135</v>
      </c>
      <c r="B144" s="228" t="s">
        <v>1408</v>
      </c>
      <c r="C144" s="228" t="s">
        <v>1528</v>
      </c>
      <c r="D144" s="229">
        <v>0</v>
      </c>
      <c r="E144" s="230">
        <v>526.37</v>
      </c>
      <c r="F144" s="230">
        <v>98674.53</v>
      </c>
      <c r="G144" s="230">
        <v>547.09</v>
      </c>
      <c r="H144" s="230">
        <v>7305.1900000000005</v>
      </c>
      <c r="I144" s="231">
        <v>4066.54</v>
      </c>
      <c r="J144" s="232">
        <v>0</v>
      </c>
      <c r="K144" s="232">
        <v>0</v>
      </c>
      <c r="L144" s="232">
        <v>0</v>
      </c>
      <c r="M144" s="232">
        <v>0</v>
      </c>
      <c r="N144" s="232">
        <v>0</v>
      </c>
      <c r="O144" s="232">
        <v>0</v>
      </c>
      <c r="P144" s="233">
        <v>42885</v>
      </c>
      <c r="Q144" s="234">
        <v>376</v>
      </c>
      <c r="R144" s="235">
        <v>111119.72</v>
      </c>
      <c r="S144" s="228"/>
      <c r="T144" s="236">
        <f t="shared" si="22"/>
        <v>111119.72</v>
      </c>
      <c r="U144" s="237">
        <f t="shared" si="16"/>
        <v>111119.71999999999</v>
      </c>
      <c r="V144" s="238">
        <f t="shared" si="17"/>
        <v>0</v>
      </c>
      <c r="W144" s="235">
        <f t="shared" si="18"/>
        <v>111119.71999999999</v>
      </c>
      <c r="X144" s="236"/>
      <c r="Y144" s="240">
        <v>31</v>
      </c>
      <c r="Z144" s="1279"/>
    </row>
    <row r="145" spans="1:26">
      <c r="A145" s="7">
        <v>136</v>
      </c>
      <c r="B145" s="228" t="s">
        <v>1408</v>
      </c>
      <c r="C145" s="228" t="s">
        <v>1529</v>
      </c>
      <c r="D145" s="229">
        <v>0</v>
      </c>
      <c r="E145" s="230">
        <v>2769.9900000000002</v>
      </c>
      <c r="F145" s="230">
        <v>6384.77</v>
      </c>
      <c r="G145" s="230">
        <v>35494.21</v>
      </c>
      <c r="H145" s="230">
        <v>162121.5</v>
      </c>
      <c r="I145" s="231">
        <v>-35806.340000000004</v>
      </c>
      <c r="J145" s="232">
        <v>0</v>
      </c>
      <c r="K145" s="232">
        <v>0</v>
      </c>
      <c r="L145" s="232">
        <v>0</v>
      </c>
      <c r="M145" s="232">
        <v>0</v>
      </c>
      <c r="N145" s="232">
        <v>0</v>
      </c>
      <c r="O145" s="232">
        <v>0</v>
      </c>
      <c r="P145" s="233">
        <v>42855</v>
      </c>
      <c r="Q145" s="234">
        <v>376</v>
      </c>
      <c r="R145" s="235">
        <v>170964.13</v>
      </c>
      <c r="S145" s="228"/>
      <c r="T145" s="236">
        <f t="shared" si="22"/>
        <v>170964.13</v>
      </c>
      <c r="U145" s="237">
        <f t="shared" si="16"/>
        <v>170964.13</v>
      </c>
      <c r="V145" s="238">
        <f t="shared" si="17"/>
        <v>0</v>
      </c>
      <c r="W145" s="235">
        <f t="shared" si="18"/>
        <v>170964.13</v>
      </c>
      <c r="X145" s="236"/>
      <c r="Y145" s="240">
        <v>36</v>
      </c>
      <c r="Z145" s="1279"/>
    </row>
    <row r="146" spans="1:26">
      <c r="A146" s="7">
        <v>137</v>
      </c>
      <c r="B146" s="228" t="s">
        <v>1408</v>
      </c>
      <c r="C146" s="228" t="s">
        <v>1530</v>
      </c>
      <c r="D146" s="229">
        <v>0</v>
      </c>
      <c r="E146" s="230">
        <v>0</v>
      </c>
      <c r="F146" s="230">
        <v>7237.1500000000005</v>
      </c>
      <c r="G146" s="230">
        <v>12877.34</v>
      </c>
      <c r="H146" s="230">
        <v>25395.510000000002</v>
      </c>
      <c r="I146" s="231">
        <v>8701.2100000000009</v>
      </c>
      <c r="J146" s="232">
        <v>267.5</v>
      </c>
      <c r="K146" s="232">
        <v>161986.99</v>
      </c>
      <c r="L146" s="232">
        <v>0</v>
      </c>
      <c r="M146" s="232">
        <v>0</v>
      </c>
      <c r="N146" s="232">
        <v>0</v>
      </c>
      <c r="O146" s="232">
        <v>0</v>
      </c>
      <c r="P146" s="233">
        <v>42962</v>
      </c>
      <c r="Q146" s="234">
        <v>376</v>
      </c>
      <c r="R146" s="235">
        <v>216465.7</v>
      </c>
      <c r="S146" s="228"/>
      <c r="T146" s="236">
        <f t="shared" si="22"/>
        <v>216465.7</v>
      </c>
      <c r="U146" s="237">
        <f t="shared" si="16"/>
        <v>54211.21</v>
      </c>
      <c r="V146" s="238">
        <f t="shared" si="17"/>
        <v>162254.49</v>
      </c>
      <c r="W146" s="235">
        <f t="shared" si="18"/>
        <v>216465.69999999998</v>
      </c>
      <c r="X146" s="236"/>
      <c r="Y146" s="240" t="s">
        <v>1436</v>
      </c>
      <c r="Z146" s="1279"/>
    </row>
    <row r="147" spans="1:26">
      <c r="A147" s="7">
        <v>138</v>
      </c>
      <c r="B147" s="228" t="s">
        <v>1408</v>
      </c>
      <c r="C147" s="228" t="s">
        <v>1531</v>
      </c>
      <c r="D147" s="229">
        <v>0</v>
      </c>
      <c r="E147" s="230">
        <v>0</v>
      </c>
      <c r="F147" s="230">
        <v>0</v>
      </c>
      <c r="G147" s="230">
        <v>0</v>
      </c>
      <c r="H147" s="230">
        <v>0</v>
      </c>
      <c r="I147" s="231">
        <v>2774.3</v>
      </c>
      <c r="J147" s="232">
        <v>15381.5</v>
      </c>
      <c r="K147" s="232">
        <v>0</v>
      </c>
      <c r="L147" s="232">
        <v>0</v>
      </c>
      <c r="M147" s="232">
        <v>0</v>
      </c>
      <c r="N147" s="232">
        <v>0</v>
      </c>
      <c r="O147" s="232">
        <v>0</v>
      </c>
      <c r="P147" s="233">
        <v>42917</v>
      </c>
      <c r="Q147" s="234">
        <v>376</v>
      </c>
      <c r="R147" s="235">
        <v>18155.8</v>
      </c>
      <c r="S147" s="228"/>
      <c r="T147" s="236">
        <f t="shared" si="22"/>
        <v>18155.8</v>
      </c>
      <c r="U147" s="237">
        <f t="shared" si="16"/>
        <v>2774.3</v>
      </c>
      <c r="V147" s="238">
        <f t="shared" si="17"/>
        <v>15381.5</v>
      </c>
      <c r="W147" s="235">
        <f t="shared" si="18"/>
        <v>18155.8</v>
      </c>
      <c r="X147" s="236"/>
      <c r="Y147" s="240" t="s">
        <v>1421</v>
      </c>
      <c r="Z147" s="1279"/>
    </row>
    <row r="148" spans="1:26">
      <c r="A148" s="7">
        <v>139</v>
      </c>
      <c r="B148" s="228" t="s">
        <v>1408</v>
      </c>
      <c r="C148" s="228" t="s">
        <v>1532</v>
      </c>
      <c r="D148" s="229">
        <v>0</v>
      </c>
      <c r="E148" s="230">
        <v>0</v>
      </c>
      <c r="F148" s="230">
        <v>0</v>
      </c>
      <c r="G148" s="230">
        <v>26072.47</v>
      </c>
      <c r="H148" s="230">
        <v>198759.32</v>
      </c>
      <c r="I148" s="231">
        <v>282918.56</v>
      </c>
      <c r="J148" s="232">
        <v>130293.73</v>
      </c>
      <c r="K148" s="232">
        <v>0</v>
      </c>
      <c r="L148" s="232">
        <v>0</v>
      </c>
      <c r="M148" s="232">
        <v>0</v>
      </c>
      <c r="N148" s="232">
        <v>0</v>
      </c>
      <c r="O148" s="232">
        <v>0</v>
      </c>
      <c r="P148" s="233">
        <v>42917</v>
      </c>
      <c r="Q148" s="234">
        <v>376</v>
      </c>
      <c r="R148" s="235">
        <v>638044.07999999996</v>
      </c>
      <c r="S148" s="228"/>
      <c r="T148" s="236">
        <f t="shared" si="22"/>
        <v>638044.07999999996</v>
      </c>
      <c r="U148" s="237">
        <f t="shared" si="16"/>
        <v>507750.35</v>
      </c>
      <c r="V148" s="238">
        <f t="shared" si="17"/>
        <v>130293.73</v>
      </c>
      <c r="W148" s="235">
        <f t="shared" si="18"/>
        <v>638044.07999999996</v>
      </c>
      <c r="X148" s="236"/>
      <c r="Y148" s="240" t="s">
        <v>1421</v>
      </c>
      <c r="Z148" s="1279"/>
    </row>
    <row r="149" spans="1:26">
      <c r="A149" s="7">
        <v>140</v>
      </c>
      <c r="B149" s="228" t="s">
        <v>1408</v>
      </c>
      <c r="C149" s="228" t="s">
        <v>1533</v>
      </c>
      <c r="D149" s="229">
        <v>0</v>
      </c>
      <c r="E149" s="230">
        <v>0</v>
      </c>
      <c r="F149" s="230">
        <v>0</v>
      </c>
      <c r="G149" s="230">
        <v>-150000</v>
      </c>
      <c r="H149" s="230">
        <v>4477.79</v>
      </c>
      <c r="I149" s="231">
        <v>-274544.42</v>
      </c>
      <c r="J149" s="232">
        <v>280167.21000000002</v>
      </c>
      <c r="K149" s="232">
        <v>0</v>
      </c>
      <c r="L149" s="232">
        <v>0</v>
      </c>
      <c r="M149" s="232">
        <v>0</v>
      </c>
      <c r="N149" s="232">
        <v>0</v>
      </c>
      <c r="O149" s="232">
        <v>0</v>
      </c>
      <c r="P149" s="233">
        <v>42928</v>
      </c>
      <c r="Q149" s="234">
        <v>376</v>
      </c>
      <c r="R149" s="235">
        <v>-139899.42000000001</v>
      </c>
      <c r="S149" s="228"/>
      <c r="T149" s="236">
        <f t="shared" si="22"/>
        <v>-139899.42000000001</v>
      </c>
      <c r="U149" s="237">
        <f t="shared" si="16"/>
        <v>-420066.63</v>
      </c>
      <c r="V149" s="238">
        <f t="shared" si="17"/>
        <v>280167.21000000002</v>
      </c>
      <c r="W149" s="235">
        <f t="shared" si="18"/>
        <v>-139899.41999999998</v>
      </c>
      <c r="X149" s="239"/>
      <c r="Y149" s="240"/>
      <c r="Z149" s="1279"/>
    </row>
    <row r="150" spans="1:26">
      <c r="A150" s="7">
        <v>141</v>
      </c>
      <c r="B150" s="228" t="s">
        <v>1408</v>
      </c>
      <c r="C150" s="228" t="s">
        <v>1534</v>
      </c>
      <c r="D150" s="229">
        <v>0</v>
      </c>
      <c r="E150" s="230">
        <v>0</v>
      </c>
      <c r="F150" s="230">
        <v>0</v>
      </c>
      <c r="G150" s="230">
        <v>0</v>
      </c>
      <c r="H150" s="230">
        <v>0</v>
      </c>
      <c r="I150" s="231">
        <v>0</v>
      </c>
      <c r="J150" s="232">
        <v>14475.56</v>
      </c>
      <c r="K150" s="232">
        <v>14555.39</v>
      </c>
      <c r="L150" s="232">
        <v>0</v>
      </c>
      <c r="M150" s="232">
        <v>0</v>
      </c>
      <c r="N150" s="232">
        <v>0</v>
      </c>
      <c r="O150" s="232">
        <v>0</v>
      </c>
      <c r="P150" s="233">
        <v>42977</v>
      </c>
      <c r="Q150" s="234">
        <v>376</v>
      </c>
      <c r="R150" s="235">
        <v>29030.95</v>
      </c>
      <c r="S150" s="228"/>
      <c r="T150" s="236">
        <f t="shared" si="22"/>
        <v>29030.95</v>
      </c>
      <c r="U150" s="237">
        <f t="shared" si="16"/>
        <v>0</v>
      </c>
      <c r="V150" s="238">
        <f t="shared" si="17"/>
        <v>29030.949999999997</v>
      </c>
      <c r="W150" s="235">
        <f t="shared" si="18"/>
        <v>29030.949999999997</v>
      </c>
      <c r="X150" s="236"/>
      <c r="Y150" s="240" t="s">
        <v>1421</v>
      </c>
      <c r="Z150" s="1279"/>
    </row>
    <row r="151" spans="1:26">
      <c r="A151" s="7">
        <v>142</v>
      </c>
      <c r="B151" s="228" t="s">
        <v>1408</v>
      </c>
      <c r="C151" s="228" t="s">
        <v>1535</v>
      </c>
      <c r="D151" s="229">
        <v>0</v>
      </c>
      <c r="E151" s="230">
        <v>0</v>
      </c>
      <c r="F151" s="230">
        <v>0</v>
      </c>
      <c r="G151" s="230">
        <v>0</v>
      </c>
      <c r="H151" s="230">
        <v>0</v>
      </c>
      <c r="I151" s="231">
        <v>3178.35</v>
      </c>
      <c r="J151" s="232">
        <v>18475.330000000002</v>
      </c>
      <c r="K151" s="232">
        <v>0</v>
      </c>
      <c r="L151" s="232">
        <v>0</v>
      </c>
      <c r="M151" s="232">
        <v>0</v>
      </c>
      <c r="N151" s="232">
        <v>0</v>
      </c>
      <c r="O151" s="232">
        <v>0</v>
      </c>
      <c r="P151" s="233">
        <v>42921</v>
      </c>
      <c r="Q151" s="234">
        <v>376</v>
      </c>
      <c r="R151" s="235">
        <v>21653.68</v>
      </c>
      <c r="S151" s="228"/>
      <c r="T151" s="236">
        <f t="shared" si="22"/>
        <v>21653.68</v>
      </c>
      <c r="U151" s="237">
        <f t="shared" si="16"/>
        <v>3178.35</v>
      </c>
      <c r="V151" s="238">
        <f t="shared" si="17"/>
        <v>18475.330000000002</v>
      </c>
      <c r="W151" s="235">
        <f t="shared" si="18"/>
        <v>21653.68</v>
      </c>
      <c r="X151" s="228"/>
      <c r="Y151" s="240" t="s">
        <v>1421</v>
      </c>
      <c r="Z151" s="1279"/>
    </row>
    <row r="152" spans="1:26">
      <c r="A152" s="7">
        <v>143</v>
      </c>
      <c r="B152" s="228" t="s">
        <v>1408</v>
      </c>
      <c r="C152" s="228" t="s">
        <v>1536</v>
      </c>
      <c r="D152" s="229">
        <v>0</v>
      </c>
      <c r="E152" s="230">
        <v>0</v>
      </c>
      <c r="F152" s="230">
        <v>0</v>
      </c>
      <c r="G152" s="230">
        <v>0</v>
      </c>
      <c r="H152" s="230">
        <v>0</v>
      </c>
      <c r="I152" s="231">
        <v>0</v>
      </c>
      <c r="J152" s="232">
        <v>15478.4</v>
      </c>
      <c r="K152" s="232">
        <v>15563.76</v>
      </c>
      <c r="L152" s="232">
        <v>0</v>
      </c>
      <c r="M152" s="232">
        <v>0</v>
      </c>
      <c r="N152" s="232">
        <v>0</v>
      </c>
      <c r="O152" s="232">
        <v>0</v>
      </c>
      <c r="P152" s="233">
        <v>42948</v>
      </c>
      <c r="Q152" s="234">
        <v>376</v>
      </c>
      <c r="R152" s="235">
        <v>31042.16</v>
      </c>
      <c r="S152" s="228"/>
      <c r="T152" s="236">
        <f t="shared" si="22"/>
        <v>31042.16</v>
      </c>
      <c r="U152" s="237">
        <f t="shared" si="16"/>
        <v>0</v>
      </c>
      <c r="V152" s="238">
        <f t="shared" si="17"/>
        <v>31042.16</v>
      </c>
      <c r="W152" s="235">
        <f t="shared" si="18"/>
        <v>31042.16</v>
      </c>
      <c r="X152" s="228"/>
      <c r="Y152" s="240" t="s">
        <v>1421</v>
      </c>
      <c r="Z152" s="1279"/>
    </row>
    <row r="153" spans="1:26">
      <c r="A153" s="7">
        <v>144</v>
      </c>
      <c r="B153" s="228" t="s">
        <v>1408</v>
      </c>
      <c r="C153" s="228" t="s">
        <v>1537</v>
      </c>
      <c r="D153" s="229">
        <v>0</v>
      </c>
      <c r="E153" s="230">
        <v>0</v>
      </c>
      <c r="F153" s="230">
        <v>0</v>
      </c>
      <c r="G153" s="230">
        <v>6324.5</v>
      </c>
      <c r="H153" s="230">
        <v>22357.170000000002</v>
      </c>
      <c r="I153" s="231">
        <v>13325.79</v>
      </c>
      <c r="J153" s="232">
        <v>0</v>
      </c>
      <c r="K153" s="232">
        <v>0</v>
      </c>
      <c r="L153" s="232">
        <v>0</v>
      </c>
      <c r="M153" s="232">
        <v>0</v>
      </c>
      <c r="N153" s="232">
        <v>0</v>
      </c>
      <c r="O153" s="232">
        <v>0</v>
      </c>
      <c r="P153" s="233">
        <v>42902</v>
      </c>
      <c r="Q153" s="234">
        <v>376</v>
      </c>
      <c r="R153" s="235">
        <v>42007.46</v>
      </c>
      <c r="S153" s="228"/>
      <c r="T153" s="236">
        <f t="shared" si="22"/>
        <v>42007.46</v>
      </c>
      <c r="U153" s="237">
        <f t="shared" si="16"/>
        <v>42007.460000000006</v>
      </c>
      <c r="V153" s="238">
        <f t="shared" si="17"/>
        <v>0</v>
      </c>
      <c r="W153" s="235">
        <f t="shared" si="18"/>
        <v>42007.460000000006</v>
      </c>
      <c r="X153" s="236"/>
      <c r="Y153" s="240" t="s">
        <v>1421</v>
      </c>
      <c r="Z153" s="1279"/>
    </row>
    <row r="154" spans="1:26">
      <c r="A154" s="7">
        <v>145</v>
      </c>
      <c r="B154" s="228" t="s">
        <v>1408</v>
      </c>
      <c r="C154" s="228" t="s">
        <v>1538</v>
      </c>
      <c r="D154" s="229">
        <v>0</v>
      </c>
      <c r="E154" s="230">
        <v>0</v>
      </c>
      <c r="F154" s="230">
        <v>0</v>
      </c>
      <c r="G154" s="230">
        <v>0</v>
      </c>
      <c r="H154" s="230">
        <v>39324.89</v>
      </c>
      <c r="I154" s="231">
        <v>528.98</v>
      </c>
      <c r="J154" s="232">
        <v>19993.38</v>
      </c>
      <c r="K154" s="232">
        <v>19773.59</v>
      </c>
      <c r="L154" s="232">
        <v>0</v>
      </c>
      <c r="M154" s="232">
        <v>0</v>
      </c>
      <c r="N154" s="232">
        <v>0</v>
      </c>
      <c r="O154" s="232">
        <v>0</v>
      </c>
      <c r="P154" s="233">
        <v>42947</v>
      </c>
      <c r="Q154" s="234">
        <v>376</v>
      </c>
      <c r="R154" s="235">
        <v>79620.84</v>
      </c>
      <c r="S154" s="228"/>
      <c r="T154" s="236">
        <f t="shared" si="22"/>
        <v>79620.84</v>
      </c>
      <c r="U154" s="237">
        <f t="shared" si="16"/>
        <v>39853.870000000003</v>
      </c>
      <c r="V154" s="238">
        <f t="shared" si="17"/>
        <v>39766.97</v>
      </c>
      <c r="W154" s="235">
        <f t="shared" si="18"/>
        <v>79620.84</v>
      </c>
      <c r="X154" s="228"/>
      <c r="Y154" s="240" t="s">
        <v>1421</v>
      </c>
      <c r="Z154" s="1279"/>
    </row>
    <row r="155" spans="1:26">
      <c r="A155" s="7">
        <v>146</v>
      </c>
      <c r="B155" s="228" t="s">
        <v>1408</v>
      </c>
      <c r="C155" s="228" t="s">
        <v>1539</v>
      </c>
      <c r="D155" s="229">
        <v>0</v>
      </c>
      <c r="E155" s="230">
        <v>0</v>
      </c>
      <c r="F155" s="230">
        <v>0</v>
      </c>
      <c r="G155" s="230">
        <v>0</v>
      </c>
      <c r="H155" s="230">
        <v>0</v>
      </c>
      <c r="I155" s="231">
        <v>9150.07</v>
      </c>
      <c r="J155" s="232">
        <v>46.32</v>
      </c>
      <c r="K155" s="232">
        <v>46.58</v>
      </c>
      <c r="L155" s="232">
        <v>46.83</v>
      </c>
      <c r="M155" s="232">
        <v>47.09</v>
      </c>
      <c r="N155" s="232">
        <v>47.35</v>
      </c>
      <c r="O155" s="232">
        <v>47.61</v>
      </c>
      <c r="P155" s="233">
        <v>43100</v>
      </c>
      <c r="Q155" s="234">
        <v>376</v>
      </c>
      <c r="R155" s="235">
        <v>9431.85</v>
      </c>
      <c r="S155" s="228"/>
      <c r="T155" s="236"/>
      <c r="U155" s="237">
        <f t="shared" ref="U155:U166" si="23">SUM(D155:I155)</f>
        <v>9150.07</v>
      </c>
      <c r="V155" s="238">
        <f t="shared" ref="V155:V166" si="24">SUM(J155:O155)</f>
        <v>281.78000000000003</v>
      </c>
      <c r="W155" s="235">
        <f t="shared" ref="W155:W166" si="25">U155+V155</f>
        <v>9431.85</v>
      </c>
      <c r="X155" s="228"/>
      <c r="Y155" s="240"/>
      <c r="Z155" s="1279"/>
    </row>
    <row r="156" spans="1:26">
      <c r="A156" s="7">
        <v>147</v>
      </c>
      <c r="B156" s="228" t="s">
        <v>1408</v>
      </c>
      <c r="C156" s="228" t="s">
        <v>1540</v>
      </c>
      <c r="D156" s="229">
        <v>0</v>
      </c>
      <c r="E156" s="230">
        <v>0</v>
      </c>
      <c r="F156" s="230">
        <v>0</v>
      </c>
      <c r="G156" s="230">
        <v>0</v>
      </c>
      <c r="H156" s="230">
        <v>0</v>
      </c>
      <c r="I156" s="231">
        <v>0</v>
      </c>
      <c r="J156" s="232">
        <v>33277.33</v>
      </c>
      <c r="K156" s="232">
        <v>33460.85</v>
      </c>
      <c r="L156" s="232">
        <v>33645.39</v>
      </c>
      <c r="M156" s="232">
        <v>0</v>
      </c>
      <c r="N156" s="232">
        <v>0</v>
      </c>
      <c r="O156" s="232">
        <v>0</v>
      </c>
      <c r="P156" s="233">
        <v>42979</v>
      </c>
      <c r="Q156" s="234">
        <v>376</v>
      </c>
      <c r="R156" s="235">
        <v>100383.57</v>
      </c>
      <c r="S156" s="228"/>
      <c r="T156" s="236">
        <f t="shared" ref="T156:T159" si="26">+R156</f>
        <v>100383.57</v>
      </c>
      <c r="U156" s="237">
        <f t="shared" si="23"/>
        <v>0</v>
      </c>
      <c r="V156" s="238">
        <f t="shared" si="24"/>
        <v>100383.56999999999</v>
      </c>
      <c r="W156" s="235">
        <f t="shared" si="25"/>
        <v>100383.56999999999</v>
      </c>
      <c r="X156" s="236"/>
      <c r="Y156" s="240" t="s">
        <v>1421</v>
      </c>
      <c r="Z156" s="1279"/>
    </row>
    <row r="157" spans="1:26">
      <c r="A157" s="7">
        <v>148</v>
      </c>
      <c r="B157" s="228" t="s">
        <v>1408</v>
      </c>
      <c r="C157" s="228" t="s">
        <v>1541</v>
      </c>
      <c r="D157" s="229">
        <v>0</v>
      </c>
      <c r="E157" s="230">
        <v>0</v>
      </c>
      <c r="F157" s="230">
        <v>0</v>
      </c>
      <c r="G157" s="230">
        <v>0</v>
      </c>
      <c r="H157" s="230">
        <v>0</v>
      </c>
      <c r="I157" s="231">
        <v>0</v>
      </c>
      <c r="J157" s="232">
        <v>14848.6</v>
      </c>
      <c r="K157" s="232">
        <v>14930.49</v>
      </c>
      <c r="L157" s="232">
        <v>0</v>
      </c>
      <c r="M157" s="232">
        <v>0</v>
      </c>
      <c r="N157" s="232">
        <v>0</v>
      </c>
      <c r="O157" s="232">
        <v>0</v>
      </c>
      <c r="P157" s="233">
        <v>42962</v>
      </c>
      <c r="Q157" s="234">
        <v>376</v>
      </c>
      <c r="R157" s="235">
        <v>29779.09</v>
      </c>
      <c r="S157" s="228"/>
      <c r="T157" s="236">
        <f t="shared" si="26"/>
        <v>29779.09</v>
      </c>
      <c r="U157" s="237">
        <f t="shared" si="23"/>
        <v>0</v>
      </c>
      <c r="V157" s="238">
        <f t="shared" si="24"/>
        <v>29779.09</v>
      </c>
      <c r="W157" s="235">
        <f t="shared" si="25"/>
        <v>29779.09</v>
      </c>
      <c r="X157" s="228"/>
      <c r="Y157" s="240" t="s">
        <v>1421</v>
      </c>
      <c r="Z157" s="1279"/>
    </row>
    <row r="158" spans="1:26">
      <c r="A158" s="7">
        <v>149</v>
      </c>
      <c r="B158" s="228" t="s">
        <v>1408</v>
      </c>
      <c r="C158" s="228" t="s">
        <v>1542</v>
      </c>
      <c r="D158" s="229">
        <v>0</v>
      </c>
      <c r="E158" s="230">
        <v>0</v>
      </c>
      <c r="F158" s="230">
        <v>0</v>
      </c>
      <c r="G158" s="230">
        <v>0</v>
      </c>
      <c r="H158" s="230">
        <v>0</v>
      </c>
      <c r="I158" s="231">
        <v>0</v>
      </c>
      <c r="J158" s="232">
        <v>25385.53</v>
      </c>
      <c r="K158" s="232">
        <v>25525.53</v>
      </c>
      <c r="L158" s="232">
        <v>0</v>
      </c>
      <c r="M158" s="232">
        <v>0</v>
      </c>
      <c r="N158" s="232">
        <v>0</v>
      </c>
      <c r="O158" s="232">
        <v>0</v>
      </c>
      <c r="P158" s="233">
        <v>42962</v>
      </c>
      <c r="Q158" s="234">
        <v>376</v>
      </c>
      <c r="R158" s="235">
        <v>80</v>
      </c>
      <c r="S158" s="228"/>
      <c r="T158" s="236">
        <f t="shared" si="26"/>
        <v>80</v>
      </c>
      <c r="U158" s="237">
        <f t="shared" si="23"/>
        <v>0</v>
      </c>
      <c r="V158" s="238">
        <f t="shared" si="24"/>
        <v>50911.06</v>
      </c>
      <c r="W158" s="235">
        <f t="shared" si="25"/>
        <v>50911.06</v>
      </c>
      <c r="X158" s="228"/>
      <c r="Y158" s="240" t="s">
        <v>1421</v>
      </c>
      <c r="Z158" s="1279"/>
    </row>
    <row r="159" spans="1:26">
      <c r="A159" s="7">
        <v>150</v>
      </c>
      <c r="B159" s="228" t="s">
        <v>1408</v>
      </c>
      <c r="C159" s="228" t="s">
        <v>1543</v>
      </c>
      <c r="D159" s="229">
        <v>0</v>
      </c>
      <c r="E159" s="230">
        <v>0</v>
      </c>
      <c r="F159" s="230">
        <v>0</v>
      </c>
      <c r="G159" s="230">
        <v>0</v>
      </c>
      <c r="H159" s="230">
        <v>0</v>
      </c>
      <c r="I159" s="231">
        <v>0</v>
      </c>
      <c r="J159" s="232">
        <v>31102.12</v>
      </c>
      <c r="K159" s="232">
        <v>31273.65</v>
      </c>
      <c r="L159" s="232">
        <v>31446.12</v>
      </c>
      <c r="M159" s="232">
        <v>0</v>
      </c>
      <c r="N159" s="232">
        <v>0</v>
      </c>
      <c r="O159" s="232">
        <v>0</v>
      </c>
      <c r="P159" s="233">
        <v>43008</v>
      </c>
      <c r="Q159" s="234">
        <v>376</v>
      </c>
      <c r="R159" s="235">
        <v>93821.89</v>
      </c>
      <c r="S159" s="228"/>
      <c r="T159" s="236">
        <f t="shared" si="26"/>
        <v>93821.89</v>
      </c>
      <c r="U159" s="237">
        <f t="shared" si="23"/>
        <v>0</v>
      </c>
      <c r="V159" s="238">
        <f t="shared" si="24"/>
        <v>93821.89</v>
      </c>
      <c r="W159" s="235">
        <f t="shared" si="25"/>
        <v>93821.89</v>
      </c>
      <c r="X159" s="228"/>
      <c r="Y159" s="240" t="s">
        <v>1421</v>
      </c>
      <c r="Z159" s="1279"/>
    </row>
    <row r="160" spans="1:26" s="1203" customFormat="1">
      <c r="A160" s="1193">
        <v>151</v>
      </c>
      <c r="B160" s="1194" t="s">
        <v>1408</v>
      </c>
      <c r="C160" s="1194" t="s">
        <v>1544</v>
      </c>
      <c r="D160" s="1195">
        <v>0</v>
      </c>
      <c r="E160" s="1196">
        <v>0</v>
      </c>
      <c r="F160" s="1196">
        <v>0</v>
      </c>
      <c r="G160" s="1196">
        <v>0</v>
      </c>
      <c r="H160" s="1196">
        <v>0</v>
      </c>
      <c r="I160" s="1197">
        <v>0</v>
      </c>
      <c r="J160" s="1198">
        <v>142208.57</v>
      </c>
      <c r="K160" s="1198">
        <v>142992.86000000002</v>
      </c>
      <c r="L160" s="1198">
        <v>143781.46</v>
      </c>
      <c r="M160" s="1198">
        <v>144574.42000000001</v>
      </c>
      <c r="N160" s="1198">
        <v>145371.74</v>
      </c>
      <c r="O160" s="1198">
        <v>0</v>
      </c>
      <c r="P160" s="1199">
        <v>43069</v>
      </c>
      <c r="Q160" s="1198">
        <v>376</v>
      </c>
      <c r="R160" s="1200">
        <v>718929.05</v>
      </c>
      <c r="S160" s="1194"/>
      <c r="T160" s="1201">
        <f>+R160</f>
        <v>718929.05</v>
      </c>
      <c r="U160" s="1200">
        <f t="shared" si="23"/>
        <v>0</v>
      </c>
      <c r="V160" s="1200">
        <f t="shared" si="24"/>
        <v>718929.05</v>
      </c>
      <c r="W160" s="1200">
        <f t="shared" si="25"/>
        <v>718929.05</v>
      </c>
      <c r="X160" s="1205">
        <f>Z160</f>
        <v>1339384.69</v>
      </c>
      <c r="Y160" s="1202">
        <v>23</v>
      </c>
      <c r="Z160" s="1279">
        <v>1339384.69</v>
      </c>
    </row>
    <row r="161" spans="1:26">
      <c r="A161" s="7">
        <v>152</v>
      </c>
      <c r="B161" s="228" t="s">
        <v>1408</v>
      </c>
      <c r="C161" s="228" t="s">
        <v>1545</v>
      </c>
      <c r="D161" s="229">
        <v>0</v>
      </c>
      <c r="E161" s="230">
        <v>0</v>
      </c>
      <c r="F161" s="230">
        <v>0</v>
      </c>
      <c r="G161" s="230">
        <v>0</v>
      </c>
      <c r="H161" s="230">
        <v>0</v>
      </c>
      <c r="I161" s="231">
        <v>0</v>
      </c>
      <c r="J161" s="232">
        <v>19111.810000000001</v>
      </c>
      <c r="K161" s="232">
        <v>19217.21</v>
      </c>
      <c r="L161" s="232">
        <v>19323.189999999999</v>
      </c>
      <c r="M161" s="232">
        <v>0</v>
      </c>
      <c r="N161" s="232">
        <v>0</v>
      </c>
      <c r="O161" s="232">
        <v>0</v>
      </c>
      <c r="P161" s="233">
        <v>42990</v>
      </c>
      <c r="Q161" s="234">
        <v>376</v>
      </c>
      <c r="R161" s="235">
        <v>57652.21</v>
      </c>
      <c r="S161" s="228"/>
      <c r="T161" s="236">
        <f t="shared" ref="T161:T163" si="27">+R161</f>
        <v>57652.21</v>
      </c>
      <c r="U161" s="237">
        <f t="shared" si="23"/>
        <v>0</v>
      </c>
      <c r="V161" s="238">
        <f t="shared" si="24"/>
        <v>57652.210000000006</v>
      </c>
      <c r="W161" s="235">
        <f t="shared" si="25"/>
        <v>57652.210000000006</v>
      </c>
      <c r="X161" s="228"/>
      <c r="Y161" s="240" t="s">
        <v>1421</v>
      </c>
      <c r="Z161" s="1279"/>
    </row>
    <row r="162" spans="1:26">
      <c r="A162" s="7">
        <v>153</v>
      </c>
      <c r="B162" s="228" t="s">
        <v>1408</v>
      </c>
      <c r="C162" s="228" t="s">
        <v>1546</v>
      </c>
      <c r="D162" s="229">
        <v>0</v>
      </c>
      <c r="E162" s="230">
        <v>0</v>
      </c>
      <c r="F162" s="230">
        <v>0</v>
      </c>
      <c r="G162" s="230">
        <v>0</v>
      </c>
      <c r="H162" s="230">
        <v>0</v>
      </c>
      <c r="I162" s="231">
        <v>0</v>
      </c>
      <c r="J162" s="232">
        <v>18501.41</v>
      </c>
      <c r="K162" s="232">
        <v>18603.439999999999</v>
      </c>
      <c r="L162" s="232">
        <v>18706.05</v>
      </c>
      <c r="M162" s="232">
        <v>18809.2</v>
      </c>
      <c r="N162" s="232">
        <v>0</v>
      </c>
      <c r="O162" s="232">
        <v>0</v>
      </c>
      <c r="P162" s="233">
        <v>43038</v>
      </c>
      <c r="Q162" s="234">
        <v>376</v>
      </c>
      <c r="R162" s="235">
        <v>74620.100000000006</v>
      </c>
      <c r="S162" s="228"/>
      <c r="T162" s="236">
        <f t="shared" si="27"/>
        <v>74620.100000000006</v>
      </c>
      <c r="U162" s="237">
        <f t="shared" si="23"/>
        <v>0</v>
      </c>
      <c r="V162" s="238">
        <f t="shared" si="24"/>
        <v>74620.099999999991</v>
      </c>
      <c r="W162" s="235">
        <f t="shared" si="25"/>
        <v>74620.099999999991</v>
      </c>
      <c r="X162" s="228"/>
      <c r="Y162" s="240" t="s">
        <v>1421</v>
      </c>
      <c r="Z162" s="1279"/>
    </row>
    <row r="163" spans="1:26">
      <c r="A163" s="7">
        <v>154</v>
      </c>
      <c r="B163" s="228" t="s">
        <v>1408</v>
      </c>
      <c r="C163" s="228" t="s">
        <v>1547</v>
      </c>
      <c r="D163" s="229">
        <v>0</v>
      </c>
      <c r="E163" s="230">
        <v>0</v>
      </c>
      <c r="F163" s="230">
        <v>0</v>
      </c>
      <c r="G163" s="230">
        <v>0</v>
      </c>
      <c r="H163" s="230">
        <v>0</v>
      </c>
      <c r="I163" s="231">
        <v>0</v>
      </c>
      <c r="J163" s="232">
        <v>0</v>
      </c>
      <c r="K163" s="232">
        <v>23714.16</v>
      </c>
      <c r="L163" s="232">
        <v>23844.94</v>
      </c>
      <c r="M163" s="232">
        <v>23976.44</v>
      </c>
      <c r="N163" s="232">
        <v>24108.68</v>
      </c>
      <c r="O163" s="232">
        <v>0</v>
      </c>
      <c r="P163" s="233">
        <v>43069</v>
      </c>
      <c r="Q163" s="234">
        <v>376</v>
      </c>
      <c r="R163" s="235">
        <v>95644.22</v>
      </c>
      <c r="S163" s="228"/>
      <c r="T163" s="236">
        <f t="shared" si="27"/>
        <v>95644.22</v>
      </c>
      <c r="U163" s="237">
        <f t="shared" si="23"/>
        <v>0</v>
      </c>
      <c r="V163" s="238">
        <f t="shared" si="24"/>
        <v>95644.22</v>
      </c>
      <c r="W163" s="235">
        <f t="shared" si="25"/>
        <v>95644.22</v>
      </c>
      <c r="X163" s="236"/>
      <c r="Y163" s="240" t="s">
        <v>1421</v>
      </c>
      <c r="Z163" s="1279"/>
    </row>
    <row r="164" spans="1:26">
      <c r="A164" s="7">
        <v>155</v>
      </c>
      <c r="B164" s="228" t="s">
        <v>1408</v>
      </c>
      <c r="C164" s="228" t="s">
        <v>1548</v>
      </c>
      <c r="D164" s="229">
        <v>0</v>
      </c>
      <c r="E164" s="230">
        <v>0</v>
      </c>
      <c r="F164" s="230">
        <v>0</v>
      </c>
      <c r="G164" s="230">
        <v>0</v>
      </c>
      <c r="H164" s="230">
        <v>0</v>
      </c>
      <c r="I164" s="231">
        <v>0</v>
      </c>
      <c r="J164" s="232">
        <v>27614.03</v>
      </c>
      <c r="K164" s="232">
        <v>27766.32</v>
      </c>
      <c r="L164" s="232">
        <v>27919.45</v>
      </c>
      <c r="M164" s="232">
        <v>28073.43</v>
      </c>
      <c r="N164" s="232">
        <v>0</v>
      </c>
      <c r="O164" s="232">
        <v>0</v>
      </c>
      <c r="P164" s="234"/>
      <c r="Q164" s="234"/>
      <c r="R164" s="235">
        <v>111373.23</v>
      </c>
      <c r="S164" s="228"/>
      <c r="T164" s="236"/>
      <c r="U164" s="237">
        <f t="shared" si="23"/>
        <v>0</v>
      </c>
      <c r="V164" s="238">
        <f t="shared" si="24"/>
        <v>111373.23000000001</v>
      </c>
      <c r="W164" s="235">
        <f t="shared" si="25"/>
        <v>111373.23000000001</v>
      </c>
      <c r="X164" s="228"/>
      <c r="Y164" s="240"/>
      <c r="Z164" s="1279"/>
    </row>
    <row r="165" spans="1:26">
      <c r="A165" s="7">
        <v>156</v>
      </c>
      <c r="B165" s="228" t="s">
        <v>1549</v>
      </c>
      <c r="C165" s="228" t="s">
        <v>1550</v>
      </c>
      <c r="D165" s="229">
        <v>190.58</v>
      </c>
      <c r="E165" s="230">
        <v>191.73000000000002</v>
      </c>
      <c r="F165" s="230">
        <v>5972.87</v>
      </c>
      <c r="G165" s="230">
        <v>10415.34</v>
      </c>
      <c r="H165" s="230">
        <v>31809.8</v>
      </c>
      <c r="I165" s="231">
        <v>113610.73</v>
      </c>
      <c r="J165" s="232">
        <v>1068.24</v>
      </c>
      <c r="K165" s="232">
        <v>1074.1300000000001</v>
      </c>
      <c r="L165" s="232">
        <v>1080.05</v>
      </c>
      <c r="M165" s="232">
        <v>1086.01</v>
      </c>
      <c r="N165" s="232">
        <v>1092</v>
      </c>
      <c r="O165" s="232">
        <v>1098.02</v>
      </c>
      <c r="P165" s="233">
        <v>43100</v>
      </c>
      <c r="Q165" s="234">
        <v>376</v>
      </c>
      <c r="R165" s="235">
        <v>168689.5</v>
      </c>
      <c r="S165" s="228"/>
      <c r="T165" s="236">
        <f t="shared" ref="T165:T166" si="28">+R165</f>
        <v>168689.5</v>
      </c>
      <c r="U165" s="237">
        <f t="shared" si="23"/>
        <v>162191.04999999999</v>
      </c>
      <c r="V165" s="238">
        <f t="shared" si="24"/>
        <v>6498.4500000000007</v>
      </c>
      <c r="W165" s="235">
        <f t="shared" si="25"/>
        <v>168689.5</v>
      </c>
      <c r="X165" s="239"/>
      <c r="Y165" s="240" t="s">
        <v>1395</v>
      </c>
      <c r="Z165" s="1279"/>
    </row>
    <row r="166" spans="1:26">
      <c r="A166" s="7">
        <v>157</v>
      </c>
      <c r="B166" s="228" t="s">
        <v>1549</v>
      </c>
      <c r="C166" s="228" t="s">
        <v>1551</v>
      </c>
      <c r="D166" s="229">
        <v>94655.21</v>
      </c>
      <c r="E166" s="230">
        <v>98535.3</v>
      </c>
      <c r="F166" s="230">
        <v>132939.62</v>
      </c>
      <c r="G166" s="230">
        <v>62785.86</v>
      </c>
      <c r="H166" s="230">
        <v>41416.959999999999</v>
      </c>
      <c r="I166" s="231">
        <v>48388.3</v>
      </c>
      <c r="J166" s="232">
        <v>17664.89</v>
      </c>
      <c r="K166" s="232">
        <v>17762.310000000001</v>
      </c>
      <c r="L166" s="232">
        <v>17860.260000000002</v>
      </c>
      <c r="M166" s="232">
        <v>17958.77</v>
      </c>
      <c r="N166" s="232">
        <v>18057.810000000001</v>
      </c>
      <c r="O166" s="232">
        <v>18157.400000000001</v>
      </c>
      <c r="P166" s="233">
        <v>43434</v>
      </c>
      <c r="Q166" s="234">
        <v>376</v>
      </c>
      <c r="R166" s="235">
        <v>586182.69000000006</v>
      </c>
      <c r="S166" s="228"/>
      <c r="T166" s="236">
        <f t="shared" si="28"/>
        <v>586182.69000000006</v>
      </c>
      <c r="U166" s="237">
        <f t="shared" si="23"/>
        <v>478721.25</v>
      </c>
      <c r="V166" s="238">
        <f t="shared" si="24"/>
        <v>107461.44</v>
      </c>
      <c r="W166" s="235">
        <f t="shared" si="25"/>
        <v>586182.68999999994</v>
      </c>
      <c r="X166" s="239"/>
      <c r="Y166" s="240" t="s">
        <v>1395</v>
      </c>
      <c r="Z166" s="1279"/>
    </row>
    <row r="167" spans="1:26">
      <c r="A167" s="7">
        <v>158</v>
      </c>
      <c r="B167" s="248"/>
      <c r="C167" s="249" t="s">
        <v>1552</v>
      </c>
      <c r="D167" s="250">
        <f t="shared" ref="D167:O167" si="29">SUM(D27:D166)</f>
        <v>2036814.9799999995</v>
      </c>
      <c r="E167" s="251">
        <f t="shared" si="29"/>
        <v>2658788.2100000009</v>
      </c>
      <c r="F167" s="251">
        <f t="shared" si="29"/>
        <v>3371657.64</v>
      </c>
      <c r="G167" s="251">
        <f t="shared" si="29"/>
        <v>4094063.9199999995</v>
      </c>
      <c r="H167" s="251">
        <f t="shared" si="29"/>
        <v>5845911.3000000007</v>
      </c>
      <c r="I167" s="252">
        <f t="shared" si="29"/>
        <v>4729305.9600000009</v>
      </c>
      <c r="J167" s="253">
        <f t="shared" si="29"/>
        <v>6979412.2400000012</v>
      </c>
      <c r="K167" s="253">
        <f t="shared" si="29"/>
        <v>7058667.200000002</v>
      </c>
      <c r="L167" s="253">
        <f t="shared" si="29"/>
        <v>6909364.3000000007</v>
      </c>
      <c r="M167" s="253">
        <f t="shared" si="29"/>
        <v>5214083.1999999993</v>
      </c>
      <c r="N167" s="253">
        <f t="shared" si="29"/>
        <v>3522815.0700000003</v>
      </c>
      <c r="O167" s="253">
        <f t="shared" si="29"/>
        <v>3147460.4400000004</v>
      </c>
      <c r="P167" s="254"/>
      <c r="Q167" s="254"/>
      <c r="R167" s="255">
        <f>SUM(R27:R166)</f>
        <v>55517513.399999984</v>
      </c>
      <c r="S167" s="248"/>
      <c r="T167" s="256">
        <f>SUM(T27:T166)</f>
        <v>42820937.617532</v>
      </c>
      <c r="U167" s="257">
        <f>SUM(U27:U166)</f>
        <v>22736542.010000009</v>
      </c>
      <c r="V167" s="258">
        <f>SUM(V27:V166)</f>
        <v>32831802.450000003</v>
      </c>
      <c r="W167" s="255">
        <f>SUM(W27:W166)</f>
        <v>55568344.459999986</v>
      </c>
      <c r="X167" s="256">
        <f>SUM(X27:X166)</f>
        <v>6933369.9299999997</v>
      </c>
      <c r="Y167" s="259"/>
      <c r="Z167" s="1279"/>
    </row>
    <row r="168" spans="1:26">
      <c r="B168" s="248"/>
      <c r="C168" s="248"/>
      <c r="D168" s="229"/>
      <c r="E168" s="230"/>
      <c r="F168" s="230"/>
      <c r="G168" s="230"/>
      <c r="H168" s="230"/>
      <c r="I168" s="231"/>
      <c r="J168" s="232"/>
      <c r="K168" s="232"/>
      <c r="L168" s="232"/>
      <c r="M168" s="232"/>
      <c r="N168" s="232"/>
      <c r="O168" s="260"/>
      <c r="P168" s="244"/>
      <c r="Q168" s="244"/>
      <c r="R168" s="235"/>
      <c r="S168" s="248"/>
      <c r="T168" s="263"/>
      <c r="U168" s="237"/>
      <c r="V168" s="238"/>
      <c r="W168" s="235"/>
      <c r="X168" s="263"/>
      <c r="Y168" s="259"/>
      <c r="Z168" s="1279"/>
    </row>
    <row r="169" spans="1:26">
      <c r="B169" s="248"/>
      <c r="C169" s="249"/>
      <c r="D169" s="229"/>
      <c r="E169" s="230"/>
      <c r="F169" s="230"/>
      <c r="G169" s="230"/>
      <c r="H169" s="230"/>
      <c r="I169" s="231">
        <f>SUM(D167:I167)</f>
        <v>22736542.010000002</v>
      </c>
      <c r="J169" s="232"/>
      <c r="K169" s="232"/>
      <c r="L169" s="232"/>
      <c r="M169" s="232"/>
      <c r="N169" s="232"/>
      <c r="O169" s="260">
        <f>SUM(J167:O167)</f>
        <v>32831802.450000003</v>
      </c>
      <c r="P169" s="244"/>
      <c r="Q169" s="244"/>
      <c r="R169" s="235"/>
      <c r="S169" s="248"/>
      <c r="T169" s="263"/>
      <c r="U169" s="237"/>
      <c r="V169" s="238"/>
      <c r="W169" s="235"/>
      <c r="X169" s="248"/>
      <c r="Y169" s="259"/>
      <c r="Z169" s="1279"/>
    </row>
    <row r="170" spans="1:26">
      <c r="B170" s="248"/>
      <c r="C170" s="248"/>
      <c r="D170" s="229"/>
      <c r="E170" s="230"/>
      <c r="F170" s="230"/>
      <c r="G170" s="230"/>
      <c r="H170" s="230"/>
      <c r="I170" s="231"/>
      <c r="J170" s="232"/>
      <c r="K170" s="232"/>
      <c r="L170" s="232"/>
      <c r="M170" s="232"/>
      <c r="N170" s="232"/>
      <c r="O170" s="260"/>
      <c r="P170" s="244"/>
      <c r="Q170" s="244"/>
      <c r="R170" s="235"/>
      <c r="S170" s="248"/>
      <c r="T170" s="261"/>
      <c r="U170" s="237"/>
      <c r="V170" s="238"/>
      <c r="W170" s="235"/>
      <c r="X170" s="248"/>
      <c r="Y170" s="259"/>
      <c r="Z170" s="1279"/>
    </row>
    <row r="171" spans="1:26">
      <c r="A171" s="7">
        <v>159</v>
      </c>
      <c r="B171" s="228" t="s">
        <v>1553</v>
      </c>
      <c r="C171" s="228" t="s">
        <v>1554</v>
      </c>
      <c r="D171" s="229">
        <v>0</v>
      </c>
      <c r="E171" s="230">
        <v>0</v>
      </c>
      <c r="F171" s="230">
        <v>0</v>
      </c>
      <c r="G171" s="230">
        <v>0</v>
      </c>
      <c r="H171" s="230">
        <v>0</v>
      </c>
      <c r="I171" s="231">
        <v>0</v>
      </c>
      <c r="J171" s="232">
        <v>882.87</v>
      </c>
      <c r="K171" s="232">
        <v>882.87</v>
      </c>
      <c r="L171" s="232">
        <v>882.87</v>
      </c>
      <c r="M171" s="232">
        <v>882.87</v>
      </c>
      <c r="N171" s="232">
        <v>882.87</v>
      </c>
      <c r="O171" s="232">
        <v>882.87</v>
      </c>
      <c r="P171" s="233">
        <v>44561</v>
      </c>
      <c r="Q171" s="234">
        <v>396</v>
      </c>
      <c r="R171" s="235">
        <v>5297.22</v>
      </c>
      <c r="S171" s="935">
        <f>+'State Allocation Formulas'!$L$25</f>
        <v>0.77239999999999998</v>
      </c>
      <c r="T171" s="236">
        <f t="shared" ref="T171:T203" si="30">+R171*S171</f>
        <v>4091.5727280000001</v>
      </c>
      <c r="U171" s="237">
        <f t="shared" ref="U171:U203" si="31">SUM(D171:I171)</f>
        <v>0</v>
      </c>
      <c r="V171" s="238">
        <f t="shared" ref="V171:V203" si="32">SUM(J171:O171)</f>
        <v>5297.22</v>
      </c>
      <c r="W171" s="235">
        <f t="shared" ref="W171:W203" si="33">U171+V171</f>
        <v>5297.22</v>
      </c>
      <c r="X171" s="236"/>
      <c r="Y171" s="240" t="s">
        <v>1423</v>
      </c>
      <c r="Z171" s="1279"/>
    </row>
    <row r="172" spans="1:26">
      <c r="A172" s="7">
        <v>160</v>
      </c>
      <c r="B172" s="228" t="s">
        <v>1553</v>
      </c>
      <c r="C172" s="228" t="s">
        <v>1555</v>
      </c>
      <c r="D172" s="229">
        <v>2416.65</v>
      </c>
      <c r="E172" s="230">
        <v>1514.64</v>
      </c>
      <c r="F172" s="230">
        <v>4178.3900000000003</v>
      </c>
      <c r="G172" s="230">
        <v>5415.88</v>
      </c>
      <c r="H172" s="230">
        <v>20910.14</v>
      </c>
      <c r="I172" s="231">
        <v>7842</v>
      </c>
      <c r="J172" s="232">
        <v>24341.89</v>
      </c>
      <c r="K172" s="232">
        <v>24341.89</v>
      </c>
      <c r="L172" s="232">
        <v>24341.89</v>
      </c>
      <c r="M172" s="232">
        <v>24341.89</v>
      </c>
      <c r="N172" s="232">
        <v>24341.89</v>
      </c>
      <c r="O172" s="232">
        <v>24341.89</v>
      </c>
      <c r="P172" s="233">
        <v>46022</v>
      </c>
      <c r="Q172" s="234">
        <v>397</v>
      </c>
      <c r="R172" s="235">
        <v>188329.04</v>
      </c>
      <c r="S172" s="935">
        <f>+'State Allocation Formulas'!$L$25</f>
        <v>0.77239999999999998</v>
      </c>
      <c r="T172" s="236">
        <f t="shared" si="30"/>
        <v>145465.350496</v>
      </c>
      <c r="U172" s="237">
        <f t="shared" si="31"/>
        <v>42277.7</v>
      </c>
      <c r="V172" s="238">
        <f t="shared" si="32"/>
        <v>146051.34</v>
      </c>
      <c r="W172" s="235">
        <f t="shared" si="33"/>
        <v>188329.03999999998</v>
      </c>
      <c r="X172" s="236"/>
      <c r="Y172" s="240" t="s">
        <v>1423</v>
      </c>
      <c r="Z172" s="1279"/>
    </row>
    <row r="173" spans="1:26">
      <c r="A173" s="7">
        <v>161</v>
      </c>
      <c r="B173" s="228" t="s">
        <v>1553</v>
      </c>
      <c r="C173" s="228" t="s">
        <v>1556</v>
      </c>
      <c r="D173" s="229">
        <v>-1479.5</v>
      </c>
      <c r="E173" s="230">
        <v>-35847.599999999999</v>
      </c>
      <c r="F173" s="230">
        <v>-16293.28</v>
      </c>
      <c r="G173" s="230">
        <v>76220.67</v>
      </c>
      <c r="H173" s="230">
        <v>70334.180000000008</v>
      </c>
      <c r="I173" s="231">
        <v>17524.38</v>
      </c>
      <c r="J173" s="232">
        <v>41495.78</v>
      </c>
      <c r="K173" s="232">
        <v>41495.78</v>
      </c>
      <c r="L173" s="232">
        <v>41495.78</v>
      </c>
      <c r="M173" s="232">
        <v>41495.78</v>
      </c>
      <c r="N173" s="232">
        <v>41495.78</v>
      </c>
      <c r="O173" s="232">
        <v>41495.78</v>
      </c>
      <c r="P173" s="234"/>
      <c r="Q173" s="234"/>
      <c r="R173" s="235">
        <v>359433.53</v>
      </c>
      <c r="S173" s="228"/>
      <c r="T173" s="236"/>
      <c r="U173" s="237">
        <f t="shared" si="31"/>
        <v>110458.85</v>
      </c>
      <c r="V173" s="238">
        <f t="shared" si="32"/>
        <v>248974.68</v>
      </c>
      <c r="W173" s="235">
        <f t="shared" si="33"/>
        <v>359433.53</v>
      </c>
      <c r="X173" s="228"/>
      <c r="Y173" s="240"/>
      <c r="Z173" s="1279"/>
    </row>
    <row r="174" spans="1:26">
      <c r="A174" s="7">
        <v>162</v>
      </c>
      <c r="B174" s="228" t="s">
        <v>1553</v>
      </c>
      <c r="C174" s="228" t="s">
        <v>1557</v>
      </c>
      <c r="D174" s="229">
        <v>19901.59</v>
      </c>
      <c r="E174" s="230">
        <v>-600</v>
      </c>
      <c r="F174" s="230">
        <v>0</v>
      </c>
      <c r="G174" s="230">
        <v>0</v>
      </c>
      <c r="H174" s="230">
        <v>-59935.46</v>
      </c>
      <c r="I174" s="231">
        <v>-3426</v>
      </c>
      <c r="J174" s="232">
        <v>47787.65</v>
      </c>
      <c r="K174" s="232">
        <v>47787.65</v>
      </c>
      <c r="L174" s="232">
        <v>47787.65</v>
      </c>
      <c r="M174" s="232">
        <v>47787.65</v>
      </c>
      <c r="N174" s="232">
        <v>47787.65</v>
      </c>
      <c r="O174" s="232">
        <v>47787.65</v>
      </c>
      <c r="P174" s="234"/>
      <c r="Q174" s="234"/>
      <c r="R174" s="235">
        <v>242666.03</v>
      </c>
      <c r="S174" s="228"/>
      <c r="T174" s="236"/>
      <c r="U174" s="237">
        <f t="shared" si="31"/>
        <v>-44059.869999999995</v>
      </c>
      <c r="V174" s="238">
        <f t="shared" si="32"/>
        <v>286725.90000000002</v>
      </c>
      <c r="W174" s="235">
        <f t="shared" si="33"/>
        <v>242666.03000000003</v>
      </c>
      <c r="X174" s="228"/>
      <c r="Y174" s="240"/>
      <c r="Z174" s="1279"/>
    </row>
    <row r="175" spans="1:26">
      <c r="A175" s="7">
        <v>163</v>
      </c>
      <c r="B175" s="228" t="s">
        <v>1553</v>
      </c>
      <c r="C175" s="228" t="s">
        <v>1558</v>
      </c>
      <c r="D175" s="229">
        <v>-21843.72</v>
      </c>
      <c r="E175" s="230">
        <v>136006.39999999999</v>
      </c>
      <c r="F175" s="230">
        <v>14779.07</v>
      </c>
      <c r="G175" s="230">
        <v>209749.84</v>
      </c>
      <c r="H175" s="230">
        <v>98505.45</v>
      </c>
      <c r="I175" s="231">
        <v>335275.18</v>
      </c>
      <c r="J175" s="232">
        <v>98096.17</v>
      </c>
      <c r="K175" s="232">
        <v>98096.17</v>
      </c>
      <c r="L175" s="232">
        <v>98096.17</v>
      </c>
      <c r="M175" s="232">
        <v>98096.17</v>
      </c>
      <c r="N175" s="232">
        <v>98096.17</v>
      </c>
      <c r="O175" s="232">
        <v>98096.17</v>
      </c>
      <c r="P175" s="233">
        <v>44926</v>
      </c>
      <c r="Q175" s="234">
        <v>392</v>
      </c>
      <c r="R175" s="235">
        <v>1361049.24</v>
      </c>
      <c r="S175" s="228"/>
      <c r="T175" s="236">
        <f>+R175</f>
        <v>1361049.24</v>
      </c>
      <c r="U175" s="237">
        <f t="shared" si="31"/>
        <v>772472.22</v>
      </c>
      <c r="V175" s="238">
        <f t="shared" si="32"/>
        <v>588577.02</v>
      </c>
      <c r="W175" s="235">
        <f t="shared" si="33"/>
        <v>1361049.24</v>
      </c>
      <c r="X175" s="236"/>
      <c r="Y175" s="240" t="s">
        <v>1423</v>
      </c>
      <c r="Z175" s="1279"/>
    </row>
    <row r="176" spans="1:26">
      <c r="A176" s="7">
        <v>164</v>
      </c>
      <c r="B176" s="228" t="s">
        <v>1553</v>
      </c>
      <c r="C176" s="228" t="s">
        <v>1559</v>
      </c>
      <c r="D176" s="229">
        <v>44759.69</v>
      </c>
      <c r="E176" s="230">
        <v>0</v>
      </c>
      <c r="F176" s="230">
        <v>0</v>
      </c>
      <c r="G176" s="230">
        <v>0</v>
      </c>
      <c r="H176" s="230">
        <v>-128283.23</v>
      </c>
      <c r="I176" s="231">
        <v>-4719.57</v>
      </c>
      <c r="J176" s="232">
        <v>131219.44</v>
      </c>
      <c r="K176" s="232">
        <v>131219.44</v>
      </c>
      <c r="L176" s="232">
        <v>131219.44</v>
      </c>
      <c r="M176" s="232">
        <v>131219.44</v>
      </c>
      <c r="N176" s="232">
        <v>131219.44</v>
      </c>
      <c r="O176" s="232">
        <v>131219.44</v>
      </c>
      <c r="P176" s="233">
        <v>44926</v>
      </c>
      <c r="Q176" s="234">
        <v>396</v>
      </c>
      <c r="R176" s="235">
        <v>699073.53</v>
      </c>
      <c r="S176" s="228"/>
      <c r="T176" s="236">
        <f t="shared" ref="T176:T177" si="34">+R176</f>
        <v>699073.53</v>
      </c>
      <c r="U176" s="237">
        <f t="shared" si="31"/>
        <v>-88243.109999999986</v>
      </c>
      <c r="V176" s="238">
        <f t="shared" si="32"/>
        <v>787316.6399999999</v>
      </c>
      <c r="W176" s="235">
        <f t="shared" si="33"/>
        <v>699073.52999999991</v>
      </c>
      <c r="X176" s="236"/>
      <c r="Y176" s="240" t="s">
        <v>1423</v>
      </c>
      <c r="Z176" s="1279"/>
    </row>
    <row r="177" spans="1:26">
      <c r="A177" s="7">
        <v>165</v>
      </c>
      <c r="B177" s="228" t="s">
        <v>1553</v>
      </c>
      <c r="C177" s="228" t="s">
        <v>1560</v>
      </c>
      <c r="D177" s="229">
        <v>1059.77</v>
      </c>
      <c r="E177" s="230">
        <v>0</v>
      </c>
      <c r="F177" s="230">
        <v>0</v>
      </c>
      <c r="G177" s="230">
        <v>0</v>
      </c>
      <c r="H177" s="230">
        <v>0</v>
      </c>
      <c r="I177" s="231">
        <v>0</v>
      </c>
      <c r="J177" s="232">
        <v>0</v>
      </c>
      <c r="K177" s="232">
        <v>0</v>
      </c>
      <c r="L177" s="232">
        <v>0</v>
      </c>
      <c r="M177" s="232">
        <v>0</v>
      </c>
      <c r="N177" s="232">
        <v>0</v>
      </c>
      <c r="O177" s="232">
        <v>0</v>
      </c>
      <c r="P177" s="233">
        <v>46022</v>
      </c>
      <c r="Q177" s="234">
        <v>397</v>
      </c>
      <c r="R177" s="235">
        <v>1059.77</v>
      </c>
      <c r="S177" s="228"/>
      <c r="T177" s="236">
        <f t="shared" si="34"/>
        <v>1059.77</v>
      </c>
      <c r="U177" s="237">
        <f t="shared" si="31"/>
        <v>1059.77</v>
      </c>
      <c r="V177" s="238">
        <f t="shared" si="32"/>
        <v>0</v>
      </c>
      <c r="W177" s="235">
        <f t="shared" si="33"/>
        <v>1059.77</v>
      </c>
      <c r="X177" s="236"/>
      <c r="Y177" s="240" t="s">
        <v>1423</v>
      </c>
      <c r="Z177" s="1279"/>
    </row>
    <row r="178" spans="1:26">
      <c r="A178" s="7">
        <v>166</v>
      </c>
      <c r="B178" s="228" t="s">
        <v>1553</v>
      </c>
      <c r="C178" s="228" t="s">
        <v>1561</v>
      </c>
      <c r="D178" s="229">
        <v>225.18</v>
      </c>
      <c r="E178" s="230">
        <v>226.54</v>
      </c>
      <c r="F178" s="230">
        <v>-2051.9700000000003</v>
      </c>
      <c r="G178" s="230">
        <v>0</v>
      </c>
      <c r="H178" s="230">
        <v>0</v>
      </c>
      <c r="I178" s="231">
        <v>0</v>
      </c>
      <c r="J178" s="232">
        <v>0</v>
      </c>
      <c r="K178" s="232">
        <v>0</v>
      </c>
      <c r="L178" s="232">
        <v>0</v>
      </c>
      <c r="M178" s="232">
        <v>0</v>
      </c>
      <c r="N178" s="232">
        <v>0</v>
      </c>
      <c r="O178" s="232">
        <v>0</v>
      </c>
      <c r="P178" s="233">
        <v>46022</v>
      </c>
      <c r="Q178" s="234">
        <v>390</v>
      </c>
      <c r="R178" s="235">
        <v>-1600.25</v>
      </c>
      <c r="S178" s="935">
        <f>+'State Allocation Formulas'!$L$25</f>
        <v>0.77239999999999998</v>
      </c>
      <c r="T178" s="236">
        <f t="shared" si="30"/>
        <v>-1236.0330999999999</v>
      </c>
      <c r="U178" s="237">
        <f t="shared" si="31"/>
        <v>-1600.2500000000002</v>
      </c>
      <c r="V178" s="238">
        <f t="shared" si="32"/>
        <v>0</v>
      </c>
      <c r="W178" s="235">
        <f t="shared" si="33"/>
        <v>-1600.2500000000002</v>
      </c>
      <c r="X178" s="236"/>
      <c r="Y178" s="240" t="s">
        <v>1423</v>
      </c>
      <c r="Z178" s="1279"/>
    </row>
    <row r="179" spans="1:26">
      <c r="A179" s="7">
        <v>167</v>
      </c>
      <c r="B179" s="228" t="s">
        <v>1553</v>
      </c>
      <c r="C179" s="228" t="s">
        <v>1562</v>
      </c>
      <c r="D179" s="229">
        <v>-21753.350000000002</v>
      </c>
      <c r="E179" s="230">
        <v>2941.76</v>
      </c>
      <c r="F179" s="230">
        <v>-495.14</v>
      </c>
      <c r="G179" s="230">
        <v>-5000</v>
      </c>
      <c r="H179" s="230">
        <v>0</v>
      </c>
      <c r="I179" s="231">
        <v>0</v>
      </c>
      <c r="J179" s="232">
        <v>7350.29</v>
      </c>
      <c r="K179" s="232">
        <v>7350.29</v>
      </c>
      <c r="L179" s="232">
        <v>7350.29</v>
      </c>
      <c r="M179" s="232">
        <v>7350.29</v>
      </c>
      <c r="N179" s="232">
        <v>7350.29</v>
      </c>
      <c r="O179" s="232">
        <v>7350.29</v>
      </c>
      <c r="P179" s="233">
        <v>44926</v>
      </c>
      <c r="Q179" s="234">
        <v>392</v>
      </c>
      <c r="R179" s="235">
        <v>19795.010000000002</v>
      </c>
      <c r="S179" s="935">
        <f>+'State Allocation Formulas'!$L$25</f>
        <v>0.77239999999999998</v>
      </c>
      <c r="T179" s="236">
        <f t="shared" si="30"/>
        <v>15289.665724</v>
      </c>
      <c r="U179" s="237">
        <f t="shared" si="31"/>
        <v>-24306.730000000003</v>
      </c>
      <c r="V179" s="238">
        <f t="shared" si="32"/>
        <v>44101.74</v>
      </c>
      <c r="W179" s="235">
        <f t="shared" si="33"/>
        <v>19795.009999999995</v>
      </c>
      <c r="X179" s="236"/>
      <c r="Y179" s="240" t="s">
        <v>1423</v>
      </c>
      <c r="Z179" s="1279"/>
    </row>
    <row r="180" spans="1:26">
      <c r="A180" s="7">
        <v>168</v>
      </c>
      <c r="B180" s="228" t="s">
        <v>1553</v>
      </c>
      <c r="C180" s="228" t="s">
        <v>1563</v>
      </c>
      <c r="D180" s="229">
        <v>24589.55</v>
      </c>
      <c r="E180" s="230">
        <v>83.99</v>
      </c>
      <c r="F180" s="230">
        <v>1389.16</v>
      </c>
      <c r="G180" s="230">
        <v>4571.34</v>
      </c>
      <c r="H180" s="230">
        <v>498.01</v>
      </c>
      <c r="I180" s="231">
        <v>5446.72</v>
      </c>
      <c r="J180" s="232">
        <v>0</v>
      </c>
      <c r="K180" s="232">
        <v>0</v>
      </c>
      <c r="L180" s="232">
        <v>0</v>
      </c>
      <c r="M180" s="232">
        <v>0</v>
      </c>
      <c r="N180" s="232">
        <v>0</v>
      </c>
      <c r="O180" s="232">
        <v>0</v>
      </c>
      <c r="P180" s="233">
        <v>46022</v>
      </c>
      <c r="Q180" s="234">
        <v>394</v>
      </c>
      <c r="R180" s="235">
        <v>36578.770000000004</v>
      </c>
      <c r="S180" s="935">
        <f>+'State Allocation Formulas'!$L$25</f>
        <v>0.77239999999999998</v>
      </c>
      <c r="T180" s="236">
        <f t="shared" si="30"/>
        <v>28253.441948000003</v>
      </c>
      <c r="U180" s="237">
        <f t="shared" si="31"/>
        <v>36578.769999999997</v>
      </c>
      <c r="V180" s="238">
        <f t="shared" si="32"/>
        <v>0</v>
      </c>
      <c r="W180" s="235">
        <f t="shared" si="33"/>
        <v>36578.769999999997</v>
      </c>
      <c r="X180" s="236"/>
      <c r="Y180" s="240" t="s">
        <v>1423</v>
      </c>
      <c r="Z180" s="1279"/>
    </row>
    <row r="181" spans="1:26">
      <c r="A181" s="7">
        <v>169</v>
      </c>
      <c r="B181" s="228" t="s">
        <v>1553</v>
      </c>
      <c r="C181" s="228" t="s">
        <v>1564</v>
      </c>
      <c r="D181" s="229">
        <v>0</v>
      </c>
      <c r="E181" s="230">
        <v>0</v>
      </c>
      <c r="F181" s="230">
        <v>5409.36</v>
      </c>
      <c r="G181" s="230">
        <v>12679.99</v>
      </c>
      <c r="H181" s="230">
        <v>8605.64</v>
      </c>
      <c r="I181" s="231">
        <v>8</v>
      </c>
      <c r="J181" s="232">
        <v>0</v>
      </c>
      <c r="K181" s="232">
        <v>0</v>
      </c>
      <c r="L181" s="232">
        <v>0</v>
      </c>
      <c r="M181" s="232">
        <v>0</v>
      </c>
      <c r="N181" s="232">
        <v>0</v>
      </c>
      <c r="O181" s="232">
        <v>0</v>
      </c>
      <c r="P181" s="234"/>
      <c r="Q181" s="234"/>
      <c r="R181" s="235">
        <v>26702.99</v>
      </c>
      <c r="S181" s="228"/>
      <c r="T181" s="236"/>
      <c r="U181" s="237">
        <f t="shared" si="31"/>
        <v>26702.989999999998</v>
      </c>
      <c r="V181" s="238">
        <f t="shared" si="32"/>
        <v>0</v>
      </c>
      <c r="W181" s="235">
        <f t="shared" si="33"/>
        <v>26702.989999999998</v>
      </c>
      <c r="X181" s="228"/>
      <c r="Y181" s="240"/>
      <c r="Z181" s="1279"/>
    </row>
    <row r="182" spans="1:26">
      <c r="A182" s="7">
        <v>170</v>
      </c>
      <c r="B182" s="228" t="s">
        <v>1553</v>
      </c>
      <c r="C182" s="228" t="s">
        <v>1565</v>
      </c>
      <c r="D182" s="229">
        <v>6249.31</v>
      </c>
      <c r="E182" s="230">
        <v>0</v>
      </c>
      <c r="F182" s="230">
        <v>2900.9</v>
      </c>
      <c r="G182" s="230">
        <v>0</v>
      </c>
      <c r="H182" s="230">
        <v>0</v>
      </c>
      <c r="I182" s="231">
        <v>0</v>
      </c>
      <c r="J182" s="232">
        <v>1794</v>
      </c>
      <c r="K182" s="232">
        <v>1794</v>
      </c>
      <c r="L182" s="232">
        <v>1794</v>
      </c>
      <c r="M182" s="232">
        <v>1794</v>
      </c>
      <c r="N182" s="232">
        <v>1794</v>
      </c>
      <c r="O182" s="232">
        <v>1794</v>
      </c>
      <c r="P182" s="234"/>
      <c r="Q182" s="234"/>
      <c r="R182" s="235">
        <v>19914.21</v>
      </c>
      <c r="S182" s="228"/>
      <c r="T182" s="236"/>
      <c r="U182" s="237">
        <f t="shared" si="31"/>
        <v>9150.2100000000009</v>
      </c>
      <c r="V182" s="238">
        <f t="shared" si="32"/>
        <v>10764</v>
      </c>
      <c r="W182" s="235">
        <f t="shared" si="33"/>
        <v>19914.21</v>
      </c>
      <c r="X182" s="228"/>
      <c r="Y182" s="240"/>
      <c r="Z182" s="1279"/>
    </row>
    <row r="183" spans="1:26">
      <c r="A183" s="7">
        <v>171</v>
      </c>
      <c r="B183" s="228" t="s">
        <v>1553</v>
      </c>
      <c r="C183" s="228" t="s">
        <v>1566</v>
      </c>
      <c r="D183" s="229">
        <v>49.17</v>
      </c>
      <c r="E183" s="230">
        <v>0</v>
      </c>
      <c r="F183" s="230">
        <v>0</v>
      </c>
      <c r="G183" s="230">
        <v>6450.03</v>
      </c>
      <c r="H183" s="230">
        <v>0</v>
      </c>
      <c r="I183" s="231">
        <v>3595.55</v>
      </c>
      <c r="J183" s="232">
        <v>0</v>
      </c>
      <c r="K183" s="232">
        <v>0</v>
      </c>
      <c r="L183" s="232">
        <v>0</v>
      </c>
      <c r="M183" s="232">
        <v>0</v>
      </c>
      <c r="N183" s="232">
        <v>0</v>
      </c>
      <c r="O183" s="232">
        <v>0</v>
      </c>
      <c r="P183" s="233">
        <v>46022</v>
      </c>
      <c r="Q183" s="234">
        <v>394</v>
      </c>
      <c r="R183" s="235">
        <v>10094.75</v>
      </c>
      <c r="S183" s="228"/>
      <c r="T183" s="236">
        <f>+R183</f>
        <v>10094.75</v>
      </c>
      <c r="U183" s="237">
        <f t="shared" si="31"/>
        <v>10094.75</v>
      </c>
      <c r="V183" s="238">
        <f t="shared" si="32"/>
        <v>0</v>
      </c>
      <c r="W183" s="235">
        <f t="shared" si="33"/>
        <v>10094.75</v>
      </c>
      <c r="X183" s="236"/>
      <c r="Y183" s="240" t="s">
        <v>1423</v>
      </c>
      <c r="Z183" s="1279"/>
    </row>
    <row r="184" spans="1:26">
      <c r="A184" s="7">
        <v>172</v>
      </c>
      <c r="B184" s="228" t="s">
        <v>1553</v>
      </c>
      <c r="C184" s="228" t="s">
        <v>1567</v>
      </c>
      <c r="D184" s="229">
        <v>0</v>
      </c>
      <c r="E184" s="230">
        <v>0</v>
      </c>
      <c r="F184" s="230">
        <v>0</v>
      </c>
      <c r="G184" s="230">
        <v>0</v>
      </c>
      <c r="H184" s="230">
        <v>0</v>
      </c>
      <c r="I184" s="231">
        <v>1842.79</v>
      </c>
      <c r="J184" s="232">
        <v>0</v>
      </c>
      <c r="K184" s="232">
        <v>0</v>
      </c>
      <c r="L184" s="232">
        <v>0</v>
      </c>
      <c r="M184" s="232">
        <v>0</v>
      </c>
      <c r="N184" s="232">
        <v>0</v>
      </c>
      <c r="O184" s="232">
        <v>0</v>
      </c>
      <c r="P184" s="233">
        <v>46022</v>
      </c>
      <c r="Q184" s="234">
        <v>391</v>
      </c>
      <c r="R184" s="235">
        <v>1842.79</v>
      </c>
      <c r="S184" s="935">
        <f>+'State Allocation Formulas'!$L$25</f>
        <v>0.77239999999999998</v>
      </c>
      <c r="T184" s="236">
        <f t="shared" si="30"/>
        <v>1423.3709959999999</v>
      </c>
      <c r="U184" s="237">
        <f t="shared" si="31"/>
        <v>1842.79</v>
      </c>
      <c r="V184" s="238">
        <f t="shared" si="32"/>
        <v>0</v>
      </c>
      <c r="W184" s="235">
        <f t="shared" si="33"/>
        <v>1842.79</v>
      </c>
      <c r="X184" s="236"/>
      <c r="Y184" s="240" t="s">
        <v>1423</v>
      </c>
      <c r="Z184" s="1279"/>
    </row>
    <row r="185" spans="1:26">
      <c r="A185" s="7">
        <v>173</v>
      </c>
      <c r="B185" s="228" t="s">
        <v>1553</v>
      </c>
      <c r="C185" s="228" t="s">
        <v>1568</v>
      </c>
      <c r="D185" s="229">
        <v>7287.07</v>
      </c>
      <c r="E185" s="230">
        <v>20506.060000000001</v>
      </c>
      <c r="F185" s="230">
        <v>2035.5900000000001</v>
      </c>
      <c r="G185" s="230">
        <v>13952</v>
      </c>
      <c r="H185" s="230">
        <v>32177.72</v>
      </c>
      <c r="I185" s="231">
        <v>500.24</v>
      </c>
      <c r="J185" s="232">
        <v>0</v>
      </c>
      <c r="K185" s="232">
        <v>0</v>
      </c>
      <c r="L185" s="232">
        <v>0</v>
      </c>
      <c r="M185" s="232">
        <v>0</v>
      </c>
      <c r="N185" s="232">
        <v>0</v>
      </c>
      <c r="O185" s="232">
        <v>0</v>
      </c>
      <c r="P185" s="233">
        <v>46022</v>
      </c>
      <c r="Q185" s="234">
        <v>390</v>
      </c>
      <c r="R185" s="235">
        <v>76458.680000000008</v>
      </c>
      <c r="S185" s="228"/>
      <c r="T185" s="236">
        <f>+R185</f>
        <v>76458.680000000008</v>
      </c>
      <c r="U185" s="237">
        <f t="shared" si="31"/>
        <v>76458.680000000008</v>
      </c>
      <c r="V185" s="238">
        <f t="shared" si="32"/>
        <v>0</v>
      </c>
      <c r="W185" s="235">
        <f t="shared" si="33"/>
        <v>76458.680000000008</v>
      </c>
      <c r="X185" s="236"/>
      <c r="Y185" s="240">
        <v>13</v>
      </c>
      <c r="Z185" s="1279"/>
    </row>
    <row r="186" spans="1:26">
      <c r="A186" s="7">
        <v>174</v>
      </c>
      <c r="B186" s="228" t="s">
        <v>1553</v>
      </c>
      <c r="C186" s="228" t="s">
        <v>1569</v>
      </c>
      <c r="D186" s="229">
        <v>6250</v>
      </c>
      <c r="E186" s="230">
        <v>0</v>
      </c>
      <c r="F186" s="230">
        <v>3211.78</v>
      </c>
      <c r="G186" s="230">
        <v>0</v>
      </c>
      <c r="H186" s="230">
        <v>0</v>
      </c>
      <c r="I186" s="231">
        <v>0</v>
      </c>
      <c r="J186" s="232">
        <v>0</v>
      </c>
      <c r="K186" s="232">
        <v>0</v>
      </c>
      <c r="L186" s="232">
        <v>0</v>
      </c>
      <c r="M186" s="232">
        <v>0</v>
      </c>
      <c r="N186" s="232">
        <v>0</v>
      </c>
      <c r="O186" s="232">
        <v>0</v>
      </c>
      <c r="P186" s="233">
        <v>46022</v>
      </c>
      <c r="Q186" s="234">
        <v>394</v>
      </c>
      <c r="R186" s="235">
        <v>9461.7800000000007</v>
      </c>
      <c r="S186" s="228"/>
      <c r="T186" s="236">
        <f>+R186</f>
        <v>9461.7800000000007</v>
      </c>
      <c r="U186" s="237">
        <f t="shared" si="31"/>
        <v>9461.7800000000007</v>
      </c>
      <c r="V186" s="238">
        <f t="shared" si="32"/>
        <v>0</v>
      </c>
      <c r="W186" s="235">
        <f t="shared" si="33"/>
        <v>9461.7800000000007</v>
      </c>
      <c r="X186" s="236"/>
      <c r="Y186" s="240">
        <v>12</v>
      </c>
      <c r="Z186" s="1279"/>
    </row>
    <row r="187" spans="1:26">
      <c r="A187" s="7">
        <v>175</v>
      </c>
      <c r="B187" s="228" t="s">
        <v>1553</v>
      </c>
      <c r="C187" s="228" t="s">
        <v>1570</v>
      </c>
      <c r="D187" s="229">
        <v>1181.8900000000001</v>
      </c>
      <c r="E187" s="230">
        <v>0</v>
      </c>
      <c r="F187" s="230">
        <v>0</v>
      </c>
      <c r="G187" s="230">
        <v>0</v>
      </c>
      <c r="H187" s="230">
        <v>0</v>
      </c>
      <c r="I187" s="231">
        <v>9127.9600000000009</v>
      </c>
      <c r="J187" s="232">
        <v>0</v>
      </c>
      <c r="K187" s="232">
        <v>0</v>
      </c>
      <c r="L187" s="232">
        <v>0</v>
      </c>
      <c r="M187" s="232">
        <v>0</v>
      </c>
      <c r="N187" s="232">
        <v>0</v>
      </c>
      <c r="O187" s="232">
        <v>0</v>
      </c>
      <c r="P187" s="233">
        <v>46022</v>
      </c>
      <c r="Q187" s="234">
        <v>394</v>
      </c>
      <c r="R187" s="235">
        <v>10309.85</v>
      </c>
      <c r="S187" s="228"/>
      <c r="T187" s="236">
        <f t="shared" ref="T187:T195" si="35">+R187</f>
        <v>10309.85</v>
      </c>
      <c r="U187" s="237">
        <f t="shared" si="31"/>
        <v>10309.85</v>
      </c>
      <c r="V187" s="238">
        <f t="shared" si="32"/>
        <v>0</v>
      </c>
      <c r="W187" s="235">
        <f t="shared" si="33"/>
        <v>10309.85</v>
      </c>
      <c r="X187" s="236"/>
      <c r="Y187" s="240" t="s">
        <v>1423</v>
      </c>
      <c r="Z187" s="1279"/>
    </row>
    <row r="188" spans="1:26">
      <c r="A188" s="7">
        <v>176</v>
      </c>
      <c r="B188" s="228" t="s">
        <v>1553</v>
      </c>
      <c r="C188" s="228" t="s">
        <v>1571</v>
      </c>
      <c r="D188" s="229">
        <v>0</v>
      </c>
      <c r="E188" s="230">
        <v>0</v>
      </c>
      <c r="F188" s="230">
        <v>653.37</v>
      </c>
      <c r="G188" s="230">
        <v>0</v>
      </c>
      <c r="H188" s="230">
        <v>0</v>
      </c>
      <c r="I188" s="231">
        <v>1547.73</v>
      </c>
      <c r="J188" s="232">
        <v>0</v>
      </c>
      <c r="K188" s="232">
        <v>0</v>
      </c>
      <c r="L188" s="232">
        <v>0</v>
      </c>
      <c r="M188" s="232">
        <v>0</v>
      </c>
      <c r="N188" s="232">
        <v>0</v>
      </c>
      <c r="O188" s="232">
        <v>0</v>
      </c>
      <c r="P188" s="233">
        <v>46022</v>
      </c>
      <c r="Q188" s="234">
        <v>392</v>
      </c>
      <c r="R188" s="235">
        <v>2201.1</v>
      </c>
      <c r="S188" s="228"/>
      <c r="T188" s="236">
        <f t="shared" si="35"/>
        <v>2201.1</v>
      </c>
      <c r="U188" s="237">
        <f t="shared" si="31"/>
        <v>2201.1</v>
      </c>
      <c r="V188" s="238">
        <f t="shared" si="32"/>
        <v>0</v>
      </c>
      <c r="W188" s="235">
        <f t="shared" si="33"/>
        <v>2201.1</v>
      </c>
      <c r="X188" s="236"/>
      <c r="Y188" s="240">
        <v>10</v>
      </c>
      <c r="Z188" s="1279"/>
    </row>
    <row r="189" spans="1:26">
      <c r="A189" s="7">
        <v>177</v>
      </c>
      <c r="B189" s="228" t="s">
        <v>1553</v>
      </c>
      <c r="C189" s="228" t="s">
        <v>1572</v>
      </c>
      <c r="D189" s="229">
        <v>5780.39</v>
      </c>
      <c r="E189" s="230">
        <v>0</v>
      </c>
      <c r="F189" s="230">
        <v>0</v>
      </c>
      <c r="G189" s="230">
        <v>0</v>
      </c>
      <c r="H189" s="230">
        <v>0</v>
      </c>
      <c r="I189" s="231">
        <v>0</v>
      </c>
      <c r="J189" s="232">
        <v>0</v>
      </c>
      <c r="K189" s="232">
        <v>0</v>
      </c>
      <c r="L189" s="232">
        <v>0</v>
      </c>
      <c r="M189" s="232">
        <v>0</v>
      </c>
      <c r="N189" s="232">
        <v>0</v>
      </c>
      <c r="O189" s="232">
        <v>0</v>
      </c>
      <c r="P189" s="233">
        <v>46022</v>
      </c>
      <c r="Q189" s="234">
        <v>394</v>
      </c>
      <c r="R189" s="235">
        <v>5780.39</v>
      </c>
      <c r="S189" s="228"/>
      <c r="T189" s="236">
        <f t="shared" si="35"/>
        <v>5780.39</v>
      </c>
      <c r="U189" s="237">
        <f t="shared" si="31"/>
        <v>5780.39</v>
      </c>
      <c r="V189" s="238">
        <f t="shared" si="32"/>
        <v>0</v>
      </c>
      <c r="W189" s="235">
        <f t="shared" si="33"/>
        <v>5780.39</v>
      </c>
      <c r="X189" s="236"/>
      <c r="Y189" s="240">
        <v>11</v>
      </c>
      <c r="Z189" s="1279"/>
    </row>
    <row r="190" spans="1:26">
      <c r="A190" s="7">
        <v>178</v>
      </c>
      <c r="B190" s="228" t="s">
        <v>1553</v>
      </c>
      <c r="C190" s="228" t="s">
        <v>1573</v>
      </c>
      <c r="D190" s="229">
        <v>0</v>
      </c>
      <c r="E190" s="230">
        <v>0</v>
      </c>
      <c r="F190" s="230">
        <v>0</v>
      </c>
      <c r="G190" s="230">
        <v>0</v>
      </c>
      <c r="H190" s="230">
        <v>224.44</v>
      </c>
      <c r="I190" s="231">
        <v>225.69</v>
      </c>
      <c r="J190" s="232">
        <v>0</v>
      </c>
      <c r="K190" s="232">
        <v>0</v>
      </c>
      <c r="L190" s="232">
        <v>0</v>
      </c>
      <c r="M190" s="232">
        <v>0</v>
      </c>
      <c r="N190" s="232">
        <v>0</v>
      </c>
      <c r="O190" s="232">
        <v>0</v>
      </c>
      <c r="P190" s="233">
        <v>46022</v>
      </c>
      <c r="Q190" s="234">
        <v>392</v>
      </c>
      <c r="R190" s="235">
        <v>450.13</v>
      </c>
      <c r="S190" s="228"/>
      <c r="T190" s="236">
        <f t="shared" si="35"/>
        <v>450.13</v>
      </c>
      <c r="U190" s="237">
        <f t="shared" si="31"/>
        <v>450.13</v>
      </c>
      <c r="V190" s="238">
        <f t="shared" si="32"/>
        <v>0</v>
      </c>
      <c r="W190" s="235">
        <f t="shared" si="33"/>
        <v>450.13</v>
      </c>
      <c r="X190" s="236"/>
      <c r="Y190" s="240" t="s">
        <v>1423</v>
      </c>
      <c r="Z190" s="1279"/>
    </row>
    <row r="191" spans="1:26">
      <c r="A191" s="7">
        <v>179</v>
      </c>
      <c r="B191" s="228" t="s">
        <v>1553</v>
      </c>
      <c r="C191" s="228" t="s">
        <v>1574</v>
      </c>
      <c r="D191" s="229">
        <v>3320.35</v>
      </c>
      <c r="E191" s="230">
        <v>0</v>
      </c>
      <c r="F191" s="230">
        <v>-0.01</v>
      </c>
      <c r="G191" s="230">
        <v>0</v>
      </c>
      <c r="H191" s="230">
        <v>0</v>
      </c>
      <c r="I191" s="231">
        <v>0</v>
      </c>
      <c r="J191" s="232">
        <v>0</v>
      </c>
      <c r="K191" s="232">
        <v>0</v>
      </c>
      <c r="L191" s="232">
        <v>0</v>
      </c>
      <c r="M191" s="232">
        <v>0</v>
      </c>
      <c r="N191" s="232">
        <v>0</v>
      </c>
      <c r="O191" s="232">
        <v>0</v>
      </c>
      <c r="P191" s="233">
        <v>46022</v>
      </c>
      <c r="Q191" s="234">
        <v>391</v>
      </c>
      <c r="R191" s="235">
        <v>3320.34</v>
      </c>
      <c r="S191" s="228"/>
      <c r="T191" s="236">
        <f t="shared" si="35"/>
        <v>3320.34</v>
      </c>
      <c r="U191" s="237">
        <f t="shared" si="31"/>
        <v>3320.3399999999997</v>
      </c>
      <c r="V191" s="238">
        <f t="shared" si="32"/>
        <v>0</v>
      </c>
      <c r="W191" s="235">
        <f t="shared" si="33"/>
        <v>3320.3399999999997</v>
      </c>
      <c r="X191" s="236"/>
      <c r="Y191" s="240" t="s">
        <v>1423</v>
      </c>
      <c r="Z191" s="1279"/>
    </row>
    <row r="192" spans="1:26">
      <c r="A192" s="7">
        <v>180</v>
      </c>
      <c r="B192" s="228" t="s">
        <v>1553</v>
      </c>
      <c r="C192" s="228" t="s">
        <v>1575</v>
      </c>
      <c r="D192" s="229">
        <v>809.29</v>
      </c>
      <c r="E192" s="230">
        <v>0</v>
      </c>
      <c r="F192" s="230">
        <v>0</v>
      </c>
      <c r="G192" s="230">
        <v>0</v>
      </c>
      <c r="H192" s="230">
        <v>0</v>
      </c>
      <c r="I192" s="231">
        <v>0</v>
      </c>
      <c r="J192" s="232">
        <v>0</v>
      </c>
      <c r="K192" s="232">
        <v>0</v>
      </c>
      <c r="L192" s="232">
        <v>0</v>
      </c>
      <c r="M192" s="232">
        <v>0</v>
      </c>
      <c r="N192" s="232">
        <v>0</v>
      </c>
      <c r="O192" s="232">
        <v>0</v>
      </c>
      <c r="P192" s="233">
        <v>46022</v>
      </c>
      <c r="Q192" s="234">
        <v>394</v>
      </c>
      <c r="R192" s="235">
        <v>809.29</v>
      </c>
      <c r="S192" s="228"/>
      <c r="T192" s="236">
        <f t="shared" si="35"/>
        <v>809.29</v>
      </c>
      <c r="U192" s="237">
        <f t="shared" si="31"/>
        <v>809.29</v>
      </c>
      <c r="V192" s="238">
        <f t="shared" si="32"/>
        <v>0</v>
      </c>
      <c r="W192" s="235">
        <f t="shared" si="33"/>
        <v>809.29</v>
      </c>
      <c r="X192" s="236"/>
      <c r="Y192" s="240" t="s">
        <v>1423</v>
      </c>
      <c r="Z192" s="1279"/>
    </row>
    <row r="193" spans="1:26">
      <c r="A193" s="7">
        <v>181</v>
      </c>
      <c r="B193" s="228" t="s">
        <v>1553</v>
      </c>
      <c r="C193" s="228" t="s">
        <v>1576</v>
      </c>
      <c r="D193" s="229">
        <v>0</v>
      </c>
      <c r="E193" s="230">
        <v>6356.6500000000005</v>
      </c>
      <c r="F193" s="230">
        <v>0</v>
      </c>
      <c r="G193" s="230">
        <v>0</v>
      </c>
      <c r="H193" s="230">
        <v>-451.18</v>
      </c>
      <c r="I193" s="231">
        <v>0</v>
      </c>
      <c r="J193" s="232">
        <v>0</v>
      </c>
      <c r="K193" s="232">
        <v>0</v>
      </c>
      <c r="L193" s="232">
        <v>0</v>
      </c>
      <c r="M193" s="232">
        <v>0</v>
      </c>
      <c r="N193" s="232">
        <v>0</v>
      </c>
      <c r="O193" s="232">
        <v>0</v>
      </c>
      <c r="P193" s="233">
        <v>46022</v>
      </c>
      <c r="Q193" s="234">
        <v>392</v>
      </c>
      <c r="R193" s="235">
        <v>5905.47</v>
      </c>
      <c r="S193" s="228"/>
      <c r="T193" s="236">
        <f t="shared" si="35"/>
        <v>5905.47</v>
      </c>
      <c r="U193" s="237">
        <f t="shared" si="31"/>
        <v>5905.47</v>
      </c>
      <c r="V193" s="238">
        <f t="shared" si="32"/>
        <v>0</v>
      </c>
      <c r="W193" s="235">
        <f t="shared" si="33"/>
        <v>5905.47</v>
      </c>
      <c r="X193" s="236"/>
      <c r="Y193" s="240" t="s">
        <v>1423</v>
      </c>
      <c r="Z193" s="1279"/>
    </row>
    <row r="194" spans="1:26">
      <c r="A194" s="7">
        <v>182</v>
      </c>
      <c r="B194" s="228" t="s">
        <v>1553</v>
      </c>
      <c r="C194" s="228" t="s">
        <v>1577</v>
      </c>
      <c r="D194" s="229">
        <v>0</v>
      </c>
      <c r="E194" s="230">
        <v>7009.27</v>
      </c>
      <c r="F194" s="230">
        <v>0</v>
      </c>
      <c r="G194" s="230">
        <v>0</v>
      </c>
      <c r="H194" s="230">
        <v>0</v>
      </c>
      <c r="I194" s="231">
        <v>0</v>
      </c>
      <c r="J194" s="232">
        <v>0</v>
      </c>
      <c r="K194" s="232">
        <v>0</v>
      </c>
      <c r="L194" s="232">
        <v>0</v>
      </c>
      <c r="M194" s="232">
        <v>0</v>
      </c>
      <c r="N194" s="232">
        <v>0</v>
      </c>
      <c r="O194" s="232">
        <v>0</v>
      </c>
      <c r="P194" s="233">
        <v>46022</v>
      </c>
      <c r="Q194" s="234">
        <v>392</v>
      </c>
      <c r="R194" s="235">
        <v>7009.27</v>
      </c>
      <c r="S194" s="228"/>
      <c r="T194" s="236">
        <f t="shared" si="35"/>
        <v>7009.27</v>
      </c>
      <c r="U194" s="237">
        <f t="shared" si="31"/>
        <v>7009.27</v>
      </c>
      <c r="V194" s="238">
        <f t="shared" si="32"/>
        <v>0</v>
      </c>
      <c r="W194" s="235">
        <f t="shared" si="33"/>
        <v>7009.27</v>
      </c>
      <c r="X194" s="236"/>
      <c r="Y194" s="240" t="s">
        <v>1423</v>
      </c>
      <c r="Z194" s="1279"/>
    </row>
    <row r="195" spans="1:26">
      <c r="A195" s="7">
        <v>183</v>
      </c>
      <c r="B195" s="228" t="s">
        <v>1553</v>
      </c>
      <c r="C195" s="228" t="s">
        <v>1578</v>
      </c>
      <c r="D195" s="229">
        <v>-12817.14</v>
      </c>
      <c r="E195" s="230">
        <v>8205.0400000000009</v>
      </c>
      <c r="F195" s="230">
        <v>0</v>
      </c>
      <c r="G195" s="230">
        <v>0</v>
      </c>
      <c r="H195" s="230">
        <v>0</v>
      </c>
      <c r="I195" s="231">
        <v>6241.9400000000005</v>
      </c>
      <c r="J195" s="232">
        <v>0</v>
      </c>
      <c r="K195" s="232">
        <v>0</v>
      </c>
      <c r="L195" s="232">
        <v>0</v>
      </c>
      <c r="M195" s="232">
        <v>0</v>
      </c>
      <c r="N195" s="232">
        <v>0</v>
      </c>
      <c r="O195" s="232">
        <v>0</v>
      </c>
      <c r="P195" s="233">
        <v>46022</v>
      </c>
      <c r="Q195" s="234">
        <v>394</v>
      </c>
      <c r="R195" s="235">
        <v>1629.8400000000001</v>
      </c>
      <c r="S195" s="228"/>
      <c r="T195" s="236">
        <f t="shared" si="35"/>
        <v>1629.8400000000001</v>
      </c>
      <c r="U195" s="237">
        <f t="shared" si="31"/>
        <v>1629.840000000002</v>
      </c>
      <c r="V195" s="238">
        <f t="shared" si="32"/>
        <v>0</v>
      </c>
      <c r="W195" s="235">
        <f t="shared" si="33"/>
        <v>1629.840000000002</v>
      </c>
      <c r="X195" s="236"/>
      <c r="Y195" s="240" t="s">
        <v>1423</v>
      </c>
      <c r="Z195" s="1279"/>
    </row>
    <row r="196" spans="1:26">
      <c r="A196" s="7">
        <v>184</v>
      </c>
      <c r="B196" s="228" t="s">
        <v>1553</v>
      </c>
      <c r="C196" s="228" t="s">
        <v>1579</v>
      </c>
      <c r="D196" s="229">
        <v>148327.62</v>
      </c>
      <c r="E196" s="230">
        <v>165961.39000000001</v>
      </c>
      <c r="F196" s="230">
        <v>-12880.34</v>
      </c>
      <c r="G196" s="230">
        <v>-143306.96</v>
      </c>
      <c r="H196" s="230">
        <v>-148746.73000000001</v>
      </c>
      <c r="I196" s="231">
        <v>-117291.52</v>
      </c>
      <c r="J196" s="232">
        <v>0</v>
      </c>
      <c r="K196" s="232">
        <v>0</v>
      </c>
      <c r="L196" s="232">
        <v>0</v>
      </c>
      <c r="M196" s="232">
        <v>0</v>
      </c>
      <c r="N196" s="232">
        <v>0</v>
      </c>
      <c r="O196" s="232">
        <v>0</v>
      </c>
      <c r="P196" s="234"/>
      <c r="Q196" s="234"/>
      <c r="R196" s="235">
        <v>-107936.54000000001</v>
      </c>
      <c r="S196" s="228"/>
      <c r="T196" s="236"/>
      <c r="U196" s="237">
        <f t="shared" si="31"/>
        <v>-107936.54000000002</v>
      </c>
      <c r="V196" s="238">
        <f t="shared" si="32"/>
        <v>0</v>
      </c>
      <c r="W196" s="235">
        <f t="shared" si="33"/>
        <v>-107936.54000000002</v>
      </c>
      <c r="X196" s="228"/>
      <c r="Y196" s="240"/>
      <c r="Z196" s="1279"/>
    </row>
    <row r="197" spans="1:26">
      <c r="A197" s="7">
        <v>185</v>
      </c>
      <c r="B197" s="228" t="s">
        <v>1553</v>
      </c>
      <c r="C197" s="228" t="s">
        <v>1580</v>
      </c>
      <c r="D197" s="229">
        <v>72138.790000000008</v>
      </c>
      <c r="E197" s="230">
        <v>30187.16</v>
      </c>
      <c r="F197" s="230">
        <v>62479.35</v>
      </c>
      <c r="G197" s="230">
        <v>-51075.840000000004</v>
      </c>
      <c r="H197" s="230">
        <v>-57024.21</v>
      </c>
      <c r="I197" s="231">
        <v>-94967.61</v>
      </c>
      <c r="J197" s="232">
        <v>0</v>
      </c>
      <c r="K197" s="232">
        <v>0</v>
      </c>
      <c r="L197" s="232">
        <v>0</v>
      </c>
      <c r="M197" s="232">
        <v>0</v>
      </c>
      <c r="N197" s="232">
        <v>0</v>
      </c>
      <c r="O197" s="232">
        <v>0</v>
      </c>
      <c r="P197" s="234"/>
      <c r="Q197" s="234"/>
      <c r="R197" s="235">
        <v>-38262.36</v>
      </c>
      <c r="S197" s="228"/>
      <c r="T197" s="236"/>
      <c r="U197" s="237">
        <f t="shared" si="31"/>
        <v>-38262.359999999979</v>
      </c>
      <c r="V197" s="238">
        <f t="shared" si="32"/>
        <v>0</v>
      </c>
      <c r="W197" s="235">
        <f t="shared" si="33"/>
        <v>-38262.359999999979</v>
      </c>
      <c r="X197" s="228"/>
      <c r="Y197" s="240"/>
      <c r="Z197" s="1279"/>
    </row>
    <row r="198" spans="1:26">
      <c r="A198" s="7">
        <v>186</v>
      </c>
      <c r="B198" s="228" t="s">
        <v>1553</v>
      </c>
      <c r="C198" s="228" t="s">
        <v>1581</v>
      </c>
      <c r="D198" s="229">
        <v>26289.59</v>
      </c>
      <c r="E198" s="230">
        <v>155.85</v>
      </c>
      <c r="F198" s="230">
        <v>156.79</v>
      </c>
      <c r="G198" s="230">
        <v>143.81</v>
      </c>
      <c r="H198" s="230">
        <v>144.61000000000001</v>
      </c>
      <c r="I198" s="231">
        <v>145.4</v>
      </c>
      <c r="J198" s="232">
        <v>5906.02</v>
      </c>
      <c r="K198" s="232">
        <v>5906.02</v>
      </c>
      <c r="L198" s="232">
        <v>5906.02</v>
      </c>
      <c r="M198" s="232">
        <v>5906.02</v>
      </c>
      <c r="N198" s="232">
        <v>5906.02</v>
      </c>
      <c r="O198" s="232">
        <v>5906.02</v>
      </c>
      <c r="P198" s="233">
        <v>44561</v>
      </c>
      <c r="Q198" s="234">
        <v>391</v>
      </c>
      <c r="R198" s="235">
        <v>62472.17</v>
      </c>
      <c r="S198" s="935">
        <f>+'State Allocation Formulas'!$L$25</f>
        <v>0.77239999999999998</v>
      </c>
      <c r="T198" s="236">
        <f t="shared" si="30"/>
        <v>48253.504107999994</v>
      </c>
      <c r="U198" s="237">
        <f t="shared" si="31"/>
        <v>27036.050000000003</v>
      </c>
      <c r="V198" s="238">
        <f t="shared" si="32"/>
        <v>35436.120000000003</v>
      </c>
      <c r="W198" s="235">
        <f t="shared" si="33"/>
        <v>62472.170000000006</v>
      </c>
      <c r="X198" s="239"/>
      <c r="Y198" s="240">
        <v>47</v>
      </c>
      <c r="Z198" s="1279"/>
    </row>
    <row r="199" spans="1:26">
      <c r="A199" s="7">
        <v>187</v>
      </c>
      <c r="B199" s="228" t="s">
        <v>1553</v>
      </c>
      <c r="C199" s="228" t="s">
        <v>1582</v>
      </c>
      <c r="D199" s="229">
        <v>7274.29</v>
      </c>
      <c r="E199" s="230">
        <v>2577.7200000000003</v>
      </c>
      <c r="F199" s="230">
        <v>23481.97</v>
      </c>
      <c r="G199" s="230">
        <v>813.35</v>
      </c>
      <c r="H199" s="230">
        <v>44789.32</v>
      </c>
      <c r="I199" s="231">
        <v>-3115.69</v>
      </c>
      <c r="J199" s="232">
        <v>0</v>
      </c>
      <c r="K199" s="232">
        <v>0</v>
      </c>
      <c r="L199" s="232">
        <v>67275</v>
      </c>
      <c r="M199" s="232">
        <v>0</v>
      </c>
      <c r="N199" s="232">
        <v>0</v>
      </c>
      <c r="O199" s="232">
        <v>0</v>
      </c>
      <c r="P199" s="233">
        <v>44561</v>
      </c>
      <c r="Q199" s="234">
        <v>391</v>
      </c>
      <c r="R199" s="235">
        <v>143095.96</v>
      </c>
      <c r="S199" s="935">
        <f>+'State Allocation Formulas'!$L$25</f>
        <v>0.77239999999999998</v>
      </c>
      <c r="T199" s="236">
        <f t="shared" si="30"/>
        <v>110527.31950399998</v>
      </c>
      <c r="U199" s="237">
        <f t="shared" si="31"/>
        <v>75820.959999999992</v>
      </c>
      <c r="V199" s="238">
        <f t="shared" si="32"/>
        <v>67275</v>
      </c>
      <c r="W199" s="235">
        <f t="shared" si="33"/>
        <v>143095.96</v>
      </c>
      <c r="X199" s="239"/>
      <c r="Y199" s="240">
        <v>48</v>
      </c>
      <c r="Z199" s="1279"/>
    </row>
    <row r="200" spans="1:26">
      <c r="A200" s="7">
        <v>188</v>
      </c>
      <c r="B200" s="228" t="s">
        <v>1553</v>
      </c>
      <c r="C200" s="228" t="s">
        <v>1583</v>
      </c>
      <c r="D200" s="229">
        <v>0</v>
      </c>
      <c r="E200" s="230">
        <v>0</v>
      </c>
      <c r="F200" s="230">
        <v>0</v>
      </c>
      <c r="G200" s="230">
        <v>0</v>
      </c>
      <c r="H200" s="230">
        <v>0</v>
      </c>
      <c r="I200" s="231">
        <v>0</v>
      </c>
      <c r="J200" s="232">
        <v>160.91</v>
      </c>
      <c r="K200" s="232">
        <v>161.80000000000001</v>
      </c>
      <c r="L200" s="232">
        <v>162.69</v>
      </c>
      <c r="M200" s="232">
        <v>163.59</v>
      </c>
      <c r="N200" s="232">
        <v>164.49</v>
      </c>
      <c r="O200" s="232">
        <v>165.4</v>
      </c>
      <c r="P200" s="233">
        <v>43160</v>
      </c>
      <c r="Q200" s="234">
        <v>390</v>
      </c>
      <c r="R200" s="235">
        <v>978.88</v>
      </c>
      <c r="S200" s="228"/>
      <c r="T200" s="236">
        <f>+R200</f>
        <v>978.88</v>
      </c>
      <c r="U200" s="237">
        <f t="shared" si="31"/>
        <v>0</v>
      </c>
      <c r="V200" s="238">
        <f t="shared" si="32"/>
        <v>978.88</v>
      </c>
      <c r="W200" s="235">
        <f t="shared" si="33"/>
        <v>978.88</v>
      </c>
      <c r="X200" s="239"/>
      <c r="Y200" s="240" t="s">
        <v>1395</v>
      </c>
      <c r="Z200" s="1279"/>
    </row>
    <row r="201" spans="1:26">
      <c r="A201" s="7">
        <v>189</v>
      </c>
      <c r="B201" s="228" t="s">
        <v>1553</v>
      </c>
      <c r="C201" s="228" t="s">
        <v>1584</v>
      </c>
      <c r="D201" s="229">
        <v>0</v>
      </c>
      <c r="E201" s="230">
        <v>0</v>
      </c>
      <c r="F201" s="230">
        <v>73195.199999999997</v>
      </c>
      <c r="G201" s="230">
        <v>46803.01</v>
      </c>
      <c r="H201" s="230">
        <v>0</v>
      </c>
      <c r="I201" s="231">
        <v>0</v>
      </c>
      <c r="J201" s="232">
        <v>0</v>
      </c>
      <c r="K201" s="232">
        <v>0</v>
      </c>
      <c r="L201" s="232">
        <v>645840</v>
      </c>
      <c r="M201" s="232">
        <v>0</v>
      </c>
      <c r="N201" s="232">
        <v>0</v>
      </c>
      <c r="O201" s="232">
        <v>0</v>
      </c>
      <c r="P201" s="233">
        <v>43069</v>
      </c>
      <c r="Q201" s="234">
        <v>394</v>
      </c>
      <c r="R201" s="235">
        <v>765838.21</v>
      </c>
      <c r="S201" s="935">
        <f>+'State Allocation Formulas'!$L$25</f>
        <v>0.77239999999999998</v>
      </c>
      <c r="T201" s="236">
        <f t="shared" si="30"/>
        <v>591533.43340400001</v>
      </c>
      <c r="U201" s="237">
        <f t="shared" si="31"/>
        <v>119998.20999999999</v>
      </c>
      <c r="V201" s="238">
        <f t="shared" si="32"/>
        <v>645840</v>
      </c>
      <c r="W201" s="235">
        <f t="shared" si="33"/>
        <v>765838.21</v>
      </c>
      <c r="X201" s="1024">
        <f>Z201</f>
        <v>591533.43000000005</v>
      </c>
      <c r="Y201" s="240">
        <v>49</v>
      </c>
      <c r="Z201" s="1279">
        <v>591533.43000000005</v>
      </c>
    </row>
    <row r="202" spans="1:26">
      <c r="A202" s="7">
        <v>190</v>
      </c>
      <c r="B202" s="228" t="s">
        <v>1553</v>
      </c>
      <c r="C202" s="228" t="s">
        <v>1585</v>
      </c>
      <c r="D202" s="229">
        <v>98485.8</v>
      </c>
      <c r="E202" s="230">
        <v>-24733.73</v>
      </c>
      <c r="F202" s="230">
        <v>156819.43</v>
      </c>
      <c r="G202" s="230">
        <v>4833.71</v>
      </c>
      <c r="H202" s="230">
        <v>-316063.28999999998</v>
      </c>
      <c r="I202" s="231">
        <v>82360.240000000005</v>
      </c>
      <c r="J202" s="232">
        <v>0</v>
      </c>
      <c r="K202" s="232">
        <v>0</v>
      </c>
      <c r="L202" s="232">
        <v>0</v>
      </c>
      <c r="M202" s="232">
        <v>0</v>
      </c>
      <c r="N202" s="232">
        <v>0</v>
      </c>
      <c r="O202" s="232">
        <v>0</v>
      </c>
      <c r="P202" s="234"/>
      <c r="Q202" s="234"/>
      <c r="R202" s="235">
        <v>1702.16</v>
      </c>
      <c r="S202" s="228"/>
      <c r="T202" s="236"/>
      <c r="U202" s="237">
        <f t="shared" si="31"/>
        <v>1702.160000000018</v>
      </c>
      <c r="V202" s="238">
        <f t="shared" si="32"/>
        <v>0</v>
      </c>
      <c r="W202" s="235">
        <f t="shared" si="33"/>
        <v>1702.160000000018</v>
      </c>
      <c r="X202" s="228"/>
      <c r="Y202" s="240"/>
      <c r="Z202" s="1279"/>
    </row>
    <row r="203" spans="1:26">
      <c r="A203" s="7">
        <v>191</v>
      </c>
      <c r="B203" s="228" t="s">
        <v>1553</v>
      </c>
      <c r="C203" s="228" t="s">
        <v>1586</v>
      </c>
      <c r="D203" s="229">
        <v>0</v>
      </c>
      <c r="E203" s="230">
        <v>0</v>
      </c>
      <c r="F203" s="230">
        <v>0</v>
      </c>
      <c r="G203" s="230">
        <v>0</v>
      </c>
      <c r="H203" s="230">
        <v>0</v>
      </c>
      <c r="I203" s="231">
        <v>0</v>
      </c>
      <c r="J203" s="232">
        <v>86631.900000000009</v>
      </c>
      <c r="K203" s="232">
        <v>21194.170000000002</v>
      </c>
      <c r="L203" s="232">
        <v>21311.05</v>
      </c>
      <c r="M203" s="232">
        <v>21428.58</v>
      </c>
      <c r="N203" s="232">
        <v>21546.760000000002</v>
      </c>
      <c r="O203" s="232">
        <v>0</v>
      </c>
      <c r="P203" s="233">
        <v>43100</v>
      </c>
      <c r="Q203" s="234">
        <v>303</v>
      </c>
      <c r="R203" s="235">
        <v>172112.46</v>
      </c>
      <c r="S203" s="935">
        <f>+'State Allocation Formulas'!$L$25</f>
        <v>0.77239999999999998</v>
      </c>
      <c r="T203" s="236">
        <f t="shared" si="30"/>
        <v>132939.664104</v>
      </c>
      <c r="U203" s="237">
        <f t="shared" si="31"/>
        <v>0</v>
      </c>
      <c r="V203" s="238">
        <f t="shared" si="32"/>
        <v>172112.46000000002</v>
      </c>
      <c r="W203" s="235">
        <f t="shared" si="33"/>
        <v>172112.46000000002</v>
      </c>
      <c r="X203" s="239"/>
      <c r="Y203" s="240">
        <v>50</v>
      </c>
      <c r="Z203" s="1279"/>
    </row>
    <row r="204" spans="1:26">
      <c r="B204" s="248"/>
      <c r="C204" s="249" t="s">
        <v>1552</v>
      </c>
      <c r="D204" s="250">
        <f t="shared" ref="D204:R204" si="36">SUM(D171:D203)</f>
        <v>418502.27999999997</v>
      </c>
      <c r="E204" s="251">
        <f t="shared" si="36"/>
        <v>320551.13999999996</v>
      </c>
      <c r="F204" s="251">
        <f t="shared" si="36"/>
        <v>318969.62</v>
      </c>
      <c r="G204" s="251">
        <f t="shared" si="36"/>
        <v>182250.83000000007</v>
      </c>
      <c r="H204" s="251">
        <f t="shared" si="36"/>
        <v>-434314.58999999997</v>
      </c>
      <c r="I204" s="252">
        <f t="shared" si="36"/>
        <v>248163.42999999993</v>
      </c>
      <c r="J204" s="253">
        <f t="shared" si="36"/>
        <v>445666.92</v>
      </c>
      <c r="K204" s="253">
        <f t="shared" si="36"/>
        <v>380230.07999999996</v>
      </c>
      <c r="L204" s="253">
        <f t="shared" si="36"/>
        <v>1093462.8500000001</v>
      </c>
      <c r="M204" s="253">
        <f t="shared" si="36"/>
        <v>380466.28</v>
      </c>
      <c r="N204" s="253">
        <f t="shared" si="36"/>
        <v>380585.36</v>
      </c>
      <c r="O204" s="253">
        <f t="shared" si="36"/>
        <v>359039.51</v>
      </c>
      <c r="P204" s="254"/>
      <c r="Q204" s="254"/>
      <c r="R204" s="255">
        <f t="shared" si="36"/>
        <v>4093573.71</v>
      </c>
      <c r="S204" s="248"/>
      <c r="T204" s="256">
        <f t="shared" ref="T204:V204" si="37">SUM(T171:T203)</f>
        <v>3272133.5999119994</v>
      </c>
      <c r="U204" s="257">
        <f t="shared" si="37"/>
        <v>1054122.71</v>
      </c>
      <c r="V204" s="258">
        <f t="shared" si="37"/>
        <v>3039451</v>
      </c>
      <c r="W204" s="255">
        <f>SUM(W171:W203)</f>
        <v>4093573.71</v>
      </c>
      <c r="X204" s="256">
        <f t="shared" ref="X204" si="38">SUM(X171:X203)</f>
        <v>591533.43000000005</v>
      </c>
      <c r="Y204" s="259"/>
      <c r="Z204" s="1279"/>
    </row>
    <row r="205" spans="1:26">
      <c r="B205" s="248"/>
      <c r="C205" s="248"/>
      <c r="D205" s="229"/>
      <c r="E205" s="230"/>
      <c r="F205" s="230"/>
      <c r="G205" s="230"/>
      <c r="H205" s="230"/>
      <c r="I205" s="231"/>
      <c r="J205" s="232"/>
      <c r="K205" s="232"/>
      <c r="L205" s="232"/>
      <c r="M205" s="232"/>
      <c r="N205" s="232"/>
      <c r="O205" s="260"/>
      <c r="P205" s="244"/>
      <c r="Q205" s="244"/>
      <c r="R205" s="235"/>
      <c r="S205" s="248"/>
      <c r="T205" s="263"/>
      <c r="U205" s="237"/>
      <c r="V205" s="238"/>
      <c r="W205" s="235"/>
      <c r="X205" s="263"/>
      <c r="Y205" s="259"/>
      <c r="Z205" s="1279"/>
    </row>
    <row r="206" spans="1:26">
      <c r="B206" s="248"/>
      <c r="C206" s="249"/>
      <c r="D206" s="229"/>
      <c r="E206" s="230"/>
      <c r="F206" s="230"/>
      <c r="G206" s="230"/>
      <c r="H206" s="230"/>
      <c r="I206" s="231">
        <f>SUM(D204:I204)</f>
        <v>1054122.71</v>
      </c>
      <c r="J206" s="232"/>
      <c r="K206" s="232"/>
      <c r="L206" s="232"/>
      <c r="M206" s="232"/>
      <c r="N206" s="232"/>
      <c r="O206" s="260">
        <f>SUM(J204:O204)</f>
        <v>3039451</v>
      </c>
      <c r="P206" s="244"/>
      <c r="Q206" s="244"/>
      <c r="R206" s="235"/>
      <c r="S206" s="248"/>
      <c r="T206" s="263"/>
      <c r="U206" s="237"/>
      <c r="V206" s="238"/>
      <c r="W206" s="235"/>
      <c r="X206" s="263"/>
      <c r="Y206" s="259"/>
      <c r="Z206" s="1279"/>
    </row>
    <row r="207" spans="1:26">
      <c r="B207" s="248"/>
      <c r="C207" s="248"/>
      <c r="D207" s="229"/>
      <c r="E207" s="230"/>
      <c r="F207" s="230"/>
      <c r="G207" s="230"/>
      <c r="H207" s="230"/>
      <c r="I207" s="231"/>
      <c r="J207" s="232"/>
      <c r="K207" s="232"/>
      <c r="L207" s="232"/>
      <c r="M207" s="232"/>
      <c r="N207" s="232"/>
      <c r="O207" s="260"/>
      <c r="P207" s="244"/>
      <c r="Q207" s="244"/>
      <c r="R207" s="235"/>
      <c r="S207" s="248"/>
      <c r="T207" s="263"/>
      <c r="U207" s="237"/>
      <c r="V207" s="238"/>
      <c r="W207" s="235"/>
      <c r="X207" s="263"/>
      <c r="Y207" s="248"/>
      <c r="Z207" s="1279"/>
    </row>
    <row r="208" spans="1:26" ht="16.5" thickBot="1">
      <c r="A208" s="7">
        <v>192</v>
      </c>
      <c r="B208" s="248"/>
      <c r="C208" s="249" t="s">
        <v>54</v>
      </c>
      <c r="D208" s="250">
        <f t="shared" ref="D208:O208" si="39">D23+D167+D204</f>
        <v>2500520.8399999994</v>
      </c>
      <c r="E208" s="251">
        <f t="shared" si="39"/>
        <v>3040136.560000001</v>
      </c>
      <c r="F208" s="251">
        <f t="shared" si="39"/>
        <v>3755954.24</v>
      </c>
      <c r="G208" s="251">
        <f t="shared" si="39"/>
        <v>4478213.8299999991</v>
      </c>
      <c r="H208" s="251">
        <f t="shared" si="39"/>
        <v>5503859.0600000005</v>
      </c>
      <c r="I208" s="252">
        <f t="shared" si="39"/>
        <v>5161199.4200000009</v>
      </c>
      <c r="J208" s="253">
        <f t="shared" si="39"/>
        <v>7677358.8200000012</v>
      </c>
      <c r="K208" s="253">
        <f t="shared" si="39"/>
        <v>7649517.450000002</v>
      </c>
      <c r="L208" s="253">
        <f t="shared" si="39"/>
        <v>8221829.5900000017</v>
      </c>
      <c r="M208" s="253">
        <f t="shared" si="39"/>
        <v>5794736.4399999995</v>
      </c>
      <c r="N208" s="253">
        <f t="shared" si="39"/>
        <v>4063251.16</v>
      </c>
      <c r="O208" s="253">
        <f t="shared" si="39"/>
        <v>3677846.46</v>
      </c>
      <c r="P208" s="254"/>
      <c r="Q208" s="254"/>
      <c r="R208" s="255">
        <f>R23+R167+R204</f>
        <v>61473592.809999987</v>
      </c>
      <c r="S208" s="248"/>
      <c r="T208" s="264">
        <f>T23+T167+T204</f>
        <v>47527718.47332</v>
      </c>
      <c r="U208" s="257">
        <f>U23+U167+U204</f>
        <v>24439883.95000001</v>
      </c>
      <c r="V208" s="258">
        <f>V23+V167+V204</f>
        <v>37084539.920000002</v>
      </c>
      <c r="W208" s="255">
        <f>W23+W167+W204</f>
        <v>61524423.86999999</v>
      </c>
      <c r="X208" s="1025">
        <f>X204+X167+X23</f>
        <v>7524903.3599999994</v>
      </c>
      <c r="Y208" s="248"/>
      <c r="Z208" s="1279"/>
    </row>
    <row r="209" spans="1:26" ht="16.5" thickTop="1">
      <c r="B209" s="248"/>
      <c r="C209" s="248"/>
      <c r="D209" s="229"/>
      <c r="E209" s="230"/>
      <c r="F209" s="230"/>
      <c r="G209" s="230"/>
      <c r="H209" s="230"/>
      <c r="I209" s="231"/>
      <c r="J209" s="232"/>
      <c r="K209" s="232"/>
      <c r="L209" s="232"/>
      <c r="M209" s="232"/>
      <c r="N209" s="232"/>
      <c r="O209" s="260"/>
      <c r="P209" s="244"/>
      <c r="Q209" s="244"/>
      <c r="R209" s="235"/>
      <c r="S209" s="248"/>
      <c r="T209" s="263"/>
      <c r="U209" s="237"/>
      <c r="V209" s="238"/>
      <c r="W209" s="235"/>
      <c r="X209" s="248"/>
      <c r="Y209" s="248"/>
      <c r="Z209" s="1279"/>
    </row>
    <row r="210" spans="1:26">
      <c r="B210" s="248"/>
      <c r="C210" s="249"/>
      <c r="D210" s="229"/>
      <c r="E210" s="230"/>
      <c r="F210" s="230"/>
      <c r="G210" s="230"/>
      <c r="H210" s="230"/>
      <c r="I210" s="231">
        <f>I25+I169+I206</f>
        <v>24439883.950000003</v>
      </c>
      <c r="J210" s="232"/>
      <c r="K210" s="232"/>
      <c r="L210" s="232"/>
      <c r="M210" s="232"/>
      <c r="N210" s="232"/>
      <c r="O210" s="260">
        <f>O25+O169+O206</f>
        <v>37084539.920000002</v>
      </c>
      <c r="P210" s="244"/>
      <c r="Q210" s="244"/>
      <c r="R210" s="235"/>
      <c r="S210" s="248"/>
      <c r="T210" s="263"/>
      <c r="U210" s="237"/>
      <c r="V210" s="238"/>
      <c r="W210" s="235"/>
      <c r="X210" s="248"/>
      <c r="Y210" s="248"/>
      <c r="Z210" s="1279"/>
    </row>
    <row r="211" spans="1:26">
      <c r="B211" s="228"/>
      <c r="C211" s="228"/>
      <c r="D211" s="265"/>
      <c r="E211" s="265"/>
      <c r="F211" s="265"/>
      <c r="G211" s="265"/>
      <c r="H211" s="265"/>
      <c r="I211" s="265"/>
      <c r="J211" s="265"/>
      <c r="K211" s="265"/>
      <c r="L211" s="265"/>
      <c r="M211" s="265"/>
      <c r="N211" s="265"/>
      <c r="O211" s="265"/>
      <c r="P211" s="265"/>
      <c r="Q211" s="265"/>
      <c r="R211" s="265"/>
      <c r="S211" s="228"/>
      <c r="T211" s="228"/>
      <c r="U211" s="265"/>
      <c r="V211" s="265"/>
      <c r="W211" s="265"/>
      <c r="X211" s="236"/>
      <c r="Y211" s="228"/>
      <c r="Z211" s="1279"/>
    </row>
    <row r="212" spans="1:26">
      <c r="A212" s="7">
        <v>193</v>
      </c>
      <c r="B212" s="228" t="s">
        <v>1587</v>
      </c>
      <c r="C212" s="228"/>
      <c r="D212" s="265"/>
      <c r="E212" s="265"/>
      <c r="F212" s="265"/>
      <c r="G212" s="265"/>
      <c r="H212" s="265"/>
      <c r="I212" s="265"/>
      <c r="J212" s="265"/>
      <c r="K212" s="265"/>
      <c r="L212" s="265"/>
      <c r="M212" s="265"/>
      <c r="N212" s="265"/>
      <c r="O212" s="265"/>
      <c r="P212" s="266" t="s">
        <v>881</v>
      </c>
      <c r="Q212" s="265"/>
      <c r="R212" s="265"/>
      <c r="S212" s="228"/>
      <c r="T212" s="262"/>
      <c r="U212" s="265"/>
      <c r="V212" s="265"/>
      <c r="W212" s="265"/>
      <c r="X212" s="228"/>
      <c r="Y212" s="228"/>
      <c r="Z212" s="1279"/>
    </row>
    <row r="213" spans="1:26">
      <c r="A213" s="7">
        <v>194</v>
      </c>
      <c r="B213" s="267" t="s">
        <v>1423</v>
      </c>
      <c r="C213" s="228" t="s">
        <v>1588</v>
      </c>
      <c r="D213" s="265"/>
      <c r="E213" s="265"/>
      <c r="F213" s="265"/>
      <c r="G213" s="265"/>
      <c r="H213" s="265"/>
      <c r="I213" s="265"/>
      <c r="J213" s="265"/>
      <c r="K213" s="265"/>
      <c r="L213" s="265"/>
      <c r="M213" s="265"/>
      <c r="N213" s="265"/>
      <c r="O213" s="265"/>
      <c r="P213" s="265">
        <f>+T195+T194+T193+T192+T191+T190+T187+T184+T183+T180+T179+T178+T177+T176+T175+T172+T171</f>
        <v>2293998.8487920002</v>
      </c>
      <c r="Q213" s="265"/>
      <c r="R213" s="265"/>
      <c r="S213" s="228"/>
      <c r="T213" s="240" t="s">
        <v>1594</v>
      </c>
      <c r="U213" s="266"/>
      <c r="V213" s="266"/>
      <c r="W213" s="266"/>
      <c r="X213" s="240" t="s">
        <v>1596</v>
      </c>
      <c r="Y213" s="936" t="s">
        <v>2010</v>
      </c>
      <c r="Z213" s="1280" t="s">
        <v>1592</v>
      </c>
    </row>
    <row r="214" spans="1:26">
      <c r="A214" s="7">
        <v>195</v>
      </c>
      <c r="B214" s="267" t="s">
        <v>1436</v>
      </c>
      <c r="C214" s="228" t="s">
        <v>1142</v>
      </c>
      <c r="D214" s="265"/>
      <c r="E214" s="265"/>
      <c r="F214" s="265"/>
      <c r="G214" s="265"/>
      <c r="H214" s="265"/>
      <c r="I214" s="265"/>
      <c r="J214" s="265"/>
      <c r="K214" s="265"/>
      <c r="L214" s="265"/>
      <c r="M214" s="265"/>
      <c r="N214" s="265"/>
      <c r="O214" s="265"/>
      <c r="P214" s="265">
        <f>+T51+T55+T56+T59+T60+T61+T70+T76+T79+T80+T82+T88+T91+T134+T146</f>
        <v>10912878.120000001</v>
      </c>
      <c r="Q214" s="265"/>
      <c r="R214" s="265"/>
      <c r="S214" s="228"/>
      <c r="T214" s="240" t="s">
        <v>1595</v>
      </c>
      <c r="U214" s="266"/>
      <c r="V214" s="266"/>
      <c r="W214" s="266"/>
      <c r="X214" s="240" t="s">
        <v>403</v>
      </c>
      <c r="Y214" s="17" t="s">
        <v>2011</v>
      </c>
      <c r="Z214" s="1280" t="s">
        <v>1593</v>
      </c>
    </row>
    <row r="215" spans="1:26">
      <c r="A215" s="7">
        <v>196</v>
      </c>
      <c r="B215" s="267" t="s">
        <v>1421</v>
      </c>
      <c r="C215" s="228" t="s">
        <v>1589</v>
      </c>
      <c r="D215" s="265"/>
      <c r="E215" s="265"/>
      <c r="F215" s="265"/>
      <c r="G215" s="265"/>
      <c r="H215" s="265"/>
      <c r="I215" s="265"/>
      <c r="J215" s="265"/>
      <c r="K215" s="265"/>
      <c r="L215" s="265"/>
      <c r="M215" s="265"/>
      <c r="N215" s="265"/>
      <c r="O215" s="265"/>
      <c r="P215" s="265">
        <f>+T163+T162+T161+T159+T158+T157+T156+T154+T153+T152+T151+T150+T148+T147+T136+T135+T133+T130+T128+T119+T117+T111+T73+T49+T48+T46+T44+T43+T41+T38+T126+T116+T140+T89</f>
        <v>14720619.863044001</v>
      </c>
      <c r="Q215" s="265"/>
      <c r="R215" s="265"/>
      <c r="S215" s="228"/>
      <c r="T215" s="228">
        <v>303</v>
      </c>
      <c r="U215" s="265"/>
      <c r="V215" s="265"/>
      <c r="W215" s="265"/>
      <c r="X215" s="236">
        <f>+X8+X9+X10+X11+X13+X15+X17+X18+X19+X20+X21+X203+X16</f>
        <v>0</v>
      </c>
      <c r="Y215" s="228">
        <v>12.81</v>
      </c>
      <c r="Z215" s="1279">
        <f>+X215*Y215/100</f>
        <v>0</v>
      </c>
    </row>
    <row r="216" spans="1:26">
      <c r="A216" s="7">
        <v>197</v>
      </c>
      <c r="B216" s="267" t="s">
        <v>1395</v>
      </c>
      <c r="C216" s="228" t="s">
        <v>1590</v>
      </c>
      <c r="D216" s="265"/>
      <c r="E216" s="265"/>
      <c r="F216" s="265"/>
      <c r="G216" s="265"/>
      <c r="H216" s="265"/>
      <c r="I216" s="265"/>
      <c r="J216" s="265"/>
      <c r="K216" s="265"/>
      <c r="L216" s="265"/>
      <c r="M216" s="265"/>
      <c r="N216" s="265"/>
      <c r="O216" s="265"/>
      <c r="P216" s="265">
        <f>+T18+T166+T165+T83+T14+T12+T11+T9+T200</f>
        <v>1504034.5638239998</v>
      </c>
      <c r="Q216" s="265"/>
      <c r="R216" s="265"/>
      <c r="S216" s="228"/>
      <c r="T216" s="228">
        <v>367</v>
      </c>
      <c r="U216" s="265"/>
      <c r="V216" s="265"/>
      <c r="W216" s="265"/>
      <c r="X216" s="236">
        <f>+X141</f>
        <v>0</v>
      </c>
      <c r="Y216" s="228">
        <v>1.82</v>
      </c>
      <c r="Z216" s="1279">
        <f>+X216*Y216/100</f>
        <v>0</v>
      </c>
    </row>
    <row r="217" spans="1:26">
      <c r="A217" s="7">
        <v>198</v>
      </c>
      <c r="B217" s="267" t="s">
        <v>1439</v>
      </c>
      <c r="C217" s="228" t="s">
        <v>1591</v>
      </c>
      <c r="D217" s="265"/>
      <c r="E217" s="265"/>
      <c r="F217" s="265"/>
      <c r="G217" s="265"/>
      <c r="H217" s="265"/>
      <c r="I217" s="265"/>
      <c r="J217" s="265"/>
      <c r="K217" s="265"/>
      <c r="L217" s="265"/>
      <c r="M217" s="265"/>
      <c r="N217" s="265"/>
      <c r="O217" s="265"/>
      <c r="P217" s="265">
        <f>+T92+T75+T53</f>
        <v>23867.42</v>
      </c>
      <c r="Q217" s="265"/>
      <c r="R217" s="265"/>
      <c r="S217" s="228"/>
      <c r="T217" s="228">
        <v>376</v>
      </c>
      <c r="U217" s="265"/>
      <c r="V217" s="265"/>
      <c r="W217" s="265"/>
      <c r="X217" s="236">
        <f>+X149+X145+X144+X143+X142+X140+X138+X137+X127+X126+X125+X118+X113+X112+X108+X95+X94+X93+X90+X87+X84+X71+X64+X62+X40+X39+X122+X120+X89+X86+X83+X69+X115+X114+X160</f>
        <v>4274928.3499999996</v>
      </c>
      <c r="Y217" s="228">
        <v>1.25</v>
      </c>
      <c r="Z217" s="1279">
        <f t="shared" ref="Z217:Z226" si="40">+X217*Y217/100</f>
        <v>53436.604375000003</v>
      </c>
    </row>
    <row r="218" spans="1:26">
      <c r="A218" s="7">
        <v>199</v>
      </c>
      <c r="B218" s="267"/>
      <c r="C218" s="228"/>
      <c r="D218" s="265"/>
      <c r="E218" s="265"/>
      <c r="F218" s="265"/>
      <c r="G218" s="265"/>
      <c r="H218" s="265"/>
      <c r="I218" s="265"/>
      <c r="J218" s="265"/>
      <c r="K218" s="265"/>
      <c r="L218" s="265"/>
      <c r="M218" s="265"/>
      <c r="N218" s="265"/>
      <c r="O218" s="265"/>
      <c r="P218" s="265"/>
      <c r="Q218" s="265"/>
      <c r="R218" s="265"/>
      <c r="S218" s="228"/>
      <c r="T218" s="228">
        <v>378</v>
      </c>
      <c r="U218" s="265"/>
      <c r="V218" s="265"/>
      <c r="W218" s="265"/>
      <c r="X218" s="236">
        <f>+X116+X99+X98+X100+X67+X52+X42</f>
        <v>158998.25</v>
      </c>
      <c r="Y218" s="228">
        <v>1.92</v>
      </c>
      <c r="Z218" s="1279">
        <f t="shared" si="40"/>
        <v>3052.7664</v>
      </c>
    </row>
    <row r="219" spans="1:26">
      <c r="A219" s="7">
        <v>200</v>
      </c>
      <c r="B219" s="267"/>
      <c r="C219" s="228"/>
      <c r="D219" s="265"/>
      <c r="E219" s="265"/>
      <c r="F219" s="265"/>
      <c r="G219" s="265"/>
      <c r="H219" s="265"/>
      <c r="I219" s="265"/>
      <c r="J219" s="265"/>
      <c r="K219" s="265"/>
      <c r="L219" s="265"/>
      <c r="M219" s="265"/>
      <c r="N219" s="265"/>
      <c r="O219" s="265"/>
      <c r="P219" s="265">
        <f>SUM(P213:P217)+X208</f>
        <v>36980302.175659999</v>
      </c>
      <c r="Q219" s="265"/>
      <c r="R219" s="265"/>
      <c r="S219" s="228"/>
      <c r="T219" s="228">
        <v>380</v>
      </c>
      <c r="U219" s="265"/>
      <c r="V219" s="265"/>
      <c r="W219" s="265"/>
      <c r="X219" s="236">
        <f>+X50</f>
        <v>1160368.8400000001</v>
      </c>
      <c r="Y219" s="228">
        <v>3.88</v>
      </c>
      <c r="Z219" s="1279">
        <f t="shared" si="40"/>
        <v>45022.310991999999</v>
      </c>
    </row>
    <row r="220" spans="1:26">
      <c r="A220" s="7">
        <v>201</v>
      </c>
      <c r="B220" s="267"/>
      <c r="C220" s="228"/>
      <c r="D220" s="265"/>
      <c r="E220" s="265"/>
      <c r="F220" s="265"/>
      <c r="G220" s="265"/>
      <c r="H220" s="265"/>
      <c r="I220" s="265"/>
      <c r="J220" s="265"/>
      <c r="K220" s="265"/>
      <c r="L220" s="265"/>
      <c r="M220" s="265"/>
      <c r="N220" s="265"/>
      <c r="O220" s="265"/>
      <c r="P220" s="265">
        <f>+P219-T208</f>
        <v>-10547416.297660001</v>
      </c>
      <c r="Q220" s="265"/>
      <c r="R220" s="265"/>
      <c r="S220" s="228"/>
      <c r="T220" s="228">
        <v>381</v>
      </c>
      <c r="U220" s="265"/>
      <c r="V220" s="265"/>
      <c r="W220" s="265"/>
      <c r="X220" s="236">
        <f>+X110</f>
        <v>666648.68999999994</v>
      </c>
      <c r="Y220" s="228">
        <v>2.27</v>
      </c>
      <c r="Z220" s="1279">
        <f t="shared" si="40"/>
        <v>15132.925262999997</v>
      </c>
    </row>
    <row r="221" spans="1:26">
      <c r="A221" s="7">
        <v>202</v>
      </c>
      <c r="B221" s="267"/>
      <c r="C221" s="228"/>
      <c r="D221" s="265"/>
      <c r="E221" s="265"/>
      <c r="F221" s="265"/>
      <c r="G221" s="265"/>
      <c r="H221" s="265"/>
      <c r="I221" s="265"/>
      <c r="J221" s="265"/>
      <c r="K221" s="265"/>
      <c r="L221" s="265"/>
      <c r="M221" s="265"/>
      <c r="N221" s="265"/>
      <c r="O221" s="265"/>
      <c r="P221" s="265"/>
      <c r="Q221" s="265"/>
      <c r="R221" s="265"/>
      <c r="S221" s="228"/>
      <c r="T221" s="228">
        <v>382</v>
      </c>
      <c r="U221" s="265"/>
      <c r="V221" s="265"/>
      <c r="W221" s="265"/>
      <c r="X221" s="228"/>
      <c r="Y221" s="228"/>
      <c r="Z221" s="1279">
        <f t="shared" si="40"/>
        <v>0</v>
      </c>
    </row>
    <row r="222" spans="1:26">
      <c r="A222" s="7">
        <v>203</v>
      </c>
      <c r="B222" s="228"/>
      <c r="C222" s="228"/>
      <c r="D222" s="265"/>
      <c r="E222" s="265"/>
      <c r="F222" s="265"/>
      <c r="G222" s="265"/>
      <c r="H222" s="265"/>
      <c r="I222" s="265"/>
      <c r="J222" s="265"/>
      <c r="K222" s="265"/>
      <c r="L222" s="265"/>
      <c r="M222" s="265"/>
      <c r="N222" s="265"/>
      <c r="O222" s="265"/>
      <c r="P222" s="265"/>
      <c r="Q222" s="265"/>
      <c r="R222" s="265"/>
      <c r="S222" s="228"/>
      <c r="T222" s="228">
        <v>385</v>
      </c>
      <c r="U222" s="265"/>
      <c r="V222" s="265"/>
      <c r="W222" s="265"/>
      <c r="X222" s="236">
        <f>+X47+X45</f>
        <v>672425.8</v>
      </c>
      <c r="Y222" s="228">
        <v>2.1800000000000002</v>
      </c>
      <c r="Z222" s="1279">
        <f t="shared" si="40"/>
        <v>14658.882440000001</v>
      </c>
    </row>
    <row r="223" spans="1:26">
      <c r="A223" s="7">
        <v>204</v>
      </c>
      <c r="B223" s="228"/>
      <c r="C223" s="228"/>
      <c r="D223" s="265"/>
      <c r="E223" s="265"/>
      <c r="F223" s="265"/>
      <c r="G223" s="265"/>
      <c r="H223" s="265"/>
      <c r="I223" s="265"/>
      <c r="J223" s="265"/>
      <c r="K223" s="265"/>
      <c r="L223" s="265"/>
      <c r="M223" s="265"/>
      <c r="N223" s="265"/>
      <c r="O223" s="265"/>
      <c r="P223" s="265"/>
      <c r="Q223" s="265"/>
      <c r="R223" s="265"/>
      <c r="S223" s="228"/>
      <c r="T223" s="228">
        <v>390</v>
      </c>
      <c r="U223" s="265"/>
      <c r="V223" s="265"/>
      <c r="W223" s="265"/>
      <c r="X223" s="236">
        <f>+X178+X185</f>
        <v>0</v>
      </c>
      <c r="Y223" s="228">
        <v>1.24</v>
      </c>
      <c r="Z223" s="1279">
        <f t="shared" si="40"/>
        <v>0</v>
      </c>
    </row>
    <row r="224" spans="1:26">
      <c r="A224" s="7">
        <v>205</v>
      </c>
      <c r="B224" s="228"/>
      <c r="C224" s="228"/>
      <c r="D224" s="265"/>
      <c r="E224" s="265"/>
      <c r="F224" s="265"/>
      <c r="G224" s="265"/>
      <c r="H224" s="265"/>
      <c r="I224" s="265"/>
      <c r="J224" s="265"/>
      <c r="K224" s="265"/>
      <c r="L224" s="265"/>
      <c r="M224" s="265"/>
      <c r="N224" s="265"/>
      <c r="O224" s="265"/>
      <c r="P224" s="265"/>
      <c r="Q224" s="265"/>
      <c r="R224" s="265"/>
      <c r="S224" s="228"/>
      <c r="T224" s="228">
        <v>391</v>
      </c>
      <c r="U224" s="265"/>
      <c r="V224" s="265"/>
      <c r="W224" s="265"/>
      <c r="X224" s="236">
        <f>+X199+X198+X191+X184</f>
        <v>0</v>
      </c>
      <c r="Y224" s="228">
        <v>4.9800000000000004</v>
      </c>
      <c r="Z224" s="1279">
        <f t="shared" si="40"/>
        <v>0</v>
      </c>
    </row>
    <row r="225" spans="1:27">
      <c r="A225" s="7">
        <v>206</v>
      </c>
      <c r="B225" s="228"/>
      <c r="C225" s="228"/>
      <c r="D225" s="265"/>
      <c r="E225" s="265"/>
      <c r="F225" s="265"/>
      <c r="G225" s="265"/>
      <c r="H225" s="265"/>
      <c r="I225" s="265"/>
      <c r="J225" s="265"/>
      <c r="K225" s="265"/>
      <c r="L225" s="265"/>
      <c r="M225" s="265"/>
      <c r="N225" s="265"/>
      <c r="O225" s="265"/>
      <c r="P225" s="265"/>
      <c r="Q225" s="265"/>
      <c r="R225" s="265"/>
      <c r="S225" s="228"/>
      <c r="T225" s="228">
        <v>392</v>
      </c>
      <c r="U225" s="265"/>
      <c r="V225" s="265"/>
      <c r="W225" s="265"/>
      <c r="X225" s="236">
        <f>+X194+X193+X190+X188+X179+X175</f>
        <v>0</v>
      </c>
      <c r="Y225" s="228">
        <v>6.16</v>
      </c>
      <c r="Z225" s="1279">
        <f t="shared" si="40"/>
        <v>0</v>
      </c>
    </row>
    <row r="226" spans="1:27">
      <c r="A226" s="7">
        <v>207</v>
      </c>
      <c r="B226" s="228"/>
      <c r="C226" s="228"/>
      <c r="D226" s="265"/>
      <c r="E226" s="265"/>
      <c r="F226" s="265"/>
      <c r="G226" s="265"/>
      <c r="H226" s="265"/>
      <c r="I226" s="265"/>
      <c r="J226" s="265"/>
      <c r="K226" s="265"/>
      <c r="L226" s="265"/>
      <c r="M226" s="265"/>
      <c r="N226" s="265"/>
      <c r="O226" s="265"/>
      <c r="P226" s="265"/>
      <c r="Q226" s="265"/>
      <c r="R226" s="265"/>
      <c r="S226" s="228"/>
      <c r="T226" s="228">
        <v>394</v>
      </c>
      <c r="U226" s="265"/>
      <c r="V226" s="265"/>
      <c r="W226" s="265"/>
      <c r="X226" s="236">
        <f>+X201+X195+X192+X189+X187+X186+X183+X180</f>
        <v>591533.43000000005</v>
      </c>
      <c r="Y226" s="228">
        <v>3.55</v>
      </c>
      <c r="Z226" s="1279">
        <f t="shared" si="40"/>
        <v>20999.436765000002</v>
      </c>
    </row>
    <row r="227" spans="1:27">
      <c r="A227" s="7">
        <v>208</v>
      </c>
      <c r="B227" s="228"/>
      <c r="C227" s="228"/>
      <c r="D227" s="265"/>
      <c r="E227" s="265"/>
      <c r="F227" s="265"/>
      <c r="G227" s="265"/>
      <c r="H227" s="265"/>
      <c r="I227" s="265"/>
      <c r="J227" s="265"/>
      <c r="K227" s="265"/>
      <c r="L227" s="265"/>
      <c r="M227" s="265"/>
      <c r="N227" s="265"/>
      <c r="O227" s="265"/>
      <c r="P227" s="265"/>
      <c r="Q227" s="265"/>
      <c r="R227" s="265"/>
      <c r="S227" s="228"/>
      <c r="T227" s="228">
        <v>396</v>
      </c>
      <c r="U227" s="265"/>
      <c r="V227" s="265"/>
      <c r="W227" s="265"/>
      <c r="X227" s="236">
        <f>+X176+X171</f>
        <v>0</v>
      </c>
      <c r="Y227" s="228"/>
      <c r="Z227" s="1279"/>
    </row>
    <row r="228" spans="1:27">
      <c r="A228" s="7">
        <v>209</v>
      </c>
      <c r="B228" s="228"/>
      <c r="C228" s="228"/>
      <c r="D228" s="265"/>
      <c r="E228" s="265"/>
      <c r="F228" s="265"/>
      <c r="G228" s="265"/>
      <c r="H228" s="265"/>
      <c r="I228" s="265"/>
      <c r="J228" s="265"/>
      <c r="K228" s="265"/>
      <c r="L228" s="265"/>
      <c r="M228" s="265"/>
      <c r="N228" s="265"/>
      <c r="O228" s="265"/>
      <c r="P228" s="265"/>
      <c r="Q228" s="265"/>
      <c r="R228" s="265"/>
      <c r="S228" s="228"/>
      <c r="T228" s="228">
        <v>397</v>
      </c>
      <c r="U228" s="265"/>
      <c r="V228" s="265"/>
      <c r="W228" s="265"/>
      <c r="X228" s="236">
        <f>+X177+X172</f>
        <v>0</v>
      </c>
      <c r="Y228" s="228"/>
      <c r="Z228" s="1279"/>
    </row>
    <row r="229" spans="1:27">
      <c r="A229" s="7">
        <v>210</v>
      </c>
      <c r="B229" s="228"/>
      <c r="C229" s="228"/>
      <c r="D229" s="265"/>
      <c r="E229" s="265"/>
      <c r="F229" s="265"/>
      <c r="G229" s="265"/>
      <c r="H229" s="265"/>
      <c r="I229" s="265"/>
      <c r="J229" s="265"/>
      <c r="K229" s="265"/>
      <c r="L229" s="265"/>
      <c r="M229" s="265"/>
      <c r="N229" s="265"/>
      <c r="O229" s="265"/>
      <c r="P229" s="265"/>
      <c r="Q229" s="265"/>
      <c r="R229" s="265"/>
      <c r="S229" s="228"/>
      <c r="T229" s="228"/>
      <c r="U229" s="265"/>
      <c r="V229" s="265"/>
      <c r="W229" s="265"/>
      <c r="X229" s="228"/>
      <c r="Y229" s="228"/>
      <c r="Z229" s="1279"/>
    </row>
    <row r="230" spans="1:27">
      <c r="A230" s="7">
        <v>211</v>
      </c>
      <c r="B230" s="228"/>
      <c r="C230" s="228"/>
      <c r="D230" s="265"/>
      <c r="E230" s="265"/>
      <c r="F230" s="265"/>
      <c r="G230" s="265"/>
      <c r="H230" s="265"/>
      <c r="I230" s="265"/>
      <c r="J230" s="265"/>
      <c r="K230" s="265"/>
      <c r="L230" s="265"/>
      <c r="M230" s="265"/>
      <c r="N230" s="265"/>
      <c r="O230" s="265"/>
      <c r="P230" s="265"/>
      <c r="Q230" s="265"/>
      <c r="R230" s="265"/>
      <c r="S230" s="228" t="s">
        <v>881</v>
      </c>
      <c r="T230" s="228"/>
      <c r="U230" s="265"/>
      <c r="V230" s="265"/>
      <c r="W230" s="265"/>
      <c r="X230" s="1024">
        <f>+X208</f>
        <v>7524903.3599999994</v>
      </c>
      <c r="Y230" s="228"/>
      <c r="Z230" s="1279">
        <f>SUM(Z215:Z228)</f>
        <v>152302.92623499999</v>
      </c>
      <c r="AA230" s="5">
        <f>+Z230/X230</f>
        <v>2.0239851457042501E-2</v>
      </c>
    </row>
    <row r="231" spans="1:27">
      <c r="A231" s="7">
        <v>212</v>
      </c>
      <c r="B231" s="228"/>
      <c r="C231" s="228"/>
      <c r="D231" s="265"/>
      <c r="E231" s="265"/>
      <c r="F231" s="265"/>
      <c r="G231" s="265"/>
      <c r="H231" s="265"/>
      <c r="I231" s="265"/>
      <c r="J231" s="265"/>
      <c r="K231" s="265"/>
      <c r="L231" s="265"/>
      <c r="M231" s="265"/>
      <c r="N231" s="265"/>
      <c r="O231" s="265"/>
      <c r="P231" s="265"/>
      <c r="Q231" s="265"/>
      <c r="R231" s="265"/>
      <c r="S231" s="228"/>
      <c r="T231" s="228"/>
      <c r="U231" s="265"/>
      <c r="V231" s="265"/>
      <c r="W231" s="265"/>
      <c r="X231" s="228"/>
      <c r="Y231" s="228"/>
      <c r="Z231" s="1279"/>
    </row>
    <row r="232" spans="1:27">
      <c r="A232" s="7">
        <v>213</v>
      </c>
      <c r="B232" s="228"/>
      <c r="C232" s="228"/>
      <c r="D232" s="265"/>
      <c r="E232" s="265"/>
      <c r="F232" s="265"/>
      <c r="G232" s="265"/>
      <c r="H232" s="265"/>
      <c r="I232" s="265"/>
      <c r="J232" s="265"/>
      <c r="K232" s="265"/>
      <c r="L232" s="265"/>
      <c r="M232" s="265"/>
      <c r="N232" s="265"/>
      <c r="O232" s="265"/>
      <c r="P232" s="265"/>
      <c r="Q232" s="265"/>
      <c r="R232" s="265"/>
      <c r="S232" s="228"/>
      <c r="T232" s="228"/>
      <c r="U232" s="265"/>
      <c r="V232" s="265"/>
      <c r="W232" s="265"/>
      <c r="X232" s="236">
        <f>+X208-X230</f>
        <v>0</v>
      </c>
      <c r="Y232" s="228"/>
      <c r="Z232" s="1279"/>
    </row>
  </sheetData>
  <mergeCells count="4">
    <mergeCell ref="O1:R1"/>
    <mergeCell ref="O2:R2"/>
    <mergeCell ref="O3:R3"/>
    <mergeCell ref="O4:R4"/>
  </mergeCells>
  <pageMargins left="0.7" right="0.7" top="0.75" bottom="0.75" header="0.3" footer="0.3"/>
  <pageSetup scale="44" fitToHeight="0" orientation="portrait" useFirstPageNumber="1" r:id="rId1"/>
  <headerFooter scaleWithDoc="0" alignWithMargins="0">
    <oddHeader>&amp;RDocket No. UG-17_____
Exhibit _____ (MPP-6)
Page &amp;P of 7</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7"/>
  <sheetViews>
    <sheetView view="pageBreakPreview" zoomScale="80" zoomScaleNormal="100" zoomScaleSheetLayoutView="80" workbookViewId="0">
      <selection activeCell="B4" sqref="B4:H4"/>
    </sheetView>
  </sheetViews>
  <sheetFormatPr defaultColWidth="9.140625" defaultRowHeight="15.75"/>
  <cols>
    <col min="1" max="1" width="9.28515625" style="5" bestFit="1" customWidth="1"/>
    <col min="2" max="2" width="32.85546875" style="5" customWidth="1"/>
    <col min="3" max="3" width="2.42578125" style="5" customWidth="1"/>
    <col min="4" max="4" width="14" style="5" bestFit="1" customWidth="1"/>
    <col min="5" max="5" width="18.140625" style="5" bestFit="1" customWidth="1"/>
    <col min="6" max="6" width="14" style="5" bestFit="1" customWidth="1"/>
    <col min="7" max="7" width="2.28515625" style="5" customWidth="1"/>
    <col min="8" max="8" width="12.7109375" style="5" bestFit="1" customWidth="1"/>
    <col min="9" max="10" width="9.140625" style="5"/>
    <col min="11" max="11" width="14.28515625" style="5" bestFit="1" customWidth="1"/>
    <col min="12" max="16384" width="9.140625" style="5"/>
  </cols>
  <sheetData>
    <row r="2" spans="1:11">
      <c r="A2" s="1"/>
      <c r="B2" s="1287" t="s">
        <v>56</v>
      </c>
      <c r="C2" s="1287"/>
      <c r="D2" s="1287"/>
      <c r="E2" s="1287"/>
      <c r="F2" s="1287"/>
      <c r="G2" s="1287"/>
      <c r="H2" s="1287"/>
      <c r="I2" s="4"/>
      <c r="J2" s="4"/>
    </row>
    <row r="3" spans="1:11">
      <c r="A3" s="517"/>
      <c r="B3" s="1287" t="s">
        <v>1609</v>
      </c>
      <c r="C3" s="1287"/>
      <c r="D3" s="1287"/>
      <c r="E3" s="1287"/>
      <c r="F3" s="1287"/>
      <c r="G3" s="1287"/>
      <c r="H3" s="1287"/>
      <c r="I3" s="4"/>
      <c r="J3" s="4"/>
    </row>
    <row r="4" spans="1:11">
      <c r="A4" s="1"/>
      <c r="B4" s="1287"/>
      <c r="C4" s="1287"/>
      <c r="D4" s="1287"/>
      <c r="E4" s="1287"/>
      <c r="F4" s="1287"/>
      <c r="G4" s="1287"/>
      <c r="H4" s="1287"/>
      <c r="I4" s="4"/>
      <c r="J4" s="4"/>
    </row>
    <row r="5" spans="1:11">
      <c r="A5" s="518"/>
      <c r="B5" s="1287" t="s">
        <v>1613</v>
      </c>
      <c r="C5" s="1287"/>
      <c r="D5" s="1287"/>
      <c r="E5" s="1287"/>
      <c r="F5" s="1287"/>
      <c r="G5" s="1287"/>
      <c r="H5" s="1287"/>
      <c r="I5" s="4"/>
      <c r="J5" s="4"/>
    </row>
    <row r="6" spans="1:11">
      <c r="A6" s="518"/>
      <c r="B6" s="1287" t="s">
        <v>980</v>
      </c>
      <c r="C6" s="1287"/>
      <c r="D6" s="1287"/>
      <c r="E6" s="1287"/>
      <c r="F6" s="1287"/>
      <c r="G6" s="1287"/>
      <c r="H6" s="1287"/>
      <c r="I6" s="4"/>
      <c r="J6" s="4"/>
    </row>
    <row r="7" spans="1:11">
      <c r="A7" s="518"/>
      <c r="B7" s="19"/>
      <c r="C7" s="19"/>
      <c r="D7" s="19"/>
      <c r="E7" s="19"/>
      <c r="F7" s="19"/>
      <c r="H7" s="19"/>
      <c r="I7" s="4"/>
      <c r="J7" s="4"/>
    </row>
    <row r="8" spans="1:11" s="7" customFormat="1">
      <c r="A8" s="18"/>
      <c r="B8" s="18" t="s">
        <v>1623</v>
      </c>
      <c r="C8" s="18"/>
      <c r="D8" s="519" t="s">
        <v>1621</v>
      </c>
      <c r="E8" s="18" t="s">
        <v>1622</v>
      </c>
      <c r="F8" s="520" t="s">
        <v>1625</v>
      </c>
      <c r="H8" s="18" t="s">
        <v>1626</v>
      </c>
    </row>
    <row r="9" spans="1:11" ht="47.25">
      <c r="A9" s="521" t="s">
        <v>886</v>
      </c>
      <c r="B9" s="522" t="s">
        <v>377</v>
      </c>
      <c r="C9" s="523"/>
      <c r="D9" s="524" t="s">
        <v>2016</v>
      </c>
      <c r="E9" s="525" t="s">
        <v>1628</v>
      </c>
      <c r="F9" s="524" t="s">
        <v>1627</v>
      </c>
      <c r="H9" s="14" t="s">
        <v>1619</v>
      </c>
    </row>
    <row r="10" spans="1:11">
      <c r="A10" s="526"/>
      <c r="B10" s="526"/>
      <c r="C10" s="526"/>
      <c r="D10" s="524"/>
      <c r="E10" s="526"/>
      <c r="F10" s="527"/>
    </row>
    <row r="11" spans="1:11">
      <c r="A11" s="18"/>
      <c r="B11" s="521" t="s">
        <v>888</v>
      </c>
      <c r="C11" s="380"/>
      <c r="D11" s="528"/>
      <c r="E11" s="526"/>
      <c r="F11" s="527"/>
    </row>
    <row r="12" spans="1:11">
      <c r="A12" s="18">
        <v>1</v>
      </c>
      <c r="B12" s="526" t="s">
        <v>889</v>
      </c>
      <c r="C12" s="526"/>
      <c r="D12" s="1094">
        <v>0.76846000000000003</v>
      </c>
      <c r="E12" s="964">
        <f>+F42</f>
        <v>10634837</v>
      </c>
      <c r="F12" s="527">
        <f>ROUND(E12*D12,2)</f>
        <v>8172446.8399999999</v>
      </c>
      <c r="H12" s="531">
        <f>+F12-F26</f>
        <v>2900864.49</v>
      </c>
      <c r="I12" s="16"/>
      <c r="K12" s="75"/>
    </row>
    <row r="13" spans="1:11">
      <c r="A13" s="526"/>
      <c r="B13" s="526"/>
      <c r="C13" s="526"/>
      <c r="D13" s="528"/>
      <c r="E13" s="526"/>
      <c r="F13" s="527"/>
      <c r="H13" s="16"/>
      <c r="I13" s="16"/>
    </row>
    <row r="14" spans="1:11">
      <c r="A14" s="526"/>
      <c r="B14" s="521" t="s">
        <v>890</v>
      </c>
      <c r="C14" s="526"/>
      <c r="D14" s="528"/>
      <c r="E14" s="526"/>
      <c r="F14" s="527"/>
      <c r="H14" s="16"/>
      <c r="I14" s="16"/>
    </row>
    <row r="15" spans="1:11">
      <c r="A15" s="18">
        <v>2</v>
      </c>
      <c r="B15" s="526" t="s">
        <v>891</v>
      </c>
      <c r="C15" s="526"/>
      <c r="D15" s="1094">
        <v>0.73499999999999999</v>
      </c>
      <c r="E15" s="964">
        <f>+F43</f>
        <v>5838107</v>
      </c>
      <c r="F15" s="532">
        <f>ROUND(E15*D15,2)</f>
        <v>4291008.6500000004</v>
      </c>
      <c r="H15" s="531">
        <f>+F15-F29</f>
        <v>1412588.3700000006</v>
      </c>
      <c r="I15" s="16"/>
    </row>
    <row r="16" spans="1:11">
      <c r="A16" s="18"/>
      <c r="B16" s="526"/>
      <c r="C16" s="526"/>
      <c r="D16" s="529"/>
      <c r="E16" s="530"/>
      <c r="F16" s="532"/>
      <c r="H16" s="531"/>
      <c r="I16" s="16"/>
    </row>
    <row r="17" spans="1:9">
      <c r="A17" s="18"/>
      <c r="B17" s="521" t="s">
        <v>1912</v>
      </c>
      <c r="C17" s="526"/>
      <c r="D17" s="529"/>
      <c r="E17" s="530"/>
      <c r="F17" s="532"/>
      <c r="H17" s="531"/>
      <c r="I17" s="16"/>
    </row>
    <row r="18" spans="1:9">
      <c r="A18" s="18">
        <v>3</v>
      </c>
      <c r="B18" s="526" t="s">
        <v>1629</v>
      </c>
      <c r="C18" s="526"/>
      <c r="D18" s="529">
        <f>+D32+0.1462</f>
        <v>0.62613000000000008</v>
      </c>
      <c r="E18" s="533">
        <f>+F44</f>
        <v>0</v>
      </c>
      <c r="F18" s="527">
        <f>+D18*E18</f>
        <v>0</v>
      </c>
      <c r="H18" s="531">
        <f>+F18-F32</f>
        <v>0</v>
      </c>
      <c r="I18" s="16"/>
    </row>
    <row r="19" spans="1:9">
      <c r="A19" s="18">
        <v>4</v>
      </c>
      <c r="B19" s="526" t="s">
        <v>1630</v>
      </c>
      <c r="C19" s="526"/>
      <c r="D19" s="529">
        <f>+D35+0.02541</f>
        <v>0.50534000000000001</v>
      </c>
      <c r="E19" s="533">
        <f>+F45</f>
        <v>0</v>
      </c>
      <c r="F19" s="527">
        <f>+D19*E19</f>
        <v>0</v>
      </c>
      <c r="H19" s="531">
        <f>+F19-F35</f>
        <v>0</v>
      </c>
      <c r="I19" s="16"/>
    </row>
    <row r="20" spans="1:9">
      <c r="A20" s="526"/>
      <c r="B20" s="526"/>
      <c r="C20" s="526"/>
      <c r="D20" s="529"/>
      <c r="E20" s="533"/>
      <c r="F20" s="527"/>
      <c r="H20" s="531"/>
      <c r="I20" s="16"/>
    </row>
    <row r="21" spans="1:9" ht="16.5" thickBot="1">
      <c r="A21" s="18">
        <v>5</v>
      </c>
      <c r="B21" s="534" t="s">
        <v>881</v>
      </c>
      <c r="C21" s="535"/>
      <c r="D21" s="536"/>
      <c r="E21" s="537">
        <f>SUM(E12:E19)</f>
        <v>16472944</v>
      </c>
      <c r="F21" s="538">
        <f>SUM(F12:F19)</f>
        <v>12463455.49</v>
      </c>
      <c r="H21" s="539">
        <f>+H15+H19+H18+H12</f>
        <v>4313452.8600000013</v>
      </c>
      <c r="I21" s="16"/>
    </row>
    <row r="22" spans="1:9" ht="16.5" thickTop="1">
      <c r="A22" s="526"/>
      <c r="B22" s="526"/>
      <c r="C22" s="526"/>
      <c r="D22" s="528"/>
      <c r="E22" s="526"/>
      <c r="F22" s="527"/>
      <c r="H22" s="16"/>
      <c r="I22" s="16"/>
    </row>
    <row r="23" spans="1:9">
      <c r="A23" s="526"/>
      <c r="B23" s="521" t="s">
        <v>892</v>
      </c>
      <c r="C23" s="526"/>
      <c r="D23" s="528"/>
      <c r="E23" s="526"/>
      <c r="F23" s="527"/>
      <c r="H23" s="16"/>
      <c r="I23" s="16"/>
    </row>
    <row r="24" spans="1:9">
      <c r="A24" s="526"/>
      <c r="B24" s="526" t="s">
        <v>2023</v>
      </c>
      <c r="C24" s="526"/>
      <c r="D24" s="528"/>
      <c r="E24" s="526"/>
      <c r="F24" s="527"/>
      <c r="H24" s="16"/>
      <c r="I24" s="16"/>
    </row>
    <row r="25" spans="1:9">
      <c r="A25" s="18">
        <v>6</v>
      </c>
      <c r="B25" s="526" t="s">
        <v>1631</v>
      </c>
      <c r="C25" s="526"/>
      <c r="D25" s="528"/>
      <c r="E25" s="526"/>
      <c r="F25" s="527"/>
      <c r="H25" s="16"/>
      <c r="I25" s="16"/>
    </row>
    <row r="26" spans="1:9">
      <c r="A26" s="18">
        <v>7</v>
      </c>
      <c r="B26" s="526" t="s">
        <v>893</v>
      </c>
      <c r="C26" s="526"/>
      <c r="D26" s="529">
        <v>0.49569000000000002</v>
      </c>
      <c r="E26" s="530">
        <f>+F42</f>
        <v>10634837</v>
      </c>
      <c r="F26" s="532">
        <f>ROUND(D26*E26,2)</f>
        <v>5271582.3499999996</v>
      </c>
    </row>
    <row r="27" spans="1:9">
      <c r="A27" s="526"/>
      <c r="B27" s="526"/>
      <c r="C27" s="526"/>
      <c r="D27" s="528"/>
      <c r="E27" s="526"/>
      <c r="F27" s="532"/>
    </row>
    <row r="28" spans="1:9">
      <c r="A28" s="18">
        <v>8</v>
      </c>
      <c r="B28" s="526" t="s">
        <v>1632</v>
      </c>
      <c r="C28" s="526"/>
      <c r="D28" s="528"/>
      <c r="E28" s="526"/>
      <c r="F28" s="532"/>
    </row>
    <row r="29" spans="1:9">
      <c r="A29" s="18">
        <v>9</v>
      </c>
      <c r="B29" s="526" t="s">
        <v>893</v>
      </c>
      <c r="C29" s="526"/>
      <c r="D29" s="529">
        <v>0.49303999999999998</v>
      </c>
      <c r="E29" s="540">
        <f>+F43</f>
        <v>5838107</v>
      </c>
      <c r="F29" s="532">
        <f>ROUND(D29*E29,2)</f>
        <v>2878420.28</v>
      </c>
    </row>
    <row r="30" spans="1:9">
      <c r="A30" s="18"/>
      <c r="B30" s="526"/>
      <c r="C30" s="526"/>
      <c r="D30" s="529"/>
      <c r="E30" s="540"/>
      <c r="F30" s="532"/>
    </row>
    <row r="31" spans="1:9">
      <c r="A31" s="18">
        <v>10</v>
      </c>
      <c r="B31" s="526" t="s">
        <v>1633</v>
      </c>
      <c r="C31" s="526"/>
      <c r="D31" s="529"/>
      <c r="E31" s="540"/>
      <c r="F31" s="532"/>
    </row>
    <row r="32" spans="1:9">
      <c r="A32" s="18">
        <v>11</v>
      </c>
      <c r="B32" s="526" t="s">
        <v>893</v>
      </c>
      <c r="C32" s="526"/>
      <c r="D32" s="529">
        <v>0.47993000000000002</v>
      </c>
      <c r="E32" s="540">
        <f>+F44</f>
        <v>0</v>
      </c>
      <c r="F32" s="532">
        <f>+D32*E32</f>
        <v>0</v>
      </c>
    </row>
    <row r="33" spans="1:6">
      <c r="A33" s="18"/>
      <c r="B33" s="526"/>
      <c r="C33" s="526"/>
      <c r="D33" s="529"/>
      <c r="E33" s="540"/>
      <c r="F33" s="532"/>
    </row>
    <row r="34" spans="1:6">
      <c r="A34" s="18">
        <v>12</v>
      </c>
      <c r="B34" s="526" t="s">
        <v>1634</v>
      </c>
      <c r="C34" s="526"/>
      <c r="D34" s="529"/>
      <c r="E34" s="540"/>
      <c r="F34" s="532"/>
    </row>
    <row r="35" spans="1:6">
      <c r="A35" s="18">
        <v>13</v>
      </c>
      <c r="B35" s="526" t="s">
        <v>893</v>
      </c>
      <c r="C35" s="526"/>
      <c r="D35" s="529">
        <v>0.47993000000000002</v>
      </c>
      <c r="E35" s="540">
        <f>+E19</f>
        <v>0</v>
      </c>
      <c r="F35" s="532">
        <f>+D35*E35</f>
        <v>0</v>
      </c>
    </row>
    <row r="36" spans="1:6">
      <c r="A36" s="18"/>
      <c r="B36" s="526"/>
      <c r="C36" s="526"/>
      <c r="D36" s="529"/>
      <c r="E36" s="540"/>
      <c r="F36" s="532"/>
    </row>
    <row r="37" spans="1:6" ht="16.5" thickBot="1">
      <c r="A37" s="18">
        <v>14</v>
      </c>
      <c r="B37" s="526" t="s">
        <v>881</v>
      </c>
      <c r="C37" s="526"/>
      <c r="D37" s="526"/>
      <c r="E37" s="541">
        <f>SUM(E26:E35)</f>
        <v>16472944</v>
      </c>
      <c r="F37" s="542">
        <f>SUM(F26:F35)</f>
        <v>8150002.629999999</v>
      </c>
    </row>
    <row r="38" spans="1:6" ht="16.5" thickTop="1">
      <c r="A38" s="18">
        <v>15</v>
      </c>
      <c r="D38" s="7" t="s">
        <v>1134</v>
      </c>
      <c r="E38" s="7" t="s">
        <v>1914</v>
      </c>
      <c r="F38" s="544" t="s">
        <v>1915</v>
      </c>
    </row>
    <row r="39" spans="1:6">
      <c r="A39" s="18">
        <v>16</v>
      </c>
      <c r="D39" s="7" t="s">
        <v>1135</v>
      </c>
      <c r="E39" s="7" t="s">
        <v>1913</v>
      </c>
      <c r="F39" s="544" t="s">
        <v>1916</v>
      </c>
    </row>
    <row r="40" spans="1:6">
      <c r="A40" s="18">
        <v>17</v>
      </c>
      <c r="D40" s="7" t="s">
        <v>1913</v>
      </c>
      <c r="E40" s="7"/>
      <c r="F40" s="7" t="s">
        <v>58</v>
      </c>
    </row>
    <row r="41" spans="1:6">
      <c r="A41" s="18">
        <v>18</v>
      </c>
      <c r="D41" s="465" t="s">
        <v>1910</v>
      </c>
      <c r="E41" s="545" t="s">
        <v>1911</v>
      </c>
      <c r="F41" s="546"/>
    </row>
    <row r="42" spans="1:6">
      <c r="A42" s="18">
        <v>19</v>
      </c>
      <c r="B42" s="526" t="s">
        <v>889</v>
      </c>
      <c r="D42" s="960">
        <f>E42+F42</f>
        <v>117473081</v>
      </c>
      <c r="E42" s="547">
        <f>77646605+29191639</f>
        <v>106838244</v>
      </c>
      <c r="F42" s="962">
        <v>10634837</v>
      </c>
    </row>
    <row r="43" spans="1:6">
      <c r="A43" s="18">
        <v>20</v>
      </c>
      <c r="B43" s="526" t="s">
        <v>891</v>
      </c>
      <c r="D43" s="960">
        <f>E43+F43</f>
        <v>81588957</v>
      </c>
      <c r="E43" s="547">
        <f>55961538+19789312</f>
        <v>75750850</v>
      </c>
      <c r="F43" s="962">
        <v>5838107</v>
      </c>
    </row>
    <row r="44" spans="1:6">
      <c r="A44" s="18">
        <v>21</v>
      </c>
      <c r="B44" s="526" t="s">
        <v>1629</v>
      </c>
      <c r="D44" s="960">
        <f>E44+F44</f>
        <v>10823791</v>
      </c>
      <c r="E44" s="547">
        <f>1521701+4967619+4334471</f>
        <v>10823791</v>
      </c>
      <c r="F44" s="962"/>
    </row>
    <row r="45" spans="1:6">
      <c r="A45" s="18">
        <v>22</v>
      </c>
      <c r="B45" s="526" t="s">
        <v>1630</v>
      </c>
      <c r="D45" s="960">
        <f>E45+F45</f>
        <v>10292787</v>
      </c>
      <c r="E45" s="547">
        <f>7195184+2872027+225576</f>
        <v>10292787</v>
      </c>
      <c r="F45" s="962"/>
    </row>
    <row r="46" spans="1:6">
      <c r="D46" s="961">
        <f>SUM(D42:D45)</f>
        <v>220178616</v>
      </c>
      <c r="F46" s="963">
        <f>SUM(F42:F45)</f>
        <v>16472944</v>
      </c>
    </row>
    <row r="47" spans="1:6">
      <c r="D47" s="5" t="s">
        <v>52</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58"/>
  <sheetViews>
    <sheetView workbookViewId="0">
      <selection activeCell="B4" sqref="B4:M4"/>
    </sheetView>
  </sheetViews>
  <sheetFormatPr defaultColWidth="9.140625" defaultRowHeight="15"/>
  <cols>
    <col min="1" max="3" width="9.140625" style="3"/>
    <col min="4" max="4" width="14" style="3" bestFit="1" customWidth="1"/>
    <col min="5" max="7" width="9.140625" style="3"/>
    <col min="8" max="8" width="14.42578125" style="3" bestFit="1" customWidth="1"/>
    <col min="9" max="9" width="9.140625" style="3"/>
    <col min="10" max="10" width="15" style="3" bestFit="1" customWidth="1"/>
    <col min="11" max="11" width="9.140625" style="3"/>
    <col min="12" max="12" width="35.28515625" style="3" bestFit="1" customWidth="1"/>
    <col min="13" max="13" width="12.7109375" style="3" bestFit="1" customWidth="1"/>
    <col min="14" max="14" width="9.140625" style="3"/>
    <col min="15" max="15" width="27.7109375" style="3" bestFit="1" customWidth="1"/>
    <col min="16" max="16384" width="9.140625" style="3"/>
  </cols>
  <sheetData>
    <row r="1" spans="1:15" ht="15.75">
      <c r="B1" s="1298"/>
      <c r="C1" s="1298"/>
      <c r="D1" s="1298"/>
      <c r="E1" s="1298"/>
      <c r="F1" s="1298"/>
      <c r="G1" s="1298"/>
      <c r="H1" s="1298"/>
    </row>
    <row r="2" spans="1:15" ht="15.75">
      <c r="B2" s="1297" t="s">
        <v>56</v>
      </c>
      <c r="C2" s="1297"/>
      <c r="D2" s="1297"/>
      <c r="E2" s="1297"/>
      <c r="F2" s="1297"/>
      <c r="G2" s="1297"/>
      <c r="H2" s="1297"/>
      <c r="I2" s="1297"/>
      <c r="J2" s="1297"/>
      <c r="K2" s="1297"/>
      <c r="L2" s="1297"/>
      <c r="M2" s="1297"/>
    </row>
    <row r="3" spans="1:15" ht="15.75">
      <c r="B3" s="1297" t="s">
        <v>1609</v>
      </c>
      <c r="C3" s="1297"/>
      <c r="D3" s="1297"/>
      <c r="E3" s="1297"/>
      <c r="F3" s="1297"/>
      <c r="G3" s="1297"/>
      <c r="H3" s="1297"/>
      <c r="I3" s="1297"/>
      <c r="J3" s="1297"/>
      <c r="K3" s="1297"/>
      <c r="L3" s="1297"/>
      <c r="M3" s="1297"/>
    </row>
    <row r="4" spans="1:15" ht="15.75">
      <c r="B4" s="1297"/>
      <c r="C4" s="1297"/>
      <c r="D4" s="1297"/>
      <c r="E4" s="1297"/>
      <c r="F4" s="1297"/>
      <c r="G4" s="1297"/>
      <c r="H4" s="1297"/>
      <c r="I4" s="1297"/>
      <c r="J4" s="1297"/>
      <c r="K4" s="1297"/>
      <c r="L4" s="1297"/>
      <c r="M4" s="1297"/>
    </row>
    <row r="5" spans="1:15" ht="15.75">
      <c r="B5" s="1297" t="s">
        <v>1614</v>
      </c>
      <c r="C5" s="1297"/>
      <c r="D5" s="1297"/>
      <c r="E5" s="1297"/>
      <c r="F5" s="1297"/>
      <c r="G5" s="1297"/>
      <c r="H5" s="1297"/>
      <c r="I5" s="1297"/>
      <c r="J5" s="1297"/>
      <c r="K5" s="1297"/>
      <c r="L5" s="1297"/>
      <c r="M5" s="1297"/>
    </row>
    <row r="6" spans="1:15" ht="15.75">
      <c r="B6" s="1297" t="s">
        <v>980</v>
      </c>
      <c r="C6" s="1297"/>
      <c r="D6" s="1297"/>
      <c r="E6" s="1297"/>
      <c r="F6" s="1297"/>
      <c r="G6" s="1297"/>
      <c r="H6" s="1297"/>
      <c r="I6" s="1297"/>
      <c r="J6" s="1297"/>
      <c r="K6" s="1297"/>
      <c r="L6" s="1297"/>
      <c r="M6" s="1297"/>
    </row>
    <row r="7" spans="1:15" ht="15.75">
      <c r="D7" s="22"/>
    </row>
    <row r="8" spans="1:15" ht="15.75">
      <c r="A8" s="7"/>
      <c r="B8" s="7" t="s">
        <v>1623</v>
      </c>
      <c r="C8" s="7" t="s">
        <v>1621</v>
      </c>
      <c r="D8" s="7" t="s">
        <v>1622</v>
      </c>
      <c r="E8" s="7"/>
      <c r="F8" s="7" t="s">
        <v>1625</v>
      </c>
      <c r="G8" s="7"/>
      <c r="H8" s="7" t="s">
        <v>1626</v>
      </c>
      <c r="I8" s="7" t="s">
        <v>1635</v>
      </c>
      <c r="J8" s="553" t="s">
        <v>1636</v>
      </c>
      <c r="K8" s="7"/>
      <c r="L8" s="7" t="s">
        <v>1637</v>
      </c>
      <c r="M8" s="7" t="s">
        <v>1638</v>
      </c>
      <c r="N8" s="7"/>
      <c r="O8" s="7"/>
    </row>
    <row r="9" spans="1:15" ht="15.75">
      <c r="A9" s="554" t="s">
        <v>1175</v>
      </c>
      <c r="D9" s="22"/>
    </row>
    <row r="10" spans="1:15" ht="15.75">
      <c r="A10" s="554"/>
      <c r="D10" s="7" t="s">
        <v>1134</v>
      </c>
      <c r="O10" s="1070" t="s">
        <v>2065</v>
      </c>
    </row>
    <row r="11" spans="1:15" ht="15.75">
      <c r="A11" s="554"/>
      <c r="D11" s="7" t="s">
        <v>1135</v>
      </c>
      <c r="F11" s="7" t="s">
        <v>892</v>
      </c>
      <c r="H11" s="555" t="s">
        <v>892</v>
      </c>
      <c r="O11" s="1070">
        <v>1.0463677296140168</v>
      </c>
    </row>
    <row r="12" spans="1:15" ht="15.75">
      <c r="A12" s="10" t="s">
        <v>886</v>
      </c>
      <c r="D12" s="17" t="s">
        <v>887</v>
      </c>
      <c r="F12" s="7" t="s">
        <v>1361</v>
      </c>
      <c r="H12" s="555" t="s">
        <v>964</v>
      </c>
      <c r="O12" s="1070"/>
    </row>
    <row r="13" spans="1:15" ht="15.75">
      <c r="A13" s="7">
        <v>1</v>
      </c>
      <c r="B13" s="7">
        <v>503</v>
      </c>
      <c r="C13" s="5" t="s">
        <v>1959</v>
      </c>
      <c r="D13" s="1071">
        <v>121046013.892968</v>
      </c>
      <c r="F13" s="116">
        <v>0.49569000000000002</v>
      </c>
      <c r="H13" s="557">
        <v>60001298.62660531</v>
      </c>
      <c r="O13" s="1070">
        <v>0.49706652627584258</v>
      </c>
    </row>
    <row r="14" spans="1:15" ht="15.75">
      <c r="A14" s="7"/>
      <c r="B14" s="7"/>
      <c r="D14" s="556"/>
      <c r="F14" s="116"/>
      <c r="H14" s="557"/>
    </row>
    <row r="15" spans="1:15" ht="15.75">
      <c r="A15" s="7">
        <v>2</v>
      </c>
      <c r="B15" s="7">
        <v>504</v>
      </c>
      <c r="C15" s="5" t="s">
        <v>1960</v>
      </c>
      <c r="D15" s="1071">
        <v>83890933.665349752</v>
      </c>
      <c r="F15" s="116">
        <v>0.49303999999999998</v>
      </c>
      <c r="H15" s="557">
        <v>41361585.934364043</v>
      </c>
    </row>
    <row r="16" spans="1:15" ht="15.75">
      <c r="A16" s="7"/>
      <c r="B16" s="7"/>
      <c r="D16" s="556"/>
      <c r="F16" s="116"/>
      <c r="H16" s="557"/>
    </row>
    <row r="17" spans="1:16" ht="15.75">
      <c r="A17" s="7">
        <v>3</v>
      </c>
      <c r="B17" s="7">
        <v>505</v>
      </c>
      <c r="C17" s="5" t="s">
        <v>1961</v>
      </c>
      <c r="D17" s="1071">
        <v>10823791</v>
      </c>
      <c r="F17" s="116">
        <v>0.47993000000000002</v>
      </c>
      <c r="H17" s="557">
        <v>5194662.0146300001</v>
      </c>
    </row>
    <row r="18" spans="1:16" ht="15.75">
      <c r="A18" s="7"/>
      <c r="B18" s="7"/>
      <c r="D18" s="556"/>
      <c r="F18" s="116"/>
      <c r="H18" s="557"/>
    </row>
    <row r="19" spans="1:16" ht="15.75">
      <c r="A19" s="7">
        <v>4</v>
      </c>
      <c r="B19" s="7">
        <v>511</v>
      </c>
      <c r="C19" s="5" t="s">
        <v>1962</v>
      </c>
      <c r="D19" s="1071">
        <v>10292787</v>
      </c>
      <c r="F19" s="116">
        <v>0.47993000000000002</v>
      </c>
      <c r="H19" s="557">
        <v>4939817.2649100004</v>
      </c>
    </row>
    <row r="20" spans="1:16" ht="15.75">
      <c r="A20" s="7"/>
      <c r="B20" s="7"/>
      <c r="D20" s="556"/>
      <c r="F20" s="116"/>
      <c r="H20" s="557"/>
    </row>
    <row r="21" spans="1:16" ht="15.75">
      <c r="A21" s="7">
        <v>5</v>
      </c>
      <c r="B21" s="7">
        <v>570</v>
      </c>
      <c r="C21" s="5" t="s">
        <v>1963</v>
      </c>
      <c r="D21" s="1071">
        <v>3848935.3459285335</v>
      </c>
      <c r="F21" s="116">
        <v>0.46687000000000001</v>
      </c>
      <c r="H21" s="558">
        <v>1796952.4449536544</v>
      </c>
    </row>
    <row r="22" spans="1:16" ht="15.75">
      <c r="A22" s="7"/>
      <c r="B22" s="7"/>
      <c r="D22" s="22"/>
      <c r="H22" s="208"/>
    </row>
    <row r="23" spans="1:16" ht="15.75">
      <c r="A23" s="7">
        <v>6</v>
      </c>
      <c r="B23" s="5" t="s">
        <v>1898</v>
      </c>
      <c r="D23" s="22"/>
      <c r="H23" s="208">
        <v>113294316.28546301</v>
      </c>
      <c r="I23" s="1072" t="s">
        <v>2066</v>
      </c>
    </row>
    <row r="24" spans="1:16" ht="15.75">
      <c r="A24" s="7"/>
      <c r="G24" s="1073"/>
      <c r="H24" s="1073"/>
      <c r="I24" s="1073"/>
    </row>
    <row r="25" spans="1:16" ht="15.75">
      <c r="A25" s="7"/>
      <c r="B25" s="5" t="s">
        <v>1137</v>
      </c>
      <c r="G25" s="1073"/>
      <c r="H25" s="1073"/>
      <c r="I25" s="1073"/>
      <c r="M25" s="553" t="s">
        <v>964</v>
      </c>
      <c r="O25" s="1072" t="s">
        <v>2067</v>
      </c>
    </row>
    <row r="26" spans="1:16" ht="15.75">
      <c r="A26" s="7">
        <v>7</v>
      </c>
      <c r="C26" s="5" t="s">
        <v>1953</v>
      </c>
      <c r="G26" s="1073"/>
      <c r="H26" s="1073"/>
      <c r="I26" s="1073"/>
      <c r="J26" s="1074">
        <v>110133416.64000002</v>
      </c>
      <c r="M26" s="553" t="s">
        <v>58</v>
      </c>
      <c r="O26" s="1075">
        <v>110133416.64000002</v>
      </c>
      <c r="P26" s="5" t="s">
        <v>2068</v>
      </c>
    </row>
    <row r="27" spans="1:16" ht="15.75">
      <c r="A27" s="7">
        <v>8</v>
      </c>
      <c r="C27" s="5" t="s">
        <v>1954</v>
      </c>
      <c r="G27" s="1073"/>
      <c r="H27" s="1073"/>
      <c r="I27" s="1073"/>
      <c r="J27" s="1074">
        <v>8150002.629999999</v>
      </c>
      <c r="M27" s="208"/>
      <c r="O27" s="1075">
        <v>8150002.629999999</v>
      </c>
      <c r="P27" s="5" t="s">
        <v>2069</v>
      </c>
    </row>
    <row r="28" spans="1:16" ht="15.75">
      <c r="A28" s="7">
        <v>9</v>
      </c>
      <c r="C28" s="5" t="s">
        <v>1899</v>
      </c>
      <c r="G28" s="1073"/>
      <c r="I28" s="1076" t="s">
        <v>10</v>
      </c>
      <c r="J28" s="1077">
        <v>488031.55000002589</v>
      </c>
      <c r="L28" s="208">
        <v>118771450.82000004</v>
      </c>
      <c r="M28" s="1078">
        <v>-5477134.5345370322</v>
      </c>
      <c r="O28" s="1075">
        <v>488031.5500000295</v>
      </c>
      <c r="P28" s="5" t="s">
        <v>2070</v>
      </c>
    </row>
    <row r="29" spans="1:16" ht="15.75">
      <c r="A29" s="7">
        <v>10</v>
      </c>
      <c r="C29" s="5" t="s">
        <v>1964</v>
      </c>
      <c r="G29" s="1073"/>
      <c r="I29" s="1076" t="s">
        <v>1597</v>
      </c>
      <c r="J29" s="1077">
        <v>346008.79999999795</v>
      </c>
      <c r="L29" s="208">
        <v>346008.79999999795</v>
      </c>
      <c r="M29" s="562">
        <v>-346008.79999999795</v>
      </c>
      <c r="O29" s="1079">
        <v>118771450.82000004</v>
      </c>
    </row>
    <row r="30" spans="1:16" ht="15.75">
      <c r="A30" s="554" t="s">
        <v>1174</v>
      </c>
      <c r="G30" s="1073"/>
      <c r="H30" s="1073"/>
      <c r="I30" s="1073"/>
      <c r="J30" s="74"/>
      <c r="L30" s="208"/>
      <c r="M30" s="208"/>
    </row>
    <row r="32" spans="1:16" ht="15.75">
      <c r="B32" s="7" t="s">
        <v>1131</v>
      </c>
      <c r="C32" s="7"/>
      <c r="D32" s="7" t="s">
        <v>1134</v>
      </c>
      <c r="E32" s="7"/>
      <c r="F32" s="7" t="s">
        <v>1132</v>
      </c>
      <c r="G32" s="7"/>
      <c r="H32" s="7" t="s">
        <v>1133</v>
      </c>
      <c r="I32" s="7"/>
      <c r="J32" s="7" t="s">
        <v>54</v>
      </c>
      <c r="K32" s="7"/>
      <c r="L32" s="7" t="s">
        <v>979</v>
      </c>
    </row>
    <row r="33" spans="1:16" ht="15.75">
      <c r="B33" s="7"/>
      <c r="D33" s="7" t="s">
        <v>1135</v>
      </c>
      <c r="F33" s="7" t="s">
        <v>1136</v>
      </c>
      <c r="G33" s="7"/>
      <c r="H33" s="7" t="s">
        <v>1136</v>
      </c>
      <c r="J33" s="7" t="s">
        <v>1965</v>
      </c>
    </row>
    <row r="34" spans="1:16" ht="15.75">
      <c r="B34" s="7"/>
      <c r="D34" s="7" t="s">
        <v>887</v>
      </c>
      <c r="J34" s="7" t="s">
        <v>1966</v>
      </c>
    </row>
    <row r="35" spans="1:16" ht="15.75">
      <c r="A35" s="10" t="s">
        <v>886</v>
      </c>
      <c r="B35" s="7"/>
      <c r="D35" s="22"/>
      <c r="L35" s="208"/>
    </row>
    <row r="36" spans="1:16" ht="15.75">
      <c r="A36" s="7">
        <v>11</v>
      </c>
      <c r="B36" s="7">
        <v>503</v>
      </c>
      <c r="D36" s="1071">
        <v>121046013.892968</v>
      </c>
      <c r="F36" s="116">
        <v>0.30640000000000001</v>
      </c>
      <c r="H36" s="5">
        <v>0.16864000000000001</v>
      </c>
      <c r="J36" s="116">
        <v>0.47504000000000002</v>
      </c>
      <c r="L36" s="557">
        <v>57501698.43971552</v>
      </c>
    </row>
    <row r="37" spans="1:16" ht="15.75">
      <c r="A37" s="7"/>
      <c r="B37" s="7"/>
      <c r="D37" s="556"/>
      <c r="F37" s="116"/>
      <c r="J37" s="116"/>
      <c r="L37" s="557"/>
    </row>
    <row r="38" spans="1:16" ht="15.75">
      <c r="A38" s="7">
        <v>12</v>
      </c>
      <c r="B38" s="7">
        <v>504</v>
      </c>
      <c r="D38" s="1071">
        <v>83890933.665349752</v>
      </c>
      <c r="F38" s="116">
        <v>0.30640000000000001</v>
      </c>
      <c r="H38" s="116">
        <v>0.1661</v>
      </c>
      <c r="J38" s="116">
        <v>0.47250000000000003</v>
      </c>
      <c r="L38" s="557">
        <v>39638466.156877764</v>
      </c>
    </row>
    <row r="39" spans="1:16" ht="15.75">
      <c r="A39" s="7"/>
      <c r="B39" s="7"/>
      <c r="D39" s="556"/>
      <c r="F39" s="116"/>
      <c r="J39" s="116"/>
      <c r="L39" s="557"/>
    </row>
    <row r="40" spans="1:16" ht="15.75">
      <c r="A40" s="7">
        <v>13</v>
      </c>
      <c r="B40" s="7">
        <v>505</v>
      </c>
      <c r="D40" s="1071">
        <v>10823791</v>
      </c>
      <c r="F40" s="116">
        <v>0.30640000000000001</v>
      </c>
      <c r="H40" s="5">
        <v>0.15354999999999999</v>
      </c>
      <c r="J40" s="116">
        <v>0.45994999999999997</v>
      </c>
      <c r="L40" s="557">
        <v>4978402.6704500001</v>
      </c>
    </row>
    <row r="41" spans="1:16" ht="15.75">
      <c r="A41" s="7"/>
      <c r="B41" s="7"/>
      <c r="D41" s="556"/>
      <c r="F41" s="116"/>
      <c r="J41" s="116"/>
      <c r="L41" s="557"/>
    </row>
    <row r="42" spans="1:16" ht="15.75">
      <c r="A42" s="7">
        <v>14</v>
      </c>
      <c r="B42" s="7">
        <v>511</v>
      </c>
      <c r="D42" s="1071">
        <v>10292787</v>
      </c>
      <c r="F42" s="116">
        <v>0.30640000000000001</v>
      </c>
      <c r="H42" s="5">
        <v>0.15354999999999999</v>
      </c>
      <c r="J42" s="116">
        <v>0.45994999999999997</v>
      </c>
      <c r="L42" s="557">
        <v>4734167.3806499997</v>
      </c>
    </row>
    <row r="43" spans="1:16" ht="15.75">
      <c r="A43" s="7"/>
      <c r="B43" s="7"/>
      <c r="D43" s="556"/>
      <c r="F43" s="116"/>
      <c r="J43" s="116"/>
      <c r="L43" s="557"/>
    </row>
    <row r="44" spans="1:16" ht="15.75">
      <c r="A44" s="7">
        <v>15</v>
      </c>
      <c r="B44" s="7">
        <v>570</v>
      </c>
      <c r="D44" s="1071">
        <v>3848935.3459285335</v>
      </c>
      <c r="F44" s="116">
        <v>0.30640000000000001</v>
      </c>
      <c r="H44" s="5">
        <v>0.14105000000000001</v>
      </c>
      <c r="J44" s="116">
        <v>0.44745000000000001</v>
      </c>
      <c r="L44" s="558">
        <v>1722206.1205357225</v>
      </c>
    </row>
    <row r="45" spans="1:16" ht="15.75">
      <c r="A45" s="7"/>
      <c r="B45" s="7"/>
      <c r="D45" s="22"/>
      <c r="M45" s="7" t="s">
        <v>892</v>
      </c>
    </row>
    <row r="46" spans="1:16" ht="15.75">
      <c r="A46" s="7">
        <v>16</v>
      </c>
      <c r="B46" s="5" t="s">
        <v>1897</v>
      </c>
      <c r="L46" s="208">
        <v>108574940.76822901</v>
      </c>
      <c r="M46" s="7" t="s">
        <v>58</v>
      </c>
    </row>
    <row r="47" spans="1:16" ht="15.75">
      <c r="A47" s="7"/>
      <c r="L47" s="1072" t="s">
        <v>2071</v>
      </c>
    </row>
    <row r="48" spans="1:16" ht="15.75">
      <c r="A48" s="7">
        <v>17</v>
      </c>
      <c r="B48" s="5" t="s">
        <v>1895</v>
      </c>
      <c r="L48" s="208">
        <v>111743867.15000001</v>
      </c>
      <c r="M48" s="1080">
        <v>-3168926.3817709982</v>
      </c>
      <c r="O48" s="1081">
        <v>103593864.52000001</v>
      </c>
      <c r="P48" s="5" t="s">
        <v>2072</v>
      </c>
    </row>
    <row r="49" spans="3:16" ht="15.75">
      <c r="C49" s="5" t="s">
        <v>1896</v>
      </c>
      <c r="L49" s="1072" t="s">
        <v>2073</v>
      </c>
      <c r="O49" s="1081">
        <v>8150002.629999999</v>
      </c>
      <c r="P49" s="5" t="s">
        <v>2069</v>
      </c>
    </row>
    <row r="50" spans="3:16" ht="15.75">
      <c r="L50" s="208"/>
      <c r="M50" s="208"/>
      <c r="O50" s="1079">
        <v>111743867.15000001</v>
      </c>
    </row>
    <row r="52" spans="3:16" ht="15.75">
      <c r="L52" s="208"/>
      <c r="M52" s="208"/>
    </row>
    <row r="53" spans="3:16" ht="15.75">
      <c r="J53" s="74"/>
      <c r="L53" s="208"/>
    </row>
    <row r="54" spans="3:16" ht="15.75">
      <c r="L54" s="208"/>
    </row>
    <row r="55" spans="3:16" ht="15.75">
      <c r="L55" s="208"/>
    </row>
    <row r="57" spans="3:16" ht="15.75">
      <c r="J57" s="74"/>
      <c r="L57" s="208"/>
      <c r="M57" s="208"/>
    </row>
    <row r="58" spans="3:16" ht="15.75">
      <c r="J58" s="74"/>
      <c r="L58" s="208"/>
      <c r="M58" s="396"/>
    </row>
  </sheetData>
  <mergeCells count="6">
    <mergeCell ref="B6:M6"/>
    <mergeCell ref="B1:H1"/>
    <mergeCell ref="B2:M2"/>
    <mergeCell ref="B3:M3"/>
    <mergeCell ref="B4:M4"/>
    <mergeCell ref="B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B27" sqref="B27"/>
    </sheetView>
  </sheetViews>
  <sheetFormatPr defaultColWidth="14" defaultRowHeight="15.75"/>
  <cols>
    <col min="1" max="1" width="2.140625" style="5" bestFit="1" customWidth="1"/>
    <col min="2" max="2" width="14" style="5"/>
    <col min="3" max="3" width="25.140625" style="5" customWidth="1"/>
    <col min="4" max="16384" width="14" style="5"/>
  </cols>
  <sheetData>
    <row r="1" spans="1:7">
      <c r="A1" s="101"/>
      <c r="B1" s="101"/>
      <c r="C1" s="101"/>
      <c r="D1" s="101"/>
    </row>
    <row r="5" spans="1:7">
      <c r="B5" s="1299" t="s">
        <v>114</v>
      </c>
      <c r="C5" s="1300"/>
      <c r="D5" s="1301"/>
    </row>
    <row r="6" spans="1:7">
      <c r="B6" s="1292" t="s">
        <v>113</v>
      </c>
      <c r="C6" s="1285"/>
      <c r="D6" s="1293"/>
    </row>
    <row r="7" spans="1:7">
      <c r="B7" s="1292" t="s">
        <v>985</v>
      </c>
      <c r="C7" s="1285"/>
      <c r="D7" s="1293"/>
    </row>
    <row r="8" spans="1:7">
      <c r="A8" s="6"/>
      <c r="B8" s="952"/>
      <c r="C8" s="953"/>
      <c r="D8" s="954"/>
    </row>
    <row r="9" spans="1:7">
      <c r="A9" s="102"/>
      <c r="B9" s="102"/>
      <c r="C9" s="102"/>
      <c r="D9" s="102"/>
    </row>
    <row r="11" spans="1:7">
      <c r="A11" s="5">
        <v>1</v>
      </c>
      <c r="B11" s="5" t="s">
        <v>69</v>
      </c>
      <c r="D11" s="100">
        <f>+'ROO Summary Sheet'!I40</f>
        <v>277543876.64098871</v>
      </c>
      <c r="G11" s="13"/>
    </row>
    <row r="12" spans="1:7">
      <c r="A12" s="5">
        <v>2</v>
      </c>
      <c r="B12" s="5" t="s">
        <v>14</v>
      </c>
      <c r="D12" s="103">
        <f>+'Capital Structure Calculation'!J14</f>
        <v>7.213E-2</v>
      </c>
    </row>
    <row r="14" spans="1:7">
      <c r="A14" s="5">
        <v>3</v>
      </c>
      <c r="B14" s="5" t="s">
        <v>70</v>
      </c>
      <c r="D14" s="104">
        <f>+D11*D12</f>
        <v>20019239.822114516</v>
      </c>
    </row>
    <row r="15" spans="1:7">
      <c r="A15" s="5">
        <v>4</v>
      </c>
      <c r="B15" s="5" t="s">
        <v>71</v>
      </c>
      <c r="D15" s="105">
        <f>+'ROO Summary Sheet'!I32</f>
        <v>22084392.750846833</v>
      </c>
    </row>
    <row r="16" spans="1:7">
      <c r="D16" s="104"/>
    </row>
    <row r="17" spans="1:4">
      <c r="A17" s="5">
        <v>5</v>
      </c>
      <c r="B17" s="5" t="s">
        <v>74</v>
      </c>
      <c r="D17" s="104">
        <f>+D14-D15</f>
        <v>-2065152.9287323169</v>
      </c>
    </row>
    <row r="19" spans="1:4">
      <c r="A19" s="5">
        <v>6</v>
      </c>
      <c r="B19" s="5" t="s">
        <v>72</v>
      </c>
      <c r="D19" s="106">
        <f>+'Conversion Factor'!C25</f>
        <v>0.62119652738122133</v>
      </c>
    </row>
    <row r="21" spans="1:4" ht="16.5" thickBot="1">
      <c r="A21" s="5">
        <v>7</v>
      </c>
      <c r="B21" s="5" t="s">
        <v>73</v>
      </c>
      <c r="D21" s="107">
        <f>+D17/D19</f>
        <v>-3324475.9712974955</v>
      </c>
    </row>
    <row r="22" spans="1:4" ht="16.5" thickTop="1">
      <c r="D22" s="104"/>
    </row>
    <row r="23" spans="1:4">
      <c r="A23" s="5">
        <v>8</v>
      </c>
      <c r="B23" s="5" t="s">
        <v>110</v>
      </c>
      <c r="D23" s="104">
        <f>+'ROO Summary Sheet'!I16</f>
        <v>219173609.02029479</v>
      </c>
    </row>
    <row r="25" spans="1:4">
      <c r="A25" s="5">
        <v>9</v>
      </c>
      <c r="B25" s="5" t="s">
        <v>1599</v>
      </c>
      <c r="D25" s="108">
        <f>+D21/D23</f>
        <v>-1.5168231185122564E-2</v>
      </c>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UG-17_____
Exhibit _____ (MPP-3)
Page 1 o f 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5" workbookViewId="0">
      <selection activeCell="C32" sqref="C32"/>
    </sheetView>
  </sheetViews>
  <sheetFormatPr defaultColWidth="9.140625" defaultRowHeight="15.75"/>
  <cols>
    <col min="1" max="1" width="34" style="5" bestFit="1" customWidth="1"/>
    <col min="2" max="2" width="9.140625" style="5"/>
    <col min="3" max="3" width="21.28515625" style="116" customWidth="1"/>
    <col min="4" max="16384" width="9.140625" style="5"/>
  </cols>
  <sheetData>
    <row r="1" spans="1:7">
      <c r="A1" s="1283" t="s">
        <v>114</v>
      </c>
      <c r="B1" s="1283"/>
      <c r="C1" s="1283"/>
    </row>
    <row r="2" spans="1:7">
      <c r="A2" s="1283" t="s">
        <v>1607</v>
      </c>
      <c r="B2" s="1283"/>
      <c r="C2" s="1283"/>
    </row>
    <row r="3" spans="1:7">
      <c r="A3" s="1305" t="s">
        <v>980</v>
      </c>
      <c r="B3" s="1305"/>
      <c r="C3" s="1305"/>
    </row>
    <row r="4" spans="1:7">
      <c r="A4" s="1302" t="s">
        <v>15</v>
      </c>
      <c r="B4" s="1303"/>
      <c r="C4" s="1304"/>
    </row>
    <row r="5" spans="1:7">
      <c r="A5" s="109"/>
      <c r="B5" s="110"/>
      <c r="C5" s="111"/>
    </row>
    <row r="6" spans="1:7">
      <c r="A6" s="109" t="s">
        <v>16</v>
      </c>
      <c r="B6" s="110"/>
      <c r="C6" s="111">
        <v>1</v>
      </c>
    </row>
    <row r="7" spans="1:7">
      <c r="A7" s="112" t="s">
        <v>17</v>
      </c>
      <c r="B7" s="110"/>
      <c r="C7" s="111"/>
    </row>
    <row r="8" spans="1:7">
      <c r="A8" s="113" t="s">
        <v>18</v>
      </c>
      <c r="B8" s="110"/>
      <c r="C8" s="114">
        <f>+'Operating Report'!G90/'Operating Report'!G27</f>
        <v>3.7930347981210235E-3</v>
      </c>
    </row>
    <row r="9" spans="1:7">
      <c r="A9" s="113" t="s">
        <v>902</v>
      </c>
      <c r="B9" s="110"/>
      <c r="C9" s="115">
        <v>3.8519999999999999E-2</v>
      </c>
    </row>
    <row r="10" spans="1:7">
      <c r="A10" s="113" t="s">
        <v>901</v>
      </c>
      <c r="B10" s="110"/>
      <c r="C10" s="114">
        <v>2E-3</v>
      </c>
      <c r="D10" s="116">
        <f>+C8+C9+C10</f>
        <v>4.4313034798121022E-2</v>
      </c>
    </row>
    <row r="11" spans="1:7">
      <c r="A11" s="112" t="s">
        <v>19</v>
      </c>
      <c r="B11" s="110"/>
      <c r="C11" s="117"/>
      <c r="G11" s="13"/>
    </row>
    <row r="12" spans="1:7" ht="16.5" thickBot="1">
      <c r="A12" s="112" t="s">
        <v>20</v>
      </c>
      <c r="B12" s="110"/>
      <c r="C12" s="118">
        <f>+C6-SUM(C8:C11)</f>
        <v>0.95568696520187901</v>
      </c>
    </row>
    <row r="13" spans="1:7">
      <c r="A13" s="119"/>
      <c r="B13" s="110"/>
      <c r="C13" s="111"/>
    </row>
    <row r="14" spans="1:7" ht="16.5" thickBot="1">
      <c r="A14" s="112" t="s">
        <v>21</v>
      </c>
      <c r="B14" s="110"/>
      <c r="C14" s="120">
        <v>0</v>
      </c>
    </row>
    <row r="15" spans="1:7">
      <c r="A15" s="119"/>
      <c r="B15" s="110"/>
      <c r="C15" s="111"/>
    </row>
    <row r="16" spans="1:7" ht="16.5" thickBot="1">
      <c r="A16" s="119" t="s">
        <v>22</v>
      </c>
      <c r="B16" s="110"/>
      <c r="C16" s="120">
        <f>+C12-C14</f>
        <v>0.95568696520187901</v>
      </c>
    </row>
    <row r="17" spans="1:3">
      <c r="A17" s="119"/>
      <c r="B17" s="110"/>
      <c r="C17" s="111"/>
    </row>
    <row r="18" spans="1:3" ht="16.5" thickBot="1">
      <c r="A18" s="119" t="s">
        <v>23</v>
      </c>
      <c r="B18" s="110"/>
      <c r="C18" s="120">
        <f>+C16*C31</f>
        <v>0.33449043782065763</v>
      </c>
    </row>
    <row r="19" spans="1:3">
      <c r="A19" s="119"/>
      <c r="B19" s="110"/>
      <c r="C19" s="117"/>
    </row>
    <row r="20" spans="1:3" ht="16.5" thickBot="1">
      <c r="A20" s="119" t="s">
        <v>64</v>
      </c>
      <c r="B20" s="110"/>
      <c r="C20" s="118">
        <f>+C14+C18</f>
        <v>0.33449043782065763</v>
      </c>
    </row>
    <row r="21" spans="1:3">
      <c r="A21" s="119"/>
      <c r="B21" s="110"/>
      <c r="C21" s="111"/>
    </row>
    <row r="22" spans="1:3" ht="16.5" thickBot="1">
      <c r="A22" s="119" t="s">
        <v>24</v>
      </c>
      <c r="B22" s="110"/>
      <c r="C22" s="120">
        <f>SUM(C8:C11)+C20</f>
        <v>0.37880347261877867</v>
      </c>
    </row>
    <row r="23" spans="1:3">
      <c r="A23" s="119"/>
      <c r="B23" s="110"/>
      <c r="C23" s="111"/>
    </row>
    <row r="24" spans="1:3">
      <c r="A24" s="119" t="s">
        <v>1606</v>
      </c>
      <c r="B24" s="110"/>
      <c r="C24" s="111"/>
    </row>
    <row r="25" spans="1:3" ht="16.5" thickBot="1">
      <c r="A25" s="119" t="s">
        <v>25</v>
      </c>
      <c r="B25" s="110"/>
      <c r="C25" s="121">
        <f>+C6-C22</f>
        <v>0.62119652738122133</v>
      </c>
    </row>
    <row r="26" spans="1:3">
      <c r="A26" s="122"/>
      <c r="B26" s="123"/>
      <c r="C26" s="117"/>
    </row>
    <row r="27" spans="1:3">
      <c r="A27" s="109"/>
      <c r="B27" s="110"/>
      <c r="C27" s="111"/>
    </row>
    <row r="28" spans="1:3">
      <c r="A28" s="109"/>
      <c r="B28" s="110"/>
      <c r="C28" s="111"/>
    </row>
    <row r="29" spans="1:3">
      <c r="A29" s="124" t="s">
        <v>97</v>
      </c>
      <c r="B29" s="125"/>
      <c r="C29" s="126"/>
    </row>
    <row r="30" spans="1:3">
      <c r="A30" s="124" t="s">
        <v>98</v>
      </c>
      <c r="B30" s="125"/>
      <c r="C30" s="126">
        <v>0</v>
      </c>
    </row>
    <row r="31" spans="1:3">
      <c r="A31" s="124" t="s">
        <v>99</v>
      </c>
      <c r="B31" s="125"/>
      <c r="C31" s="126">
        <v>0.35</v>
      </c>
    </row>
    <row r="32" spans="1:3">
      <c r="A32" s="127"/>
      <c r="B32" s="125"/>
      <c r="C32" s="128"/>
    </row>
    <row r="33" spans="1:3">
      <c r="A33" s="129" t="s">
        <v>100</v>
      </c>
      <c r="B33" s="130"/>
      <c r="C33" s="131">
        <f>ROUND(((1-C30)*C31)+C30,5)</f>
        <v>0.35</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UG-17_____
Exhibit _____ (MPP-4)
Page 1 o 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A2CD25C-7DD1-4CF6-BB0A-F686D10975CD}">
  <ds:schemaRefs>
    <ds:schemaRef ds:uri="http://schemas.microsoft.com/sharepoint/v3/contenttype/forms"/>
  </ds:schemaRefs>
</ds:datastoreItem>
</file>

<file path=customXml/itemProps2.xml><?xml version="1.0" encoding="utf-8"?>
<ds:datastoreItem xmlns:ds="http://schemas.openxmlformats.org/officeDocument/2006/customXml" ds:itemID="{0190E938-5AF7-4B52-9B56-D736688E29B7}"/>
</file>

<file path=customXml/itemProps3.xml><?xml version="1.0" encoding="utf-8"?>
<ds:datastoreItem xmlns:ds="http://schemas.openxmlformats.org/officeDocument/2006/customXml" ds:itemID="{7421588D-2DC6-41E6-84DD-0122E1CA4047}">
  <ds:schemaRefs>
    <ds:schemaRef ds:uri="http://purl.org/dc/terms/"/>
    <ds:schemaRef ds:uri="24f70c62-691b-492e-ba59-9d389529a97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0689114-bdb9-4146-803a-240f5368dce0"/>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ED732C2B-F1D8-4086-ABEF-A367ED9E29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25</vt:i4>
      </vt:variant>
    </vt:vector>
  </HeadingPairs>
  <TitlesOfParts>
    <vt:vector size="57" baseType="lpstr">
      <vt:lpstr>ROO Summary Sheet</vt:lpstr>
      <vt:lpstr>Exh KMH-2, ROO Pg 1</vt:lpstr>
      <vt:lpstr>Exh KMH-2 Adjustments Pg 2</vt:lpstr>
      <vt:lpstr>Capital Structure Calculation</vt:lpstr>
      <vt:lpstr>Panco Plant Additions</vt:lpstr>
      <vt:lpstr>Liu Weather Normalization</vt:lpstr>
      <vt:lpstr>Liu Restate Rev WP</vt:lpstr>
      <vt:lpstr>Rev Req Calc</vt:lpstr>
      <vt:lpstr>Conversion Factor</vt:lpstr>
      <vt:lpstr>Operating Report</vt:lpstr>
      <vt:lpstr>KMH Copy of Op Rep</vt:lpstr>
      <vt:lpstr>k10 wage adj separated wp</vt:lpstr>
      <vt:lpstr>Rate Base</vt:lpstr>
      <vt:lpstr>Plant in Serv &amp; Accum Depr</vt:lpstr>
      <vt:lpstr>Adv for Const. &amp; Def Tax</vt:lpstr>
      <vt:lpstr>Working Capital</vt:lpstr>
      <vt:lpstr>State Allocation Formulas</vt:lpstr>
      <vt:lpstr>Advertising Adj</vt:lpstr>
      <vt:lpstr>Restate Revenues</vt:lpstr>
      <vt:lpstr>Low-Income Bill Assistance</vt:lpstr>
      <vt:lpstr>Interest Coord. Adj.</vt:lpstr>
      <vt:lpstr>k10 Pro Forma Wage Adj</vt:lpstr>
      <vt:lpstr>Panco Pro Forma Plant Additions</vt:lpstr>
      <vt:lpstr>Panco Rate Case Costs</vt:lpstr>
      <vt:lpstr>Panco Pro Forma Compliance Dept</vt:lpstr>
      <vt:lpstr>White MAOP</vt:lpstr>
      <vt:lpstr>Miscellaneous Charges</vt:lpstr>
      <vt:lpstr>CRM Adjustment (a)</vt:lpstr>
      <vt:lpstr>CRM Adjustment (b)</vt:lpstr>
      <vt:lpstr>Revenue Adjustment</vt:lpstr>
      <vt:lpstr>Liu Rev Adj WP</vt:lpstr>
      <vt:lpstr>Working Capital Work Paper</vt:lpstr>
      <vt:lpstr>'Capital Structure Calculation'!Print_Area</vt:lpstr>
      <vt:lpstr>'CRM Adjustment (a)'!Print_Area</vt:lpstr>
      <vt:lpstr>'Exh KMH-2 Adjustments Pg 2'!Print_Area</vt:lpstr>
      <vt:lpstr>'Exh KMH-2, ROO Pg 1'!Print_Area</vt:lpstr>
      <vt:lpstr>'k10 Pro Forma Wage Adj'!Print_Area</vt:lpstr>
      <vt:lpstr>'KMH Copy of Op Rep'!Print_Area</vt:lpstr>
      <vt:lpstr>'Liu Weather Normalization'!Print_Area</vt:lpstr>
      <vt:lpstr>'Miscellaneous Charges'!Print_Area</vt:lpstr>
      <vt:lpstr>'Operating Report'!Print_Area</vt:lpstr>
      <vt:lpstr>'Panco Pro Forma Compliance Dept'!Print_Area</vt:lpstr>
      <vt:lpstr>'Panco Pro Forma Plant Additions'!Print_Area</vt:lpstr>
      <vt:lpstr>'Revenue Adjustment'!Print_Area</vt:lpstr>
      <vt:lpstr>'ROO Summary Sheet'!Print_Area</vt:lpstr>
      <vt:lpstr>'State Allocation Formulas'!Print_Area</vt:lpstr>
      <vt:lpstr>'Working Capital Work Paper'!Print_Area</vt:lpstr>
      <vt:lpstr>'Adv for Const. &amp; Def Tax'!Print_Titles</vt:lpstr>
      <vt:lpstr>'Advertising Adj'!Print_Titles</vt:lpstr>
      <vt:lpstr>'CRM Adjustment (b)'!Print_Titles</vt:lpstr>
      <vt:lpstr>'k10 Pro Forma Wage Adj'!Print_Titles</vt:lpstr>
      <vt:lpstr>'KMH Copy of Op Rep'!Print_Titles</vt:lpstr>
      <vt:lpstr>'Operating Report'!Print_Titles</vt:lpstr>
      <vt:lpstr>'Panco Plant Additions'!Print_Titles</vt:lpstr>
      <vt:lpstr>'Plant in Serv &amp; Accum Depr'!Print_Titles</vt:lpstr>
      <vt:lpstr>'Restate Revenues'!Print_Titles</vt:lpstr>
      <vt:lpstr>'Working Capital Work Paper'!Print_Titles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KMH-2</dc:title>
  <dc:creator>Cascade Natural Gas</dc:creator>
  <dc:description/>
  <cp:lastModifiedBy>Hillstead, Kristen (UTC)</cp:lastModifiedBy>
  <cp:lastPrinted>2018-02-14T17:13:28Z</cp:lastPrinted>
  <dcterms:created xsi:type="dcterms:W3CDTF">2014-12-11T21:48:04Z</dcterms:created>
  <dcterms:modified xsi:type="dcterms:W3CDTF">2018-02-14T19:45:24Z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