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omments5.xml" ContentType="application/vnd.openxmlformats-officedocument.spreadsheetml.comments+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ttps://home.utc.wa.gov/sites/ug-170929/Staffs Testimony and Exhibits/"/>
    </mc:Choice>
  </mc:AlternateContent>
  <bookViews>
    <workbookView xWindow="480" yWindow="132" windowWidth="18192" windowHeight="6900" tabRatio="713" activeTab="1"/>
  </bookViews>
  <sheets>
    <sheet name="ROO Summary Sheet" sheetId="1" r:id="rId1"/>
    <sheet name="Exh BAE-9" sheetId="61" r:id="rId2"/>
    <sheet name="Operating Report" sheetId="31" r:id="rId3"/>
    <sheet name="Conversion Factor using 21%" sheetId="2" r:id="rId4"/>
    <sheet name="Summary of Adjustments" sheetId="4" r:id="rId5"/>
    <sheet name="Capital Structure Calculation" sheetId="3" r:id="rId6"/>
    <sheet name="Rev Req Calc" sheetId="26" r:id="rId7"/>
    <sheet name="Rate Base" sheetId="32" r:id="rId8"/>
    <sheet name="Plant in Serv &amp; Accum Depr" sheetId="58" r:id="rId9"/>
    <sheet name="Adv for Const. &amp; Def Tax" sheetId="59" r:id="rId10"/>
    <sheet name="Working Capital" sheetId="33" r:id="rId11"/>
    <sheet name="State Allocation Formulas" sheetId="60" r:id="rId12"/>
    <sheet name="Adjustment Workpapers---&gt;" sheetId="30" r:id="rId13"/>
    <sheet name="Interest Coord. Adj." sheetId="24" r:id="rId14"/>
    <sheet name="Pro Forma Wage Adjustment" sheetId="6" r:id="rId15"/>
    <sheet name="Rate Case Costs" sheetId="15" r:id="rId16"/>
    <sheet name="Pro Forma Compliance Department" sheetId="46" r:id="rId17"/>
    <sheet name="Amy's MAOP" sheetId="65" r:id="rId18"/>
    <sheet name="Miscellaneous Charges" sheetId="41" r:id="rId19"/>
    <sheet name="CRM Adjustment (a)" sheetId="47" r:id="rId20"/>
    <sheet name="CRM Adjustment (b)" sheetId="48" r:id="rId21"/>
    <sheet name="Revenue Adjustment" sheetId="5" r:id="rId22"/>
    <sheet name="Jings Rev Adj WP" sheetId="63" r:id="rId23"/>
    <sheet name="Working Capital Work Paper" sheetId="34" r:id="rId24"/>
  </sheets>
  <externalReferences>
    <externalReference r:id="rId25"/>
    <externalReference r:id="rId26"/>
  </externalReferences>
  <definedNames>
    <definedName name="first_day">'[1]Historic Data'!$K$3</definedName>
    <definedName name="_xlnm.Print_Area" localSheetId="5">'Capital Structure Calculation'!$A$1:$J$17</definedName>
    <definedName name="_xlnm.Print_Area" localSheetId="19">'CRM Adjustment (a)'!$A$1:$H$23</definedName>
    <definedName name="_xlnm.Print_Area" localSheetId="1">'Exh BAE-9'!$A$1:$R$42</definedName>
    <definedName name="_xlnm.Print_Area" localSheetId="18">'Miscellaneous Charges'!$A$1:$O$19</definedName>
    <definedName name="_xlnm.Print_Area" localSheetId="2">'Operating Report'!$A$1:$H$186,'Operating Report'!$I$1:$Y$157</definedName>
    <definedName name="_xlnm.Print_Area" localSheetId="16">'Pro Forma Compliance Department'!$A$1:$O$19</definedName>
    <definedName name="_xlnm.Print_Area" localSheetId="14">'Pro Forma Wage Adjustment'!$A$1:$P$92</definedName>
    <definedName name="_xlnm.Print_Area" localSheetId="21">'Revenue Adjustment'!$A$1:$G$27</definedName>
    <definedName name="_xlnm.Print_Area" localSheetId="0">'ROO Summary Sheet'!$A$1:$P$42</definedName>
    <definedName name="_xlnm.Print_Area" localSheetId="11">'State Allocation Formulas'!$A$1:$T$80</definedName>
    <definedName name="_xlnm.Print_Area" localSheetId="4">'Summary of Adjustments'!$A$1:$AH$45</definedName>
    <definedName name="_xlnm.Print_Area" localSheetId="23">'Working Capital Work Paper'!$C$1:$X$344</definedName>
    <definedName name="_xlnm.Print_Titles" localSheetId="9">'Adv for Const. &amp; Def Tax'!$A:$A,'Adv for Const. &amp; Def Tax'!$1:$8</definedName>
    <definedName name="_xlnm.Print_Titles" localSheetId="20">'CRM Adjustment (b)'!$A:$A,'CRM Adjustment (b)'!$1:$7</definedName>
    <definedName name="_xlnm.Print_Titles" localSheetId="2">'Operating Report'!$A:$A,'Operating Report'!$1:$13</definedName>
    <definedName name="_xlnm.Print_Titles" localSheetId="8">'Plant in Serv &amp; Accum Depr'!$A:$A,'Plant in Serv &amp; Accum Depr'!$1:$8</definedName>
    <definedName name="_xlnm.Print_Titles" localSheetId="14">'Pro Forma Wage Adjustment'!$1:$7</definedName>
    <definedName name="_xlnm.Print_Titles" localSheetId="23">'Working Capital Work Paper'!$C:$C,'Working Capital Work Paper'!$1:$9</definedName>
  </definedNames>
  <calcPr calcId="152511"/>
  <fileRecoveryPr autoRecover="0"/>
</workbook>
</file>

<file path=xl/calcChain.xml><?xml version="1.0" encoding="utf-8"?>
<calcChain xmlns="http://schemas.openxmlformats.org/spreadsheetml/2006/main">
  <c r="G31" i="61" l="1"/>
  <c r="I31" i="61"/>
  <c r="K15" i="61"/>
  <c r="R13" i="61" l="1"/>
  <c r="G144" i="31"/>
  <c r="G142" i="31"/>
  <c r="C18" i="2"/>
  <c r="R30" i="61" l="1"/>
  <c r="R20" i="61"/>
  <c r="R31" i="61" s="1"/>
  <c r="R23" i="61"/>
  <c r="R16" i="61"/>
  <c r="R40" i="61" l="1"/>
  <c r="R32" i="61" l="1"/>
  <c r="E94" i="65"/>
  <c r="D94" i="65"/>
  <c r="F94" i="65" s="1"/>
  <c r="D93" i="65"/>
  <c r="F92" i="65"/>
  <c r="E92" i="65"/>
  <c r="C76" i="65"/>
  <c r="H72" i="65"/>
  <c r="I37" i="65" s="1"/>
  <c r="H70" i="65"/>
  <c r="H71" i="65" s="1"/>
  <c r="H73" i="65" s="1"/>
  <c r="I44" i="65"/>
  <c r="H44" i="65"/>
  <c r="H43" i="65"/>
  <c r="H42" i="65"/>
  <c r="H41" i="65"/>
  <c r="H40" i="65"/>
  <c r="H39" i="65"/>
  <c r="H38" i="65"/>
  <c r="I34" i="65"/>
  <c r="H34" i="65"/>
  <c r="E31" i="65"/>
  <c r="E30" i="65"/>
  <c r="E29" i="65"/>
  <c r="E13" i="65"/>
  <c r="C12" i="65"/>
  <c r="C14" i="65" s="1"/>
  <c r="C11" i="65"/>
  <c r="E95" i="65" l="1"/>
  <c r="D95" i="65"/>
  <c r="E9" i="65" s="1"/>
  <c r="H76" i="65"/>
  <c r="H37" i="65"/>
  <c r="H45" i="65"/>
  <c r="E10" i="65" s="1"/>
  <c r="I45" i="65"/>
  <c r="F93" i="65"/>
  <c r="F95" i="65" s="1"/>
  <c r="E12" i="65" l="1"/>
  <c r="E14" i="65" s="1"/>
  <c r="M41" i="6"/>
  <c r="M42" i="6" s="1"/>
  <c r="M43" i="6" s="1"/>
  <c r="M44" i="6" s="1"/>
  <c r="M45" i="6" s="1"/>
  <c r="M46" i="6" s="1"/>
  <c r="M47" i="6" s="1"/>
  <c r="M48" i="6" s="1"/>
  <c r="M49" i="6" s="1"/>
  <c r="M50" i="6" s="1"/>
  <c r="M51" i="6" s="1"/>
  <c r="M52" i="6" s="1"/>
  <c r="M53" i="6" s="1"/>
  <c r="M54" i="6" s="1"/>
  <c r="M55" i="6" s="1"/>
  <c r="M56" i="6" s="1"/>
  <c r="M57" i="6" s="1"/>
  <c r="M58" i="6" s="1"/>
  <c r="M59" i="6" s="1"/>
  <c r="M60" i="6" s="1"/>
  <c r="M40" i="6"/>
  <c r="M39" i="6"/>
  <c r="F13" i="3" l="1"/>
  <c r="P43" i="4" l="1"/>
  <c r="N40" i="61" l="1"/>
  <c r="D39" i="61"/>
  <c r="D38" i="61"/>
  <c r="D37" i="61"/>
  <c r="D36" i="61"/>
  <c r="D35" i="61"/>
  <c r="D29" i="61"/>
  <c r="D27" i="61"/>
  <c r="D26" i="61"/>
  <c r="D25" i="61"/>
  <c r="D24" i="61"/>
  <c r="D23" i="61"/>
  <c r="D22" i="61"/>
  <c r="D21" i="61"/>
  <c r="D20" i="61"/>
  <c r="D19" i="61"/>
  <c r="D15" i="61"/>
  <c r="D14" i="61"/>
  <c r="D13" i="61"/>
  <c r="D16" i="61" l="1"/>
  <c r="K39" i="61"/>
  <c r="Q39" i="61" s="1"/>
  <c r="D40" i="61"/>
  <c r="K37" i="61"/>
  <c r="Q37" i="61" s="1"/>
  <c r="K28" i="61"/>
  <c r="Q28" i="61" s="1"/>
  <c r="G40" i="61"/>
  <c r="N17" i="46" l="1"/>
  <c r="M71" i="6" l="1"/>
  <c r="M72" i="6" s="1"/>
  <c r="M73" i="6" s="1"/>
  <c r="M74" i="6" s="1"/>
  <c r="M75" i="6" s="1"/>
  <c r="M76" i="6" s="1"/>
  <c r="M77" i="6" s="1"/>
  <c r="M78" i="6" s="1"/>
  <c r="M79" i="6" s="1"/>
  <c r="M80" i="6" s="1"/>
  <c r="M81" i="6" s="1"/>
  <c r="M82" i="6" s="1"/>
  <c r="M83" i="6" s="1"/>
  <c r="M84" i="6" s="1"/>
  <c r="M21" i="6"/>
  <c r="M22" i="6" s="1"/>
  <c r="M23" i="6" s="1"/>
  <c r="M24" i="6" s="1"/>
  <c r="M25" i="6" s="1"/>
  <c r="M20" i="6"/>
  <c r="O43" i="4"/>
  <c r="M43" i="4"/>
  <c r="L43" i="4"/>
  <c r="K43" i="4"/>
  <c r="M34" i="6" l="1"/>
  <c r="M26" i="6"/>
  <c r="M27" i="6" s="1"/>
  <c r="M28" i="6" s="1"/>
  <c r="M29" i="6" s="1"/>
  <c r="M30" i="6" s="1"/>
  <c r="M31" i="6" s="1"/>
  <c r="M32" i="6" s="1"/>
  <c r="M33" i="6" s="1"/>
  <c r="K14" i="46" l="1"/>
  <c r="K13" i="46"/>
  <c r="K12" i="46"/>
  <c r="C21" i="60" l="1"/>
  <c r="F9" i="31" s="1"/>
  <c r="H10" i="31"/>
  <c r="H9" i="31"/>
  <c r="G10" i="31"/>
  <c r="G9" i="31"/>
  <c r="F10" i="31"/>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C16" i="60" l="1"/>
  <c r="Q18" i="60"/>
  <c r="D16" i="60" l="1"/>
  <c r="D21" i="60"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G22" i="5" l="1"/>
  <c r="G21" i="5"/>
  <c r="U21" i="31" l="1"/>
  <c r="U16" i="31"/>
  <c r="U15" i="31"/>
  <c r="U17" i="31" l="1"/>
  <c r="O21" i="31" l="1"/>
  <c r="Q52" i="31"/>
  <c r="Q50" i="31"/>
  <c r="Q36" i="31"/>
  <c r="Q26" i="31"/>
  <c r="Q17" i="31"/>
  <c r="Q106" i="31"/>
  <c r="Q99" i="31"/>
  <c r="Q92" i="31"/>
  <c r="Q83" i="31"/>
  <c r="T120" i="31"/>
  <c r="T122" i="31" s="1"/>
  <c r="T106" i="31"/>
  <c r="T99" i="31"/>
  <c r="T92" i="31"/>
  <c r="T83" i="31"/>
  <c r="T71" i="31"/>
  <c r="T52" i="31"/>
  <c r="T50" i="31"/>
  <c r="T36" i="31"/>
  <c r="T26" i="31"/>
  <c r="T17" i="31"/>
  <c r="Y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I16" i="31"/>
  <c r="X16" i="3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J17" i="31"/>
  <c r="AE43" i="4"/>
  <c r="AD43" i="4"/>
  <c r="AC43" i="4"/>
  <c r="AB43" i="4"/>
  <c r="AA43" i="4"/>
  <c r="Z43" i="4"/>
  <c r="X43" i="4"/>
  <c r="U43" i="4"/>
  <c r="S43" i="4"/>
  <c r="R43" i="4"/>
  <c r="J43" i="4"/>
  <c r="I43" i="4"/>
  <c r="H43" i="4"/>
  <c r="G43" i="4"/>
  <c r="AG42" i="4"/>
  <c r="G39" i="1" s="1"/>
  <c r="AG40" i="4"/>
  <c r="G37" i="1" s="1"/>
  <c r="AG31" i="4"/>
  <c r="G28" i="1" s="1"/>
  <c r="I28" i="1" s="1"/>
  <c r="O28" i="1" s="1"/>
  <c r="AE19" i="4"/>
  <c r="AD19" i="4"/>
  <c r="AC19" i="4"/>
  <c r="AB19" i="4"/>
  <c r="AA19" i="4"/>
  <c r="U19" i="4"/>
  <c r="S19" i="4"/>
  <c r="R19" i="4"/>
  <c r="H19" i="4"/>
  <c r="C33" i="2"/>
  <c r="P33" i="4" s="1"/>
  <c r="P34" i="4" s="1"/>
  <c r="P35" i="4" s="1"/>
  <c r="L40" i="1"/>
  <c r="D38" i="1"/>
  <c r="D37" i="1"/>
  <c r="D36" i="1"/>
  <c r="D35" i="1"/>
  <c r="T19" i="4" l="1"/>
  <c r="L33" i="4"/>
  <c r="L34" i="4" s="1"/>
  <c r="L35" i="4" s="1"/>
  <c r="K33" i="4"/>
  <c r="M33" i="4"/>
  <c r="M34" i="4" s="1"/>
  <c r="M35" i="4" s="1"/>
  <c r="G24" i="31"/>
  <c r="G158" i="31"/>
  <c r="F17" i="31"/>
  <c r="S84" i="31"/>
  <c r="G115" i="31"/>
  <c r="G33" i="31"/>
  <c r="Y33" i="31" s="1"/>
  <c r="G89" i="31"/>
  <c r="G96" i="31"/>
  <c r="G98" i="31"/>
  <c r="G143" i="31"/>
  <c r="Y143" i="31" s="1"/>
  <c r="G145" i="31"/>
  <c r="G153" i="31"/>
  <c r="C18" i="47"/>
  <c r="C16" i="47"/>
  <c r="M84" i="31"/>
  <c r="I84" i="31"/>
  <c r="G166" i="31"/>
  <c r="G16" i="31"/>
  <c r="Y16" i="31" s="1"/>
  <c r="J27" i="31"/>
  <c r="J53" i="31" s="1"/>
  <c r="N27" i="31"/>
  <c r="N53" i="31" s="1"/>
  <c r="G35" i="31"/>
  <c r="Y35" i="31" s="1"/>
  <c r="G52" i="31"/>
  <c r="D20" i="1" s="1"/>
  <c r="G68" i="31"/>
  <c r="G69" i="31"/>
  <c r="Y69" i="31" s="1"/>
  <c r="G175" i="31"/>
  <c r="G31" i="31"/>
  <c r="Y31" i="31" s="1"/>
  <c r="O84" i="31"/>
  <c r="J104" i="31"/>
  <c r="J106" i="31" s="1"/>
  <c r="G129" i="31"/>
  <c r="G164" i="31"/>
  <c r="L96" i="31"/>
  <c r="I13" i="6"/>
  <c r="K13" i="6" s="1"/>
  <c r="J84" i="31"/>
  <c r="G156" i="31"/>
  <c r="I30" i="6"/>
  <c r="K30" i="6" s="1"/>
  <c r="G75" i="31"/>
  <c r="G80" i="31"/>
  <c r="G87" i="31"/>
  <c r="Y87" i="31" s="1"/>
  <c r="G114" i="31"/>
  <c r="G116" i="31"/>
  <c r="G121" i="31"/>
  <c r="Y121" i="31" s="1"/>
  <c r="G130" i="31"/>
  <c r="Y130" i="31" s="1"/>
  <c r="G154" i="31"/>
  <c r="W33" i="4"/>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AD33" i="4"/>
  <c r="AD34" i="4" s="1"/>
  <c r="AD35" i="4" s="1"/>
  <c r="AA33" i="4"/>
  <c r="AE33" i="4"/>
  <c r="AE34" i="4" s="1"/>
  <c r="AE35" i="4" s="1"/>
  <c r="AB33" i="4"/>
  <c r="AB34" i="4" s="1"/>
  <c r="AB35" i="4" s="1"/>
  <c r="T23" i="4"/>
  <c r="O52" i="31" s="1"/>
  <c r="AC33" i="4"/>
  <c r="AC34" i="4" s="1"/>
  <c r="AC35" i="4" s="1"/>
  <c r="L92" i="31"/>
  <c r="I37" i="1"/>
  <c r="O37" i="1" s="1"/>
  <c r="K52" i="6"/>
  <c r="L52" i="6"/>
  <c r="N52" i="6" s="1"/>
  <c r="P52" i="6" s="1"/>
  <c r="H15" i="46"/>
  <c r="J12" i="46"/>
  <c r="O27" i="31"/>
  <c r="V27" i="31"/>
  <c r="V53" i="31" s="1"/>
  <c r="F26" i="31"/>
  <c r="G30" i="31"/>
  <c r="P84" i="31"/>
  <c r="E148"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K23" i="6"/>
  <c r="L23" i="6" s="1"/>
  <c r="N23" i="6" s="1"/>
  <c r="K42" i="6"/>
  <c r="L42" i="6" s="1"/>
  <c r="N42" i="6" s="1"/>
  <c r="P42" i="6" s="1"/>
  <c r="N64" i="31" s="1"/>
  <c r="X64" i="31" s="1"/>
  <c r="K56" i="6"/>
  <c r="L56" i="6" s="1"/>
  <c r="G23" i="31"/>
  <c r="Y23" i="31" s="1"/>
  <c r="G25" i="31"/>
  <c r="Y25" i="31" s="1"/>
  <c r="G77" i="31"/>
  <c r="G78" i="31"/>
  <c r="G117" i="31"/>
  <c r="Y117" i="31" s="1"/>
  <c r="K27" i="6"/>
  <c r="L27" i="6" s="1"/>
  <c r="N27" i="6" s="1"/>
  <c r="O27" i="6" s="1"/>
  <c r="E40" i="33"/>
  <c r="J14" i="3"/>
  <c r="H36" i="6"/>
  <c r="AG17" i="4"/>
  <c r="G14" i="1" s="1"/>
  <c r="X50" i="31"/>
  <c r="G60" i="31"/>
  <c r="G70" i="31"/>
  <c r="G90" i="31"/>
  <c r="E106" i="31"/>
  <c r="Y144" i="3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AA34" i="4"/>
  <c r="AA35" i="4" s="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K31" i="6"/>
  <c r="L31" i="6" s="1"/>
  <c r="N31" i="6" s="1"/>
  <c r="L34" i="6"/>
  <c r="N34" i="6" s="1"/>
  <c r="K51" i="6"/>
  <c r="L51" i="6" s="1"/>
  <c r="H15" i="6"/>
  <c r="L39" i="6"/>
  <c r="L47" i="6"/>
  <c r="L55" i="6"/>
  <c r="G13" i="15"/>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AG27" i="4" l="1"/>
  <c r="G24" i="1" s="1"/>
  <c r="K24" i="61"/>
  <c r="Q24" i="61" s="1"/>
  <c r="K14" i="61"/>
  <c r="Q14" i="61" s="1"/>
  <c r="K34" i="4"/>
  <c r="K35" i="4" s="1"/>
  <c r="D12" i="26"/>
  <c r="W150" i="31"/>
  <c r="F27" i="31"/>
  <c r="F53" i="31" s="1"/>
  <c r="G17" i="31"/>
  <c r="D13" i="1" s="1"/>
  <c r="Y21" i="31"/>
  <c r="I14" i="1"/>
  <c r="O14" i="1" s="1"/>
  <c r="Y145" i="31"/>
  <c r="Y113" i="31"/>
  <c r="G185" i="31"/>
  <c r="C19" i="47"/>
  <c r="C20" i="47" s="1"/>
  <c r="E16" i="47"/>
  <c r="T127" i="31" s="1"/>
  <c r="T134" i="31" s="1"/>
  <c r="C17" i="47"/>
  <c r="X104" i="31"/>
  <c r="X106" i="31" s="1"/>
  <c r="L30" i="6"/>
  <c r="N30" i="6" s="1"/>
  <c r="P30" i="6" s="1"/>
  <c r="I15" i="6"/>
  <c r="Y78" i="31"/>
  <c r="V150" i="31"/>
  <c r="Y147" i="31"/>
  <c r="Y133" i="31"/>
  <c r="X342" i="34"/>
  <c r="L13" i="6"/>
  <c r="N13" i="6" s="1"/>
  <c r="P13" i="6" s="1"/>
  <c r="W34" i="4"/>
  <c r="W35" i="4" s="1"/>
  <c r="R142" i="31"/>
  <c r="R148" i="31" s="1"/>
  <c r="R149" i="31" s="1"/>
  <c r="R150" i="31" s="1"/>
  <c r="Y129" i="31"/>
  <c r="P27" i="6"/>
  <c r="Y70" i="31"/>
  <c r="E27" i="31"/>
  <c r="E53" i="31" s="1"/>
  <c r="J33" i="4"/>
  <c r="J34" i="4" s="1"/>
  <c r="J35" i="4" s="1"/>
  <c r="X96" i="31"/>
  <c r="L99" i="31"/>
  <c r="G148" i="31"/>
  <c r="Y64" i="31"/>
  <c r="P26" i="6"/>
  <c r="N74" i="31" s="1"/>
  <c r="X74" i="31" s="1"/>
  <c r="Y74" i="31" s="1"/>
  <c r="O26" i="6"/>
  <c r="L21" i="6"/>
  <c r="N21" i="6" s="1"/>
  <c r="P21" i="6" s="1"/>
  <c r="O53" i="31"/>
  <c r="P23" i="6"/>
  <c r="N63" i="31" s="1"/>
  <c r="X63" i="31" s="1"/>
  <c r="Y63" i="31" s="1"/>
  <c r="O23" i="6"/>
  <c r="N44" i="6"/>
  <c r="P44" i="6" s="1"/>
  <c r="N56" i="6"/>
  <c r="P56" i="6" s="1"/>
  <c r="Y105" i="31"/>
  <c r="I36" i="6"/>
  <c r="E84" i="31"/>
  <c r="E149" i="31" s="1"/>
  <c r="I30" i="31"/>
  <c r="I36" i="31" s="1"/>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D29" i="1"/>
  <c r="Y146" i="31"/>
  <c r="F84" i="31"/>
  <c r="P111" i="31"/>
  <c r="U33" i="4"/>
  <c r="U34" i="4" s="1"/>
  <c r="L61" i="6"/>
  <c r="N39" i="6"/>
  <c r="O25" i="6"/>
  <c r="P25" i="6"/>
  <c r="G120" i="31"/>
  <c r="G122" i="31" s="1"/>
  <c r="D26" i="1" s="1"/>
  <c r="Y118" i="31"/>
  <c r="G99" i="31"/>
  <c r="D24" i="1" s="1"/>
  <c r="Y95" i="31"/>
  <c r="O32" i="6"/>
  <c r="P32" i="6"/>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O34" i="6"/>
  <c r="P34" i="6"/>
  <c r="J116" i="31"/>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I24" i="1" l="1"/>
  <c r="O24" i="1" s="1"/>
  <c r="D30" i="61"/>
  <c r="D31" i="61" s="1"/>
  <c r="D32" i="61" s="1"/>
  <c r="D41" i="61" s="1"/>
  <c r="D30" i="1"/>
  <c r="K25" i="61"/>
  <c r="Q25" i="61" s="1"/>
  <c r="N75" i="31"/>
  <c r="X75" i="31" s="1"/>
  <c r="Y75" i="31" s="1"/>
  <c r="N60" i="31"/>
  <c r="AG28" i="4"/>
  <c r="G25" i="1" s="1"/>
  <c r="I25" i="1" s="1"/>
  <c r="O25" i="1" s="1"/>
  <c r="H33" i="4"/>
  <c r="H34" i="4" s="1"/>
  <c r="O58" i="6"/>
  <c r="O44" i="6"/>
  <c r="C23" i="47"/>
  <c r="Y33" i="4"/>
  <c r="T142" i="31" s="1"/>
  <c r="T148" i="31" s="1"/>
  <c r="T149" i="31" s="1"/>
  <c r="T150" i="31" s="1"/>
  <c r="Y43" i="4"/>
  <c r="E124" i="31"/>
  <c r="X344" i="34"/>
  <c r="G20" i="4"/>
  <c r="L142" i="31"/>
  <c r="L148" i="31" s="1"/>
  <c r="L149" i="31" s="1"/>
  <c r="L150" i="31" s="1"/>
  <c r="Y104" i="31"/>
  <c r="Y106" i="31" s="1"/>
  <c r="N76" i="31"/>
  <c r="X76" i="31" s="1"/>
  <c r="Y76" i="31" s="1"/>
  <c r="J11" i="6"/>
  <c r="K11" i="6" s="1"/>
  <c r="O59" i="6"/>
  <c r="N68" i="31"/>
  <c r="X68" i="31" s="1"/>
  <c r="Y68" i="31" s="1"/>
  <c r="O21" i="6"/>
  <c r="X99" i="31"/>
  <c r="Y96" i="31"/>
  <c r="Y99" i="31" s="1"/>
  <c r="O56" i="6"/>
  <c r="O46" i="6"/>
  <c r="O43" i="6"/>
  <c r="L36" i="6"/>
  <c r="E150" i="31"/>
  <c r="E186" i="31" s="1"/>
  <c r="O13" i="6"/>
  <c r="O60" i="6"/>
  <c r="O51" i="6"/>
  <c r="Q60" i="31"/>
  <c r="Q71" i="31" s="1"/>
  <c r="Q84" i="31" s="1"/>
  <c r="L17" i="46"/>
  <c r="L16" i="46"/>
  <c r="D19" i="32"/>
  <c r="D39" i="1"/>
  <c r="O139" i="31"/>
  <c r="N61" i="6"/>
  <c r="P39" i="6"/>
  <c r="N61" i="31" s="1"/>
  <c r="O20" i="6"/>
  <c r="P20" i="6"/>
  <c r="N36" i="6"/>
  <c r="X116" i="31"/>
  <c r="Y116" i="31" s="1"/>
  <c r="J120" i="31"/>
  <c r="J122" i="31" s="1"/>
  <c r="O54" i="6"/>
  <c r="O39" i="6"/>
  <c r="G25" i="5"/>
  <c r="O47" i="6"/>
  <c r="D15" i="1"/>
  <c r="G27" i="31"/>
  <c r="G84" i="31"/>
  <c r="O48" i="6"/>
  <c r="N89" i="31"/>
  <c r="X89" i="31" s="1"/>
  <c r="Y89" i="31" s="1"/>
  <c r="O53" i="6"/>
  <c r="P120" i="31"/>
  <c r="P122" i="31" s="1"/>
  <c r="X111" i="31"/>
  <c r="Y111" i="31" s="1"/>
  <c r="G23" i="4"/>
  <c r="G19" i="4"/>
  <c r="X88" i="31"/>
  <c r="Y88" i="31" s="1"/>
  <c r="F149" i="31"/>
  <c r="F150" i="31" s="1"/>
  <c r="F186" i="31" s="1"/>
  <c r="F124" i="31"/>
  <c r="O55" i="6"/>
  <c r="O45" i="6"/>
  <c r="S24" i="31"/>
  <c r="P142" i="31"/>
  <c r="P148" i="31" s="1"/>
  <c r="N81" i="31"/>
  <c r="X81" i="31" s="1"/>
  <c r="Y81" i="31" s="1"/>
  <c r="N114" i="31"/>
  <c r="N71" i="6"/>
  <c r="N85" i="6" s="1"/>
  <c r="L85" i="6"/>
  <c r="Q15" i="61" l="1"/>
  <c r="I16" i="61"/>
  <c r="K35" i="61"/>
  <c r="I52" i="31"/>
  <c r="I53" i="31" s="1"/>
  <c r="K15" i="31"/>
  <c r="K17" i="31" s="1"/>
  <c r="K27" i="31" s="1"/>
  <c r="Y34" i="4"/>
  <c r="Y35" i="4" s="1"/>
  <c r="J142" i="31"/>
  <c r="J148" i="31" s="1"/>
  <c r="J149" i="31" s="1"/>
  <c r="J150" i="31" s="1"/>
  <c r="N92" i="31"/>
  <c r="Y83" i="31"/>
  <c r="O36" i="6"/>
  <c r="L11" i="6"/>
  <c r="L15" i="6" s="1"/>
  <c r="K15" i="6"/>
  <c r="Q114" i="31"/>
  <c r="Q120" i="31" s="1"/>
  <c r="Q122" i="31" s="1"/>
  <c r="L19" i="46"/>
  <c r="V32" i="4"/>
  <c r="Q139" i="31"/>
  <c r="X60" i="31"/>
  <c r="Y60" i="31" s="1"/>
  <c r="O61" i="6"/>
  <c r="D16" i="1"/>
  <c r="H35" i="4"/>
  <c r="U35" i="4"/>
  <c r="S26" i="31"/>
  <c r="S27" i="31" s="1"/>
  <c r="X24" i="31"/>
  <c r="X83" i="31"/>
  <c r="G124" i="31"/>
  <c r="D22" i="1"/>
  <c r="D31" i="1" s="1"/>
  <c r="G149" i="31"/>
  <c r="P36" i="6"/>
  <c r="N56" i="31"/>
  <c r="G53" i="31"/>
  <c r="C8" i="2"/>
  <c r="G26" i="4" s="1"/>
  <c r="P61" i="6"/>
  <c r="O127" i="31"/>
  <c r="P149" i="31"/>
  <c r="P150" i="31" s="1"/>
  <c r="N83" i="31"/>
  <c r="X19" i="4"/>
  <c r="AG18" i="4"/>
  <c r="AG38" i="4"/>
  <c r="Z19" i="4"/>
  <c r="I39" i="1"/>
  <c r="O39" i="1" s="1"/>
  <c r="D40" i="1"/>
  <c r="O71" i="6"/>
  <c r="Q35" i="61" l="1"/>
  <c r="AG41" i="4"/>
  <c r="G38" i="1" s="1"/>
  <c r="I38" i="1" s="1"/>
  <c r="O38" i="1" s="1"/>
  <c r="K38" i="61"/>
  <c r="Q38" i="61" s="1"/>
  <c r="AG39" i="4"/>
  <c r="G36" i="1" s="1"/>
  <c r="I36" i="1" s="1"/>
  <c r="O36" i="1" s="1"/>
  <c r="I19" i="4"/>
  <c r="I23" i="4" s="1"/>
  <c r="G33" i="4"/>
  <c r="G34" i="4" s="1"/>
  <c r="G35" i="4" s="1"/>
  <c r="X15" i="31"/>
  <c r="Y15" i="31" s="1"/>
  <c r="Y17" i="31" s="1"/>
  <c r="AG16" i="4"/>
  <c r="G13" i="1" s="1"/>
  <c r="I13" i="1" s="1"/>
  <c r="V33" i="4"/>
  <c r="V34" i="4" s="1"/>
  <c r="N11" i="6"/>
  <c r="O11" i="6" s="1"/>
  <c r="D32" i="1"/>
  <c r="D41" i="1" s="1"/>
  <c r="G150" i="31"/>
  <c r="G186" i="31" s="1"/>
  <c r="X114" i="31"/>
  <c r="Y114" i="31" s="1"/>
  <c r="I90" i="31"/>
  <c r="I92" i="31" s="1"/>
  <c r="G15" i="1"/>
  <c r="K21" i="61"/>
  <c r="Q21" i="61" s="1"/>
  <c r="X56" i="31"/>
  <c r="Y56" i="31" s="1"/>
  <c r="Z26" i="4"/>
  <c r="Z23" i="4"/>
  <c r="T43" i="4"/>
  <c r="X127" i="31"/>
  <c r="O134" i="31"/>
  <c r="X61" i="31"/>
  <c r="N71" i="31"/>
  <c r="N84" i="31" s="1"/>
  <c r="T26" i="4"/>
  <c r="C12" i="2"/>
  <c r="C16" i="2" s="1"/>
  <c r="C20" i="2" s="1"/>
  <c r="D10" i="2"/>
  <c r="Y24" i="31"/>
  <c r="Y26" i="31" s="1"/>
  <c r="X26" i="31"/>
  <c r="X23" i="4"/>
  <c r="X26" i="4"/>
  <c r="S90" i="31" s="1"/>
  <c r="S92" i="31" s="1"/>
  <c r="G35" i="1"/>
  <c r="O85" i="6"/>
  <c r="P71" i="6"/>
  <c r="P85" i="6" s="1"/>
  <c r="N109" i="31" s="1"/>
  <c r="X17" i="31" l="1"/>
  <c r="X27" i="31" s="1"/>
  <c r="I142" i="31"/>
  <c r="I148" i="31" s="1"/>
  <c r="I149" i="31" s="1"/>
  <c r="I150" i="31" s="1"/>
  <c r="AG43" i="4"/>
  <c r="K36" i="61"/>
  <c r="I40" i="61"/>
  <c r="AG30" i="4"/>
  <c r="G27" i="1" s="1"/>
  <c r="I27" i="1" s="1"/>
  <c r="O27" i="1" s="1"/>
  <c r="K27" i="61"/>
  <c r="Q27" i="61" s="1"/>
  <c r="AG25" i="4"/>
  <c r="G22" i="1" s="1"/>
  <c r="I22" i="1" s="1"/>
  <c r="O22" i="1" s="1"/>
  <c r="K22" i="61"/>
  <c r="Q22" i="61" s="1"/>
  <c r="U90" i="31"/>
  <c r="U92" i="31" s="1"/>
  <c r="AG19" i="4"/>
  <c r="I26" i="4"/>
  <c r="K90" i="31" s="1"/>
  <c r="K13" i="61"/>
  <c r="K16" i="61" s="1"/>
  <c r="G16" i="61"/>
  <c r="K52" i="31"/>
  <c r="C22" i="2"/>
  <c r="C25" i="2" s="1"/>
  <c r="P45" i="4" s="1"/>
  <c r="Z33" i="4"/>
  <c r="X33" i="4"/>
  <c r="X34" i="4" s="1"/>
  <c r="Y27" i="31"/>
  <c r="P11" i="6"/>
  <c r="P15" i="6" s="1"/>
  <c r="P17" i="6" s="1"/>
  <c r="N15" i="6"/>
  <c r="T33" i="4"/>
  <c r="T34" i="4" s="1"/>
  <c r="AG24" i="4"/>
  <c r="G21" i="1" s="1"/>
  <c r="I21" i="1" s="1"/>
  <c r="O21" i="1" s="1"/>
  <c r="Q142" i="31"/>
  <c r="Q148" i="31" s="1"/>
  <c r="Q149" i="31" s="1"/>
  <c r="Q150" i="31" s="1"/>
  <c r="X134" i="31"/>
  <c r="Y127" i="31"/>
  <c r="Y134" i="31" s="1"/>
  <c r="O90" i="31"/>
  <c r="O92" i="31" s="1"/>
  <c r="AG26" i="4"/>
  <c r="G23" i="1" s="1"/>
  <c r="G40" i="1"/>
  <c r="I35" i="1"/>
  <c r="S52" i="31"/>
  <c r="AG23" i="4"/>
  <c r="G20" i="1" s="1"/>
  <c r="I20" i="1" s="1"/>
  <c r="Y61" i="31"/>
  <c r="Y71" i="31" s="1"/>
  <c r="Y84" i="31" s="1"/>
  <c r="X71" i="31"/>
  <c r="X84" i="31" s="1"/>
  <c r="U52" i="31"/>
  <c r="U53" i="31" s="1"/>
  <c r="I15" i="1"/>
  <c r="G16" i="1"/>
  <c r="N120" i="31"/>
  <c r="N122" i="31" s="1"/>
  <c r="X109" i="31"/>
  <c r="K20" i="61" l="1"/>
  <c r="Q36" i="61"/>
  <c r="K40" i="61"/>
  <c r="Z34" i="4"/>
  <c r="K23" i="61"/>
  <c r="K45" i="4"/>
  <c r="M45" i="4"/>
  <c r="L45" i="4"/>
  <c r="AB45" i="4"/>
  <c r="W45" i="4"/>
  <c r="Y45" i="4"/>
  <c r="AA45" i="4"/>
  <c r="U45" i="4"/>
  <c r="D19" i="26"/>
  <c r="AE45" i="4"/>
  <c r="J45" i="4"/>
  <c r="AD45" i="4"/>
  <c r="H45" i="4"/>
  <c r="AC45" i="4"/>
  <c r="G45" i="4"/>
  <c r="U142" i="31"/>
  <c r="U148" i="31" s="1"/>
  <c r="U149" i="31" s="1"/>
  <c r="U150" i="31" s="1"/>
  <c r="N139" i="31"/>
  <c r="X139" i="31" s="1"/>
  <c r="Y139" i="31" s="1"/>
  <c r="O142" i="31"/>
  <c r="O148" i="31" s="1"/>
  <c r="O149" i="31" s="1"/>
  <c r="O150" i="31" s="1"/>
  <c r="I23" i="1"/>
  <c r="V35" i="4"/>
  <c r="V45" i="4" s="1"/>
  <c r="X35" i="4"/>
  <c r="X45" i="4" s="1"/>
  <c r="S142" i="31"/>
  <c r="S148" i="31" s="1"/>
  <c r="S149" i="31" s="1"/>
  <c r="K92" i="31"/>
  <c r="X90" i="31"/>
  <c r="I40" i="1"/>
  <c r="D11" i="26" s="1"/>
  <c r="D14" i="26" s="1"/>
  <c r="O35" i="1"/>
  <c r="O40" i="1" s="1"/>
  <c r="B16" i="24" s="1"/>
  <c r="D16" i="24" s="1"/>
  <c r="F16" i="24" s="1"/>
  <c r="H16" i="24" s="1"/>
  <c r="R33" i="4" s="1"/>
  <c r="O15" i="1"/>
  <c r="I16" i="1"/>
  <c r="X52" i="31"/>
  <c r="S53" i="31"/>
  <c r="Y109" i="31"/>
  <c r="Y120" i="31" s="1"/>
  <c r="Y122" i="31" s="1"/>
  <c r="X120" i="31"/>
  <c r="X122" i="31" s="1"/>
  <c r="Q40" i="61" l="1"/>
  <c r="AG32" i="4"/>
  <c r="G29" i="1" s="1"/>
  <c r="I29" i="1" s="1"/>
  <c r="O29" i="1" s="1"/>
  <c r="K29" i="61"/>
  <c r="Q29" i="61" s="1"/>
  <c r="S33" i="4"/>
  <c r="T35" i="4"/>
  <c r="T45" i="4" s="1"/>
  <c r="Z35" i="4"/>
  <c r="Z45" i="4" s="1"/>
  <c r="S150" i="31"/>
  <c r="R34" i="4"/>
  <c r="M142" i="31"/>
  <c r="M148" i="31" s="1"/>
  <c r="M149" i="31" s="1"/>
  <c r="M150" i="31" s="1"/>
  <c r="Y52" i="31"/>
  <c r="Y90" i="31"/>
  <c r="Y92" i="31" s="1"/>
  <c r="X92" i="31"/>
  <c r="D23" i="26"/>
  <c r="S34" i="4" l="1"/>
  <c r="S35" i="4" s="1"/>
  <c r="S45" i="4" s="1"/>
  <c r="I32" i="61"/>
  <c r="R35" i="4"/>
  <c r="R45" i="4" s="1"/>
  <c r="N142" i="31"/>
  <c r="N148" i="31" l="1"/>
  <c r="N149" i="31" s="1"/>
  <c r="N150" i="31" s="1"/>
  <c r="K19" i="61" l="1"/>
  <c r="AG22" i="4" l="1"/>
  <c r="I33" i="4"/>
  <c r="K30" i="31"/>
  <c r="G19" i="1" l="1"/>
  <c r="I19" i="1" s="1"/>
  <c r="O19" i="1" s="1"/>
  <c r="I34" i="4"/>
  <c r="K142" i="31"/>
  <c r="K36" i="31"/>
  <c r="K53" i="31" s="1"/>
  <c r="X30" i="31"/>
  <c r="I35" i="4" l="1"/>
  <c r="I45" i="4" s="1"/>
  <c r="K148" i="31"/>
  <c r="K149" i="31" s="1"/>
  <c r="K150" i="31" s="1"/>
  <c r="X142" i="31"/>
  <c r="X36" i="31"/>
  <c r="Y30" i="31"/>
  <c r="Y36" i="31" s="1"/>
  <c r="Y53" i="31" s="1"/>
  <c r="Q19" i="61" l="1"/>
  <c r="X53" i="31"/>
  <c r="X148" i="31"/>
  <c r="Y142" i="31"/>
  <c r="Y148" i="31" s="1"/>
  <c r="Y149" i="31" s="1"/>
  <c r="Y150" i="31" s="1"/>
  <c r="X149" i="31" l="1"/>
  <c r="X150" i="31" s="1"/>
  <c r="O33" i="4" l="1"/>
  <c r="K26" i="61"/>
  <c r="Q26" i="61" s="1"/>
  <c r="AG29" i="4"/>
  <c r="G26" i="1" s="1"/>
  <c r="I26" i="1" s="1"/>
  <c r="O26" i="1" s="1"/>
  <c r="K30" i="61" l="1"/>
  <c r="AG33" i="4"/>
  <c r="G30" i="1" s="1"/>
  <c r="I30" i="1" s="1"/>
  <c r="I31" i="1" s="1"/>
  <c r="I32" i="1" s="1"/>
  <c r="D15" i="26" s="1"/>
  <c r="D17" i="26" s="1"/>
  <c r="D21" i="26" s="1"/>
  <c r="N13" i="61" s="1"/>
  <c r="O34" i="4"/>
  <c r="AG34" i="4" s="1"/>
  <c r="AG35" i="4" s="1"/>
  <c r="AG45" i="4" s="1"/>
  <c r="O35" i="4" l="1"/>
  <c r="O45" i="4" s="1"/>
  <c r="G31" i="1"/>
  <c r="G32" i="1" s="1"/>
  <c r="N16" i="61"/>
  <c r="Q13" i="61"/>
  <c r="Q16" i="61" s="1"/>
  <c r="K31" i="61"/>
  <c r="K32" i="61" s="1"/>
  <c r="K41" i="61" s="1"/>
  <c r="G32" i="61"/>
  <c r="I41" i="1"/>
  <c r="L13" i="1"/>
  <c r="D25" i="26"/>
  <c r="N20" i="61" l="1"/>
  <c r="N23" i="61"/>
  <c r="L16" i="1"/>
  <c r="O13" i="1"/>
  <c r="O16" i="1" s="1"/>
  <c r="N30" i="61" l="1"/>
  <c r="Q23" i="61"/>
  <c r="Q20" i="61"/>
  <c r="L23" i="1"/>
  <c r="O23" i="1" s="1"/>
  <c r="L20" i="1"/>
  <c r="Q30" i="61" l="1"/>
  <c r="N31" i="61"/>
  <c r="N32" i="61" s="1"/>
  <c r="L30" i="1"/>
  <c r="O30" i="1" s="1"/>
  <c r="O20" i="1"/>
  <c r="Q31" i="61" l="1"/>
  <c r="Q32" i="61" s="1"/>
  <c r="Q41" i="61" s="1"/>
  <c r="O31" i="1"/>
  <c r="O32" i="1" s="1"/>
  <c r="O41" i="1" s="1"/>
  <c r="L31" i="1"/>
  <c r="L32" i="1" s="1"/>
</calcChain>
</file>

<file path=xl/comments1.xml><?xml version="1.0" encoding="utf-8"?>
<comments xmlns="http://schemas.openxmlformats.org/spreadsheetml/2006/main">
  <authors>
    <author>Cascade Natural Gas</author>
  </authors>
  <commentList>
    <comment ref="X10" authorId="0" shapeId="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authors>
    <author>White, Amy (UTC)</author>
  </authors>
  <commentList>
    <comment ref="C10" authorId="0" shapeId="0">
      <text>
        <r>
          <rPr>
            <b/>
            <sz val="9"/>
            <color indexed="81"/>
            <rFont val="Tahoma"/>
            <family val="2"/>
          </rPr>
          <t>White, Amy (UTC):</t>
        </r>
        <r>
          <rPr>
            <sz val="9"/>
            <color indexed="81"/>
            <rFont val="Tahoma"/>
            <family val="2"/>
          </rPr>
          <t xml:space="preserve">
DR sent
Company response in DR 68:
"The total of $5,000,000 in cell D9 was an estimated amount for 2017.  Actual and revised estimated amounts for the remaining 2017 MAOP validation are listed below."
See table below. 
</t>
        </r>
      </text>
    </comment>
  </commentList>
</comments>
</file>

<file path=xl/comments4.xml><?xml version="1.0" encoding="utf-8"?>
<comments xmlns="http://schemas.openxmlformats.org/spreadsheetml/2006/main">
  <authors>
    <author>Hillstead, Kristen (UTC)</author>
  </authors>
  <commentList>
    <comment ref="D20" authorId="0" shapeId="0">
      <text>
        <r>
          <rPr>
            <b/>
            <sz val="9"/>
            <color indexed="81"/>
            <rFont val="Tahoma"/>
            <family val="2"/>
          </rPr>
          <t>Hillstead, Kristen (UTC):</t>
        </r>
        <r>
          <rPr>
            <sz val="9"/>
            <color indexed="81"/>
            <rFont val="Tahoma"/>
            <family val="2"/>
          </rPr>
          <t xml:space="preserve">
Amy's number
</t>
        </r>
      </text>
    </comment>
  </commentList>
</comments>
</file>

<file path=xl/comments5.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<sst xmlns="http://schemas.openxmlformats.org/spreadsheetml/2006/main" count="3340" uniqueCount="1851">
  <si>
    <t>Results Per</t>
  </si>
  <si>
    <t>Adjustments</t>
  </si>
  <si>
    <t>Adjusted</t>
  </si>
  <si>
    <t>Company</t>
  </si>
  <si>
    <t>Filing</t>
  </si>
  <si>
    <t>SUMMARY SHEET</t>
  </si>
  <si>
    <t>Operating Revenues</t>
  </si>
  <si>
    <t>Operating Expenses</t>
  </si>
  <si>
    <t>Distribution</t>
  </si>
  <si>
    <t>Customer Service</t>
  </si>
  <si>
    <t>Sales</t>
  </si>
  <si>
    <t>Administrative and General</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</si>
  <si>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</si>
  <si>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</si>
  <si>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</si>
  <si>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</si>
  <si>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</si>
  <si>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</si>
  <si>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</si>
  <si>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</si>
  <si>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</si>
  <si>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</si>
  <si>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</si>
  <si>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</si>
  <si>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</si>
  <si>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</si>
  <si>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</si>
  <si>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</si>
  <si>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</si>
  <si>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</si>
  <si>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</si>
  <si>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</si>
  <si>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</si>
  <si>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</si>
  <si>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</si>
  <si>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</si>
  <si>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</si>
  <si>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</si>
  <si>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</si>
  <si>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</si>
  <si>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</si>
  <si>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</si>
  <si>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</si>
  <si>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</si>
  <si>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</si>
  <si>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</si>
  <si>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</si>
  <si>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</si>
  <si>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</si>
  <si>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</si>
  <si>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</si>
  <si>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</si>
  <si>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</si>
  <si>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</si>
  <si>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</si>
  <si>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</si>
  <si>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</si>
  <si>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</si>
  <si>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</si>
  <si>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</si>
  <si>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</si>
  <si>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</si>
  <si>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</si>
  <si>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</si>
  <si>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</si>
  <si>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</si>
  <si>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</si>
  <si>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</si>
  <si>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</si>
  <si>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</si>
  <si>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</si>
  <si>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</si>
  <si>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</si>
  <si>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</si>
  <si>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</si>
  <si>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</si>
  <si>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</si>
  <si>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</si>
  <si>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</si>
  <si>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</si>
  <si>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</si>
  <si>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</si>
  <si>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</si>
  <si>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</si>
  <si>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</si>
  <si>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</si>
  <si>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</si>
  <si>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</si>
  <si>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</si>
  <si>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</si>
  <si>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</si>
  <si>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</si>
  <si>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</si>
  <si>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</si>
  <si>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</si>
  <si>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</si>
  <si>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</si>
  <si>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</si>
  <si>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</si>
  <si>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</si>
  <si>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</si>
  <si>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</si>
  <si>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</si>
  <si>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</si>
  <si>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</si>
  <si>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</si>
  <si>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</si>
  <si>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</si>
  <si>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</si>
  <si>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</si>
  <si>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</si>
  <si>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</si>
  <si>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</si>
  <si>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</si>
  <si>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</si>
  <si>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</si>
  <si>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</si>
  <si>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</si>
  <si>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</si>
  <si>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</si>
  <si>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</si>
  <si>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</si>
  <si>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</si>
  <si>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</si>
  <si>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</si>
  <si>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</si>
  <si>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</si>
  <si>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</si>
  <si>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</si>
  <si>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</si>
  <si>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</si>
  <si>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</si>
  <si>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</si>
  <si>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</si>
  <si>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</si>
  <si>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</si>
  <si>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</si>
  <si>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</si>
  <si>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</si>
  <si>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</si>
  <si>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</si>
  <si>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</si>
  <si>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</si>
  <si>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</si>
  <si>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</si>
  <si>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</si>
  <si>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</si>
  <si>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</si>
  <si>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</si>
  <si>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</si>
  <si>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</si>
  <si>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</si>
  <si>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</si>
  <si>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</si>
  <si>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</si>
  <si>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</si>
  <si>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</si>
  <si>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</si>
  <si>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</si>
  <si>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</si>
  <si>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</si>
  <si>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</si>
  <si>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</si>
  <si>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</si>
  <si>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</si>
  <si>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</si>
  <si>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</si>
  <si>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</si>
  <si>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</si>
  <si>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</si>
  <si>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</si>
  <si>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</si>
  <si>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</si>
  <si>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</si>
  <si>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</si>
  <si>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</si>
  <si>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</si>
  <si>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</si>
  <si>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</si>
  <si>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</si>
  <si>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</si>
  <si>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</si>
  <si>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</si>
  <si>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</si>
  <si>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</si>
  <si>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</si>
  <si>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</si>
  <si>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</si>
  <si>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</si>
  <si>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</si>
  <si>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</si>
  <si>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</si>
  <si>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</si>
  <si>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</si>
  <si>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</si>
  <si>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</si>
  <si>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</si>
  <si>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</si>
  <si>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</si>
  <si>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</si>
  <si>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</si>
  <si>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</si>
  <si>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</si>
  <si>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</si>
  <si>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</si>
  <si>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</si>
  <si>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</si>
  <si>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</si>
  <si>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</si>
  <si>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</si>
  <si>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</si>
  <si>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</si>
  <si>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</si>
  <si>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</si>
  <si>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</si>
  <si>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</si>
  <si>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</si>
  <si>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</si>
  <si>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</si>
  <si>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</si>
  <si>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</si>
  <si>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</si>
  <si>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</si>
  <si>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</si>
  <si>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</si>
  <si>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</si>
  <si>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</si>
  <si>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</si>
  <si>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</si>
  <si>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</si>
  <si>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</si>
  <si>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</si>
  <si>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</si>
  <si>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</si>
  <si>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</si>
  <si>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</si>
  <si>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</si>
  <si>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</si>
  <si>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</si>
  <si>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</si>
  <si>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</si>
  <si>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</si>
  <si>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</si>
  <si>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</si>
  <si>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</si>
  <si>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</si>
  <si>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</si>
  <si>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</si>
  <si>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</si>
  <si>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</si>
  <si>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</si>
  <si>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</si>
  <si>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</si>
  <si>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</si>
  <si>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</si>
  <si>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</si>
  <si>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</si>
  <si>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</si>
  <si>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</si>
  <si>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</si>
  <si>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</si>
  <si>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</si>
  <si>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</si>
  <si>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</si>
  <si>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</si>
  <si>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</si>
  <si>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</si>
  <si>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</si>
  <si>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</si>
  <si>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</si>
  <si>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</si>
  <si>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</si>
  <si>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</si>
  <si>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</si>
  <si>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</si>
  <si>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</si>
  <si>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</si>
  <si>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</si>
  <si>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</si>
  <si>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</si>
  <si>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</si>
  <si>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</si>
  <si>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</si>
  <si>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</si>
  <si>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</si>
  <si>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</si>
  <si>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</si>
  <si>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</si>
  <si>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</si>
  <si>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</si>
  <si>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</si>
  <si>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</si>
  <si>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</si>
  <si>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</si>
  <si>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</si>
  <si>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</si>
  <si>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</si>
  <si>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</si>
  <si>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</si>
  <si>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</si>
  <si>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</si>
  <si>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</si>
  <si>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</si>
  <si>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</si>
  <si>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</si>
  <si>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</si>
  <si>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</si>
  <si>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</si>
  <si>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</si>
  <si>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</si>
  <si>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</si>
  <si>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</si>
  <si>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</si>
  <si>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</si>
  <si>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</si>
  <si>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</si>
  <si>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</si>
  <si>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</si>
  <si>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</si>
  <si>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</si>
  <si>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</si>
  <si>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</si>
  <si>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</si>
  <si>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</si>
  <si>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</si>
  <si>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</si>
  <si>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</si>
  <si>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</si>
  <si>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</si>
  <si>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</si>
  <si>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</si>
  <si>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</si>
  <si>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</si>
  <si>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</si>
  <si>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</si>
  <si>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</si>
  <si>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</si>
  <si>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</si>
  <si>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</si>
  <si>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</si>
  <si>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</si>
  <si>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</si>
  <si>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</si>
  <si>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</si>
  <si>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</si>
  <si>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</si>
  <si>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</si>
  <si>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</si>
  <si>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</si>
  <si>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</si>
  <si>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</si>
  <si>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</si>
  <si>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</si>
  <si>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</si>
  <si>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</si>
  <si>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</si>
  <si>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</si>
  <si>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</si>
  <si>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</si>
  <si>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</si>
  <si>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</si>
  <si>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</si>
  <si>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</si>
  <si>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</si>
  <si>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</si>
  <si>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</si>
  <si>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</si>
  <si>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</si>
  <si>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</si>
  <si>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</si>
  <si>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</si>
  <si>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</si>
  <si>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</si>
  <si>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</si>
  <si>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</si>
  <si>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</si>
  <si>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</si>
  <si>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</si>
  <si>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</si>
  <si>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</si>
  <si>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</si>
  <si>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</si>
  <si>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</si>
  <si>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</si>
  <si>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</si>
  <si>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</si>
  <si>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</si>
  <si>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</si>
  <si>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</si>
  <si>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</si>
  <si>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</si>
  <si>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</si>
  <si>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</si>
  <si>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</si>
  <si>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</si>
  <si>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</si>
  <si>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</si>
  <si>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</si>
  <si>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</si>
  <si>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</si>
  <si>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</si>
  <si>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</si>
  <si>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</si>
  <si>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</si>
  <si>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</si>
  <si>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</si>
  <si>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</si>
  <si>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</si>
  <si>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</si>
  <si>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</si>
  <si>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</si>
  <si>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</si>
  <si>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</si>
  <si>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</si>
  <si>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</si>
  <si>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</si>
  <si>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</si>
  <si>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</si>
  <si>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</si>
  <si>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</si>
  <si>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</si>
  <si>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</si>
  <si>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</si>
  <si>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</si>
  <si>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</si>
  <si>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</si>
  <si>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</si>
  <si>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</si>
  <si>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</si>
  <si>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</si>
  <si>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</si>
  <si>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</si>
  <si>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</si>
  <si>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</si>
  <si>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</si>
  <si>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</si>
  <si>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</si>
  <si>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</si>
  <si>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</si>
  <si>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</si>
  <si>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</si>
  <si>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</si>
  <si>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</si>
  <si>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</si>
  <si>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</si>
  <si>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</si>
  <si>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</si>
  <si>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</si>
  <si>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</si>
  <si>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</si>
  <si>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</si>
  <si>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</si>
  <si>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</si>
  <si>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</si>
  <si>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</si>
  <si>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</si>
  <si>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</si>
  <si>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</si>
  <si>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</si>
  <si>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</si>
  <si>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</si>
  <si>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</si>
  <si>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</si>
  <si>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</si>
  <si>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</si>
  <si>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</si>
  <si>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</si>
  <si>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</si>
  <si>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</si>
  <si>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</si>
  <si>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</si>
  <si>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</si>
  <si>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</si>
  <si>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</si>
  <si>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</si>
  <si>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</si>
  <si>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</si>
  <si>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</si>
  <si>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</si>
  <si>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</si>
  <si>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</si>
  <si>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</si>
  <si>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</si>
  <si>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</si>
  <si>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</si>
  <si>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</si>
  <si>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</si>
  <si>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</si>
  <si>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</si>
  <si>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</si>
  <si>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</si>
  <si>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</si>
  <si>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</si>
  <si>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</si>
  <si>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</si>
  <si>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</si>
  <si>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</si>
  <si>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</si>
  <si>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</si>
  <si>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</si>
  <si>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</si>
  <si>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</si>
  <si>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</si>
  <si>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</si>
  <si>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</si>
  <si>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</si>
  <si>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</si>
  <si>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</si>
  <si>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</si>
  <si>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</si>
  <si>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</si>
  <si>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</si>
  <si>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</si>
  <si>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</si>
  <si>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</si>
  <si>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</si>
  <si>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</si>
  <si>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</si>
  <si>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</si>
  <si>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</si>
  <si>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</si>
  <si>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</si>
  <si>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</si>
  <si>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</si>
  <si>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</si>
  <si>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</si>
  <si>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</si>
  <si>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</si>
  <si>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</si>
  <si>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</si>
  <si>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</si>
  <si>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</si>
  <si>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</si>
  <si>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</si>
  <si>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</si>
  <si>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</si>
  <si>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</si>
  <si>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</si>
  <si>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</si>
  <si>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</si>
  <si>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</si>
  <si>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</si>
  <si>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</si>
  <si>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</si>
  <si>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</si>
  <si>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</si>
  <si>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</si>
  <si>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</si>
  <si>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</si>
  <si>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</si>
  <si>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</si>
  <si>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</si>
  <si>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</si>
  <si>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</si>
  <si>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</si>
  <si>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</si>
  <si>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</si>
  <si>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</si>
  <si>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</si>
  <si>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</si>
  <si>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</si>
  <si>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</si>
  <si>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</si>
  <si>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</si>
  <si>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</si>
  <si>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</si>
  <si>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</si>
  <si>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</si>
  <si>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</si>
  <si>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</si>
  <si>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</si>
  <si>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</si>
  <si>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</si>
  <si>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</si>
  <si>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</si>
  <si>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</si>
  <si>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</si>
  <si>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</si>
  <si>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</si>
  <si>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</si>
  <si>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</si>
  <si>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</si>
  <si>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</si>
  <si>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</si>
  <si>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</si>
  <si>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</si>
  <si>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</si>
  <si>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</si>
  <si>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</si>
  <si>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</si>
  <si>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</si>
  <si>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</si>
  <si>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</si>
  <si>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</si>
  <si>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</si>
  <si>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</si>
  <si>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</si>
  <si>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</si>
  <si>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</si>
  <si>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</si>
  <si>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</si>
  <si>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</si>
  <si>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</si>
  <si>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</si>
  <si>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</si>
  <si>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</si>
  <si>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</si>
  <si>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</si>
  <si>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</si>
  <si>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</si>
  <si>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</si>
  <si>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</si>
  <si>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</si>
  <si>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</si>
  <si>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</si>
  <si>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</si>
  <si>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</si>
  <si>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</si>
  <si>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</si>
  <si>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</si>
  <si>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</si>
  <si>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</si>
  <si>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</si>
  <si>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</si>
  <si>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</si>
  <si>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</si>
  <si>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</si>
  <si>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</si>
  <si>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</si>
  <si>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</si>
  <si>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</si>
  <si>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</si>
  <si>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</si>
  <si>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</si>
  <si>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</si>
  <si>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</si>
  <si>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</si>
  <si>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</si>
  <si>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</si>
  <si>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</si>
  <si>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</si>
  <si>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</si>
  <si>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</si>
  <si>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</si>
  <si>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</si>
  <si>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</si>
  <si>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</si>
  <si>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</si>
  <si>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</si>
  <si>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</si>
  <si>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</si>
  <si>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</si>
  <si>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</si>
  <si>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</si>
  <si>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</si>
  <si>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</si>
  <si>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</si>
  <si>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</si>
  <si>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</si>
  <si>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</si>
  <si>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</si>
  <si>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</si>
  <si>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</si>
  <si>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</si>
  <si>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</si>
  <si>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</si>
  <si>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</si>
  <si>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</si>
  <si>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</si>
  <si>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</si>
  <si>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</si>
  <si>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</si>
  <si>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</si>
  <si>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</si>
  <si>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</si>
  <si>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</si>
  <si>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</si>
  <si>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</si>
  <si>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</si>
  <si>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</si>
  <si>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</si>
  <si>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</si>
  <si>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</si>
  <si>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</si>
  <si>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</si>
  <si>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</si>
  <si>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</si>
  <si>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</si>
  <si>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</si>
  <si>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</si>
  <si>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</si>
  <si>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</si>
  <si>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</si>
  <si>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</si>
  <si>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</si>
  <si>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</si>
  <si>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</si>
  <si>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</si>
  <si>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</si>
  <si>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</si>
  <si>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</si>
  <si>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</si>
  <si>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</si>
  <si>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</si>
  <si>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</si>
  <si>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</si>
  <si>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</si>
  <si>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</si>
  <si>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</si>
  <si>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</si>
  <si>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</si>
  <si>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</si>
  <si>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</si>
  <si>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</si>
  <si>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</si>
  <si>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</si>
  <si>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</si>
  <si>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</si>
  <si>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</si>
  <si>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</si>
  <si>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</si>
  <si>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</si>
  <si>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</si>
  <si>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</si>
  <si>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</si>
  <si>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</si>
  <si>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</si>
  <si>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</si>
  <si>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</si>
  <si>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</si>
  <si>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</si>
  <si>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</si>
  <si>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</si>
  <si>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</si>
  <si>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</si>
  <si>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</si>
  <si>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</si>
  <si>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</si>
  <si>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</si>
  <si>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</si>
  <si>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</si>
  <si>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</si>
  <si>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</si>
  <si>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</si>
  <si>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</si>
  <si>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</si>
  <si>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</si>
  <si>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</si>
  <si>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</si>
  <si>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</si>
  <si>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</si>
  <si>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</si>
  <si>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</si>
  <si>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</si>
  <si>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</si>
  <si>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</si>
  <si>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</si>
  <si>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</si>
  <si>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</si>
  <si>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</si>
  <si>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</si>
  <si>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</si>
  <si>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</si>
  <si>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</si>
  <si>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</si>
  <si>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</si>
  <si>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</si>
  <si>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</si>
  <si>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</si>
  <si>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</si>
  <si>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</si>
  <si>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</si>
  <si>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</si>
  <si>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</si>
  <si>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</si>
  <si>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</si>
  <si>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</si>
  <si>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</si>
  <si>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</si>
  <si>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</si>
  <si>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</si>
  <si>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</si>
  <si>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</si>
  <si>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</si>
  <si>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</si>
  <si>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</si>
  <si>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</si>
  <si>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</si>
  <si>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</si>
  <si>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</si>
  <si>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</si>
  <si>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</si>
  <si>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</si>
  <si>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</si>
  <si>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</si>
  <si>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</si>
  <si>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</si>
  <si>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</si>
  <si>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</si>
  <si>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</si>
  <si>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</si>
  <si>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</si>
  <si>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</si>
  <si>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</si>
  <si>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</si>
  <si>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</si>
  <si>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</si>
  <si>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</si>
  <si>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</si>
  <si>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</si>
  <si>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</si>
  <si>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</si>
  <si>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</si>
  <si>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</si>
  <si>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</si>
  <si>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</si>
  <si>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</si>
  <si>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</si>
  <si>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</si>
  <si>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</si>
  <si>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</si>
  <si>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</si>
  <si>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</si>
  <si>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</si>
  <si>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</si>
  <si>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</si>
  <si>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</si>
  <si>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</si>
  <si>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</si>
  <si>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</si>
  <si>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</si>
  <si>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</si>
  <si>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</si>
  <si>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</si>
  <si>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</si>
  <si>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</si>
  <si>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</si>
  <si>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</si>
  <si>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</si>
  <si>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</si>
  <si>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</si>
  <si>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</si>
  <si>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</si>
  <si>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</si>
  <si>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</si>
  <si>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</si>
  <si>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</si>
  <si>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</si>
  <si>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</si>
  <si>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</si>
  <si>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</si>
  <si>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</si>
  <si>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</si>
  <si>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</si>
  <si>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</si>
  <si>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</si>
  <si>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</si>
  <si>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</si>
  <si>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</si>
  <si>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</si>
  <si>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</si>
  <si>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</si>
  <si>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</si>
  <si>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</si>
  <si>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</si>
  <si>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</si>
  <si>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</si>
  <si>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</si>
  <si>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</si>
  <si>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</si>
  <si>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</si>
  <si>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</si>
  <si>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</si>
  <si>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</si>
  <si>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</si>
  <si>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</si>
  <si>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</si>
  <si>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</si>
  <si>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</si>
  <si>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</si>
  <si>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</si>
  <si>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</si>
  <si>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</si>
  <si>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</si>
  <si>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Concentrix</t>
  </si>
  <si>
    <t>Depreciation Expense  -  Rate 2.58%</t>
  </si>
  <si>
    <t xml:space="preserve">   Accumulated Depr. (Avg)</t>
  </si>
  <si>
    <t>Accum Tax depreciation</t>
  </si>
  <si>
    <t xml:space="preserve">   Accum Def Tax (Avg)</t>
  </si>
  <si>
    <t>Rate Bate</t>
  </si>
  <si>
    <t>UTC Fees</t>
  </si>
  <si>
    <t>State B&amp;O Tax</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</si>
  <si>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</si>
  <si>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</si>
  <si>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</si>
  <si>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</si>
  <si>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</si>
  <si>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</si>
  <si>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</si>
  <si>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</si>
  <si>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</si>
  <si>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</si>
  <si>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</si>
  <si>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</si>
  <si>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</si>
  <si>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</si>
  <si>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</si>
  <si>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</si>
  <si>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</si>
  <si>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</si>
  <si>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</si>
  <si>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</si>
  <si>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</si>
  <si>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</si>
  <si>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</si>
  <si>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</si>
  <si>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</si>
  <si>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</si>
  <si>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</si>
  <si>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</si>
  <si>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</si>
  <si>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</si>
  <si>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</si>
  <si>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</si>
  <si>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</si>
  <si>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</si>
  <si>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</si>
  <si>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</si>
  <si>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</si>
  <si>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</si>
  <si>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</si>
  <si>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</si>
  <si>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</si>
  <si>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</si>
  <si>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</si>
  <si>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</si>
  <si>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</si>
  <si>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</si>
  <si>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</si>
  <si>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</si>
  <si>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</si>
  <si>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</si>
  <si>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R-3</t>
  </si>
  <si>
    <t>Restate</t>
  </si>
  <si>
    <t>Plant</t>
  </si>
  <si>
    <t>Res</t>
  </si>
  <si>
    <t>Comm&amp; Indust</t>
  </si>
  <si>
    <t>Trans</t>
  </si>
  <si>
    <t>----------------</t>
  </si>
  <si>
    <t>Capital Structure Calculation</t>
  </si>
  <si>
    <t>Pro Forma Wage Adjustment</t>
  </si>
  <si>
    <t>Rate Case Costs</t>
  </si>
  <si>
    <t>Revenue Adjustment</t>
  </si>
  <si>
    <t>Twelve Months Ended December 31, 2016</t>
  </si>
  <si>
    <t>12 Months Ended December 31, 2016</t>
  </si>
  <si>
    <t xml:space="preserve">                       -  </t>
  </si>
  <si>
    <t xml:space="preserve">                        -  </t>
  </si>
  <si>
    <t>Ended 12/31/2016</t>
  </si>
  <si>
    <t>12 Months ended December 31, 2016</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</si>
  <si>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</si>
  <si>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</si>
  <si>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</si>
  <si>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</si>
  <si>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</si>
  <si>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</si>
  <si>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</si>
  <si>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</si>
  <si>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</si>
  <si>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</si>
  <si>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</si>
  <si>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</si>
  <si>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</si>
  <si>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</si>
  <si>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</si>
  <si>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</si>
  <si>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</si>
  <si>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</si>
  <si>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</si>
  <si>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</si>
  <si>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</si>
  <si>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</si>
  <si>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</si>
  <si>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</si>
  <si>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</si>
  <si>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</si>
  <si>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</si>
  <si>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</si>
  <si>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</si>
  <si>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</si>
  <si>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</si>
  <si>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</si>
  <si>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</si>
  <si>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</si>
  <si>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</si>
  <si>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</si>
  <si>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</si>
  <si>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</si>
  <si>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</si>
  <si>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</si>
  <si>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</si>
  <si>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</si>
  <si>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</si>
  <si>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</si>
  <si>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</si>
  <si>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</si>
  <si>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</si>
  <si>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Less 2016 Actual Expense</t>
  </si>
  <si>
    <t>Miscellaneous</t>
  </si>
  <si>
    <t>Charge</t>
  </si>
  <si>
    <t>Changes</t>
  </si>
  <si>
    <t>29030A</t>
  </si>
  <si>
    <t>29200A</t>
  </si>
  <si>
    <t>Low-Income</t>
  </si>
  <si>
    <t>Bill</t>
  </si>
  <si>
    <t>Assistance</t>
  </si>
  <si>
    <t>Jan</t>
  </si>
  <si>
    <t>Feb</t>
  </si>
  <si>
    <t>Mar</t>
  </si>
  <si>
    <t>Apr</t>
  </si>
  <si>
    <t>May</t>
  </si>
  <si>
    <t>Jun</t>
  </si>
  <si>
    <t>Jul</t>
  </si>
  <si>
    <t>Aug</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</si>
  <si>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</si>
  <si>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</si>
  <si>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</si>
  <si>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</si>
  <si>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</si>
  <si>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</si>
  <si>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</si>
  <si>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</si>
  <si>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</si>
  <si>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</si>
  <si>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</si>
  <si>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</si>
  <si>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</si>
  <si>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</si>
  <si>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</si>
  <si>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</si>
  <si>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</si>
  <si>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</si>
  <si>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</si>
  <si>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</si>
  <si>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</si>
  <si>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</si>
  <si>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</si>
  <si>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</si>
  <si>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</si>
  <si>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</si>
  <si>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</si>
  <si>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</si>
  <si>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</si>
  <si>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</si>
  <si>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</si>
  <si>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</si>
  <si>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</si>
  <si>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</si>
  <si>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</si>
  <si>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</si>
  <si>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</si>
  <si>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</si>
  <si>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</si>
  <si>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</si>
  <si>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</si>
  <si>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</si>
  <si>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</si>
  <si>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</si>
  <si>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</si>
  <si>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</si>
  <si>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</si>
  <si>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</si>
  <si>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</si>
  <si>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</si>
  <si>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</si>
  <si>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</si>
  <si>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</si>
  <si>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</si>
  <si>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</si>
  <si>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</si>
  <si>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</si>
  <si>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</si>
  <si>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</si>
  <si>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</si>
  <si>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</si>
  <si>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</si>
  <si>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</si>
  <si>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</si>
  <si>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</si>
  <si>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</si>
  <si>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</si>
  <si>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</si>
  <si>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</si>
  <si>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</si>
  <si>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</si>
  <si>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</si>
  <si>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</si>
  <si>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</si>
  <si>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</si>
  <si>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</si>
  <si>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</si>
  <si>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</si>
  <si>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</si>
  <si>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</si>
  <si>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</si>
  <si>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</si>
  <si>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</si>
  <si>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</si>
  <si>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</si>
  <si>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</si>
  <si>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</si>
  <si>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</si>
  <si>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</si>
  <si>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</si>
  <si>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</si>
  <si>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</si>
  <si>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</si>
  <si>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</si>
  <si>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</si>
  <si>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</si>
  <si>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</si>
  <si>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</si>
  <si>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</si>
  <si>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</si>
  <si>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</si>
  <si>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</si>
  <si>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</si>
  <si>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</si>
  <si>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</si>
  <si>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</si>
  <si>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</si>
  <si>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</si>
  <si>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</si>
  <si>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</si>
  <si>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</si>
  <si>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</si>
  <si>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</si>
  <si>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</si>
  <si>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</si>
  <si>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</si>
  <si>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</si>
  <si>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</si>
  <si>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</si>
  <si>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</si>
  <si>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</si>
  <si>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</si>
  <si>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</si>
  <si>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</si>
  <si>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</si>
  <si>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</si>
  <si>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</si>
  <si>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</si>
  <si>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</si>
  <si>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</si>
  <si>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</si>
  <si>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</si>
  <si>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</si>
  <si>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</si>
  <si>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</si>
  <si>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</si>
  <si>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</si>
  <si>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</si>
  <si>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</si>
  <si>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</si>
  <si>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</si>
  <si>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</si>
  <si>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</si>
  <si>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</si>
  <si>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</si>
  <si>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</si>
  <si>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</si>
  <si>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</si>
  <si>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</si>
  <si>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</si>
  <si>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</si>
  <si>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</si>
  <si>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</si>
  <si>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</si>
  <si>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</si>
  <si>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</si>
  <si>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</si>
  <si>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</si>
  <si>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</si>
  <si>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</si>
  <si>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</si>
  <si>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</si>
  <si>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</si>
  <si>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</si>
  <si>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</si>
  <si>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</si>
  <si>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</si>
  <si>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</si>
  <si>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</si>
  <si>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</si>
  <si>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</si>
  <si>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</si>
  <si>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</si>
  <si>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</si>
  <si>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</si>
  <si>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</si>
  <si>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</si>
  <si>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</si>
  <si>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</si>
  <si>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</si>
  <si>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</si>
  <si>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</si>
  <si>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</si>
  <si>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</si>
  <si>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</si>
  <si>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</si>
  <si>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</si>
  <si>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</si>
  <si>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</si>
  <si>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</si>
  <si>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</si>
  <si>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</si>
  <si>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</si>
  <si>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</si>
  <si>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</si>
  <si>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</si>
  <si>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</si>
  <si>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</si>
  <si>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</si>
  <si>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</si>
  <si>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</si>
  <si>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</si>
  <si>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</si>
  <si>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</si>
  <si>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</si>
  <si>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</si>
  <si>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</si>
  <si>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</si>
  <si>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</si>
  <si>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</si>
  <si>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</si>
  <si>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</si>
  <si>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</si>
  <si>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</si>
  <si>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</si>
  <si>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</si>
  <si>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</si>
  <si>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</si>
  <si>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</si>
  <si>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</si>
  <si>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</si>
  <si>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Operating Report</t>
  </si>
  <si>
    <t xml:space="preserve">    REVENUES</t>
  </si>
  <si>
    <t xml:space="preserve">  Nat. Gas/Production Costs</t>
  </si>
  <si>
    <t xml:space="preserve">  Revenue Taxes</t>
  </si>
  <si>
    <t xml:space="preserve">    REVENUE</t>
  </si>
  <si>
    <t>July</t>
  </si>
  <si>
    <t>August</t>
  </si>
  <si>
    <t>Notes:</t>
  </si>
  <si>
    <t>Expense</t>
  </si>
  <si>
    <t>Results</t>
  </si>
  <si>
    <t>Overall Revenue Increase</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</si>
  <si>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</si>
  <si>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</si>
  <si>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</si>
  <si>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</si>
  <si>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</si>
  <si>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</si>
  <si>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UG 17_____</t>
  </si>
  <si>
    <t>Michael P. Parvinen</t>
  </si>
  <si>
    <t>MPP WP-1.5</t>
  </si>
  <si>
    <t>MPP WP-1.7</t>
  </si>
  <si>
    <t>ADJUSTMENT WORKPAPERS</t>
  </si>
  <si>
    <t>Pro Forma Compliance Department</t>
  </si>
  <si>
    <t>CRM Adjustment (a)</t>
  </si>
  <si>
    <t>CRM Adjustment (b)</t>
  </si>
  <si>
    <t>Line No:</t>
  </si>
  <si>
    <t>B</t>
  </si>
  <si>
    <t>C</t>
  </si>
  <si>
    <t>A</t>
  </si>
  <si>
    <t xml:space="preserve">C </t>
  </si>
  <si>
    <t>D</t>
  </si>
  <si>
    <t>E</t>
  </si>
  <si>
    <t>F</t>
  </si>
  <si>
    <t>G</t>
  </si>
  <si>
    <t>H</t>
  </si>
  <si>
    <t>I</t>
  </si>
  <si>
    <t>J</t>
  </si>
  <si>
    <t>K</t>
  </si>
  <si>
    <t>L</t>
  </si>
  <si>
    <t>M</t>
  </si>
  <si>
    <t>N</t>
  </si>
  <si>
    <t>O</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</si>
  <si>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</si>
  <si>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</si>
  <si>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</si>
  <si>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</si>
  <si>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</si>
  <si>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</si>
  <si>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</si>
  <si>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</si>
  <si>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</si>
  <si>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</si>
  <si>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</si>
  <si>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</si>
  <si>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</si>
  <si>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</si>
  <si>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</si>
  <si>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</si>
  <si>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</si>
  <si>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</si>
  <si>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</si>
  <si>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</si>
  <si>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</si>
  <si>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</si>
  <si>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</si>
  <si>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</si>
  <si>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</si>
  <si>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</si>
  <si>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</si>
  <si>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</si>
  <si>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</si>
  <si>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</si>
  <si>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</si>
  <si>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</si>
  <si>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</si>
  <si>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</si>
  <si>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</si>
  <si>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</si>
  <si>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</si>
  <si>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</si>
  <si>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</si>
  <si>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</si>
  <si>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</si>
  <si>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</si>
  <si>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</si>
  <si>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</si>
  <si>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</si>
  <si>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</si>
  <si>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</si>
  <si>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</si>
  <si>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</si>
  <si>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</si>
  <si>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</si>
  <si>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</si>
  <si>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</si>
  <si>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</si>
  <si>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</si>
  <si>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</si>
  <si>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</si>
  <si>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</si>
  <si>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</si>
  <si>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</si>
  <si>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</si>
  <si>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</si>
  <si>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</si>
  <si>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</si>
  <si>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</si>
  <si>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</si>
  <si>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</si>
  <si>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</si>
  <si>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</si>
  <si>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</si>
  <si>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</si>
  <si>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</si>
  <si>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</si>
  <si>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</si>
  <si>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</si>
  <si>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</si>
  <si>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</si>
  <si>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</si>
  <si>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</si>
  <si>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</si>
  <si>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</si>
  <si>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</si>
  <si>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</si>
  <si>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</si>
  <si>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</si>
  <si>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</si>
  <si>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</si>
  <si>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</si>
  <si>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</si>
  <si>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</si>
  <si>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</si>
  <si>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</si>
  <si>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</si>
  <si>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</si>
  <si>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</si>
  <si>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</si>
  <si>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</si>
  <si>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</si>
  <si>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</si>
  <si>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</si>
  <si>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</si>
  <si>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</si>
  <si>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</si>
  <si>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</si>
  <si>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</si>
  <si>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</si>
  <si>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</si>
  <si>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</si>
  <si>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</si>
  <si>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</si>
  <si>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</si>
  <si>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</si>
  <si>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</si>
  <si>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</si>
  <si>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</si>
  <si>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</si>
  <si>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</si>
  <si>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</si>
  <si>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</si>
  <si>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</si>
  <si>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</si>
  <si>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</si>
  <si>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</si>
  <si>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</si>
  <si>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</si>
  <si>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</si>
  <si>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</si>
  <si>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</si>
  <si>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</si>
  <si>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</si>
  <si>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</si>
  <si>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</si>
  <si>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</si>
  <si>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</si>
  <si>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</si>
  <si>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</si>
  <si>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</si>
  <si>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</si>
  <si>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</si>
  <si>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</si>
  <si>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</si>
  <si>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</si>
  <si>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</si>
  <si>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</si>
  <si>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</si>
  <si>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</si>
  <si>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</si>
  <si>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</si>
  <si>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</si>
  <si>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</si>
  <si>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</si>
  <si>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</si>
  <si>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</si>
  <si>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</si>
  <si>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</si>
  <si>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</si>
  <si>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</si>
  <si>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</si>
  <si>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</si>
  <si>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</si>
  <si>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</si>
  <si>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</si>
  <si>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</si>
  <si>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</si>
  <si>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</si>
  <si>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</si>
  <si>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</si>
  <si>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</si>
  <si>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</si>
  <si>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</si>
  <si>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</si>
  <si>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</si>
  <si>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</si>
  <si>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</si>
  <si>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</si>
  <si>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</si>
  <si>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</si>
  <si>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</si>
  <si>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</si>
  <si>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</si>
  <si>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</si>
  <si>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</si>
  <si>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</si>
  <si>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</si>
  <si>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</si>
  <si>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</si>
  <si>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</si>
  <si>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</si>
  <si>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</si>
  <si>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</si>
  <si>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</si>
  <si>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</si>
  <si>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</si>
  <si>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</si>
  <si>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</si>
  <si>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</si>
  <si>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</si>
  <si>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</si>
  <si>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</si>
  <si>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</si>
  <si>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</si>
  <si>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</si>
  <si>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</si>
  <si>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</si>
  <si>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</si>
  <si>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</si>
  <si>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</si>
  <si>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</si>
  <si>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</si>
  <si>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</si>
  <si>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</si>
  <si>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</si>
  <si>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</si>
  <si>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</si>
  <si>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</si>
  <si>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</si>
  <si>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</si>
  <si>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</si>
  <si>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</si>
  <si>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</si>
  <si>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</si>
  <si>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</si>
  <si>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</si>
  <si>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</si>
  <si>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</si>
  <si>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</si>
  <si>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</si>
  <si>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</si>
  <si>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</si>
  <si>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</si>
  <si>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</si>
  <si>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</si>
  <si>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</si>
  <si>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</si>
  <si>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</si>
  <si>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</si>
  <si>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</si>
  <si>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</si>
  <si>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</si>
  <si>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</si>
  <si>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</si>
  <si>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</si>
  <si>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Sept</t>
  </si>
  <si>
    <t>Oct</t>
  </si>
  <si>
    <t>Nov</t>
  </si>
  <si>
    <t>Dec</t>
  </si>
  <si>
    <t>Ties to</t>
  </si>
  <si>
    <t>Amounts</t>
  </si>
  <si>
    <t>Included in</t>
  </si>
  <si>
    <t>UG-160788</t>
  </si>
  <si>
    <t>2016 CRM Filing</t>
  </si>
  <si>
    <t>Test Year AMA Amount</t>
  </si>
  <si>
    <t xml:space="preserve">Line No. </t>
  </si>
  <si>
    <t>P</t>
  </si>
  <si>
    <t>Q</t>
  </si>
  <si>
    <t>R</t>
  </si>
  <si>
    <t>S</t>
  </si>
  <si>
    <t>T</t>
  </si>
  <si>
    <t>U</t>
  </si>
  <si>
    <t>V</t>
  </si>
  <si>
    <t>W</t>
  </si>
  <si>
    <t>X</t>
  </si>
  <si>
    <t>Y</t>
  </si>
  <si>
    <t>Z</t>
  </si>
  <si>
    <t>AB</t>
  </si>
  <si>
    <t>AC</t>
  </si>
  <si>
    <t>AD</t>
  </si>
  <si>
    <t>AE</t>
  </si>
  <si>
    <t>Plant in Service &amp; Accumulated Depreciation</t>
  </si>
  <si>
    <t>MPP WP-1.20</t>
  </si>
  <si>
    <t>AF</t>
  </si>
  <si>
    <t>AG</t>
  </si>
  <si>
    <t>AH</t>
  </si>
  <si>
    <t>AI</t>
  </si>
  <si>
    <t>AJ</t>
  </si>
  <si>
    <t>AK</t>
  </si>
  <si>
    <t>AL</t>
  </si>
  <si>
    <t>AM</t>
  </si>
  <si>
    <t>AN</t>
  </si>
  <si>
    <t>AO</t>
  </si>
  <si>
    <t>AP</t>
  </si>
  <si>
    <t>AQ</t>
  </si>
  <si>
    <t>AR</t>
  </si>
  <si>
    <t>AT</t>
  </si>
  <si>
    <t>AU</t>
  </si>
  <si>
    <t>AV</t>
  </si>
  <si>
    <t>AW</t>
  </si>
  <si>
    <t>Advance for Construction &amp; Deferred Taxes</t>
  </si>
  <si>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</si>
  <si>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</si>
  <si>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</si>
  <si>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</si>
  <si>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</si>
  <si>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</si>
  <si>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</si>
  <si>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</si>
  <si>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</si>
  <si>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</si>
  <si>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</si>
  <si>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</si>
  <si>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</si>
  <si>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</si>
  <si>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</si>
  <si>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</si>
  <si>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</si>
  <si>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</si>
  <si>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</si>
  <si>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</si>
  <si>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</si>
  <si>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</si>
  <si>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</si>
  <si>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</si>
  <si>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</si>
  <si>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</si>
  <si>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</si>
  <si>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</si>
  <si>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</si>
  <si>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</si>
  <si>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</si>
  <si>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</si>
  <si>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</si>
  <si>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</si>
  <si>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</si>
  <si>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</si>
  <si>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</si>
  <si>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</si>
  <si>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</si>
  <si>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</si>
  <si>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</si>
  <si>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</si>
  <si>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</si>
  <si>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</si>
  <si>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</si>
  <si>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</si>
  <si>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</si>
  <si>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</si>
  <si>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</si>
  <si>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</si>
  <si>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</si>
  <si>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2017 est.</t>
  </si>
  <si>
    <t>All figures above are exported from ""Power Plant" the company's plant accounting software</t>
  </si>
  <si>
    <t>Figures are exported from JDE the company's accounting software</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</si>
  <si>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</si>
  <si>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</si>
  <si>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</si>
  <si>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</si>
  <si>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</si>
  <si>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</si>
  <si>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</si>
  <si>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</si>
  <si>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</si>
  <si>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</si>
  <si>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</si>
  <si>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</si>
  <si>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</si>
  <si>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</si>
  <si>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State Allocation Formula</t>
  </si>
  <si>
    <t>MPP WP-1.22</t>
  </si>
  <si>
    <t>Staff Proposed</t>
  </si>
  <si>
    <t>Staff Propsed</t>
  </si>
  <si>
    <t>Remove</t>
  </si>
  <si>
    <t>decrease</t>
  </si>
  <si>
    <t xml:space="preserve">Remove </t>
  </si>
  <si>
    <t>Incentive Pay</t>
  </si>
  <si>
    <t>SISP/SERP</t>
  </si>
  <si>
    <t>ISWC</t>
  </si>
  <si>
    <t xml:space="preserve">2014 Arbitration </t>
  </si>
  <si>
    <t>per books</t>
  </si>
  <si>
    <t>UTC-1</t>
  </si>
  <si>
    <t>UTC-2</t>
  </si>
  <si>
    <t>UTC-3</t>
  </si>
  <si>
    <t>UTC-4</t>
  </si>
  <si>
    <t>(k10)</t>
  </si>
  <si>
    <t>(CW)</t>
  </si>
  <si>
    <t>Dave's #</t>
  </si>
  <si>
    <t>(DP)</t>
  </si>
  <si>
    <t>(AW)</t>
  </si>
  <si>
    <t>UTC-5</t>
  </si>
  <si>
    <t>(JL)</t>
  </si>
  <si>
    <t>Restating</t>
  </si>
  <si>
    <t>original value</t>
  </si>
  <si>
    <t>changed and linked</t>
  </si>
  <si>
    <t>changed, based on Jan-Aug 2016 rates; linked to MCR-2 instead.</t>
  </si>
  <si>
    <t>linked; not changed</t>
  </si>
  <si>
    <t>Difference from As Filed</t>
  </si>
  <si>
    <t>compare to MCR-2</t>
  </si>
  <si>
    <t>changed, W thru Z; linked.</t>
  </si>
  <si>
    <t>not changed; linked</t>
  </si>
  <si>
    <t>9-month Weather normalization adjustment priced at Jan - Aug 2016 price</t>
  </si>
  <si>
    <t>12-month Weather normalization adjustment priced at Sept 2016 price</t>
  </si>
  <si>
    <t>Difference</t>
  </si>
  <si>
    <t xml:space="preserve">Wage </t>
  </si>
  <si>
    <t>Adj</t>
  </si>
  <si>
    <t>corrected in DR</t>
  </si>
  <si>
    <t>Company's Original Workpaper</t>
  </si>
  <si>
    <t xml:space="preserve">Staff's calculation </t>
  </si>
  <si>
    <t xml:space="preserve"> Staff's Allowed Amounts</t>
  </si>
  <si>
    <r>
      <t>Amortization Period (years)</t>
    </r>
    <r>
      <rPr>
        <vertAlign val="superscript"/>
        <sz val="12"/>
        <color theme="1"/>
        <rFont val="Times New Roman"/>
        <family val="1"/>
      </rPr>
      <t>1</t>
    </r>
  </si>
  <si>
    <r>
      <rPr>
        <vertAlign val="superscript"/>
        <sz val="12"/>
        <color theme="1"/>
        <rFont val="Times New Roman"/>
        <family val="1"/>
      </rPr>
      <t>1</t>
    </r>
    <r>
      <rPr>
        <sz val="12"/>
        <color theme="1"/>
        <rFont val="Times New Roman"/>
        <family val="1"/>
      </rPr>
      <t>Remaining period of the program after rate case effective date</t>
    </r>
  </si>
  <si>
    <t>Cascade Natural Gas Corp</t>
  </si>
  <si>
    <t xml:space="preserve">Analysis of Company Data Request Responses in DRs 68, 93, 117 and 118 </t>
  </si>
  <si>
    <t xml:space="preserve">To calculate MAOP adjustment </t>
  </si>
  <si>
    <r>
      <t xml:space="preserve">Company's DR responses are in plain font; </t>
    </r>
    <r>
      <rPr>
        <i/>
        <sz val="12"/>
        <color theme="1"/>
        <rFont val="Times New Roman"/>
        <family val="1"/>
      </rPr>
      <t>Staff's work is in italics</t>
    </r>
  </si>
  <si>
    <t>2017 – Actuals &amp; Estimates</t>
  </si>
  <si>
    <t xml:space="preserve">Staff's Calculation of 2017 Allowed Amount </t>
  </si>
  <si>
    <t>Company's response to staff DR 68</t>
  </si>
  <si>
    <t>Pipeline classification from Company's response to DR 118</t>
  </si>
  <si>
    <t>Staff Recommendation</t>
  </si>
  <si>
    <t xml:space="preserve">Staff Comment </t>
  </si>
  <si>
    <t>Allowed</t>
  </si>
  <si>
    <t xml:space="preserve">Disallowed </t>
  </si>
  <si>
    <t>Sum of Amount</t>
  </si>
  <si>
    <t>MATERIALS</t>
  </si>
  <si>
    <t xml:space="preserve">2" Burbank HP Pressure Test   </t>
  </si>
  <si>
    <t>allow</t>
  </si>
  <si>
    <t>4" South Moses Lake HP Pressure Test</t>
  </si>
  <si>
    <t>12” Grandview Rd. Line</t>
  </si>
  <si>
    <t>disallow</t>
  </si>
  <si>
    <t>WESCO DISTRIBUTION INC</t>
  </si>
  <si>
    <t>Materials for MAOP Validation</t>
  </si>
  <si>
    <t>PERMIT FEE</t>
  </si>
  <si>
    <t>Permit Fee for MAOP Validation</t>
  </si>
  <si>
    <t xml:space="preserve">BROTHERS PIPELINE CORP        </t>
  </si>
  <si>
    <t>Contractor to excavate and verify fittings on 8” &amp; 12” Kitsap Lines</t>
  </si>
  <si>
    <t>8" line, pre-code; 12" line-post code</t>
  </si>
  <si>
    <t>allow 34.4%</t>
  </si>
  <si>
    <t>Per company's 12/31/17 MAOP plan in docket UG-150120, 8" line, 18,760.2 feet, 34.4% of total; 12" line, 15.2 plus 35827.6 feet, 65.6% of total</t>
  </si>
  <si>
    <t xml:space="preserve">INFRASOURCE CONST LLC         </t>
  </si>
  <si>
    <r>
      <t>Contractor for 2</t>
    </r>
    <r>
      <rPr>
        <sz val="11"/>
        <color rgb="FF000000"/>
        <rFont val="Times New Roman"/>
        <family val="1"/>
      </rPr>
      <t>" Burbank HP and 4” South Moses Lake HP Pressure Tests</t>
    </r>
  </si>
  <si>
    <t xml:space="preserve">pre-code </t>
  </si>
  <si>
    <t xml:space="preserve">JACOBS CONSULTANCY INC        </t>
  </si>
  <si>
    <t>AP1173 Audit</t>
  </si>
  <si>
    <t>KIEFNER AND ASSOCIATES INC – A</t>
  </si>
  <si>
    <t>$40,000*</t>
  </si>
  <si>
    <t>Material Testing, 8” Bellingham Line, 8” Attalia Line, 6” Wenatchee Line, and 12” Grandview Rd Line</t>
  </si>
  <si>
    <t>Bellingham/Attalia, pre-code; Wenatchee/Grandview Rd, post-code</t>
  </si>
  <si>
    <t xml:space="preserve">allow pre-code only, see calculation below </t>
  </si>
  <si>
    <t xml:space="preserve">MISTRAS GROUP INC             </t>
  </si>
  <si>
    <t>Non-Destructive Testing and Third-Party Inspection for MAOP Validation</t>
  </si>
  <si>
    <t xml:space="preserve">RAWHIDE LEASING               </t>
  </si>
  <si>
    <r>
      <t xml:space="preserve">Compressed Natural Gas Supply for </t>
    </r>
    <r>
      <rPr>
        <sz val="11"/>
        <color rgb="FF000000"/>
        <rFont val="Times New Roman"/>
        <family val="1"/>
      </rPr>
      <t>2" Burbank HP Pressure Test</t>
    </r>
  </si>
  <si>
    <t>Pre-code</t>
  </si>
  <si>
    <t>SNELSON COMPANIES INC</t>
  </si>
  <si>
    <t>$100,000*</t>
  </si>
  <si>
    <t>MAOP Validation on 16” North Whatcom Valve Settings and 12” Grandview Rd. Line</t>
  </si>
  <si>
    <t>Both lines are post-code, see below</t>
  </si>
  <si>
    <t xml:space="preserve">ABI SERVICES, LLC </t>
  </si>
  <si>
    <t>In-situ testing for determination of MAOP data gaps.</t>
  </si>
  <si>
    <t xml:space="preserve">PARAMETRIX INC                </t>
  </si>
  <si>
    <t>$400,000*</t>
  </si>
  <si>
    <t>see calculation below</t>
  </si>
  <si>
    <t xml:space="preserve">allow, see calculation below  </t>
  </si>
  <si>
    <t xml:space="preserve">DAS-CO OF IDAHO               </t>
  </si>
  <si>
    <t xml:space="preserve">TRC ENVIRONMENTAL CORPORATION </t>
  </si>
  <si>
    <t>Records Review and MAOP Validation</t>
  </si>
  <si>
    <t>per company's pipeline management plan and staff's analysis, 44.3% of pipeline footage is pre-code, 55.7% is post-code; hence, staff will disallow 55.7% of this aggregate expense</t>
  </si>
  <si>
    <t xml:space="preserve">Staff's Total 2017 Expenses allowed </t>
  </si>
  <si>
    <t>*Estimated Amount</t>
  </si>
  <si>
    <t>2018 – Revised Estimate</t>
  </si>
  <si>
    <t>Explanation 1</t>
  </si>
  <si>
    <t>PARAMETRIX INC</t>
  </si>
  <si>
    <t>cannot determine</t>
  </si>
  <si>
    <t>All 2018 amounts are estimates only</t>
  </si>
  <si>
    <t xml:space="preserve">ABI SERVICES, LLC             </t>
  </si>
  <si>
    <t>Staff is unable to calculate an known and measurable amount</t>
  </si>
  <si>
    <t>PIPELINE CONTRACTOR</t>
  </si>
  <si>
    <t>8" Central Whatcom HP Line Pressure Test</t>
  </si>
  <si>
    <t>8" Bellingham HP Line Pressure Test</t>
  </si>
  <si>
    <t>4" Sedro Woolley HP Line Pressure Test</t>
  </si>
  <si>
    <t>4" Northwest Pasco HP Line / 4" Glade Road HP Pressure Test</t>
  </si>
  <si>
    <t>4" Othello HP Line Pressure Test</t>
  </si>
  <si>
    <t>2” Elma Rendering Plant HP Line Pressure Test</t>
  </si>
  <si>
    <t>8" March Point HP Line Pressure Test</t>
  </si>
  <si>
    <t>MATERIAL TESTING CONTRACTOR</t>
  </si>
  <si>
    <t>Material property testing for MAOP validation</t>
  </si>
  <si>
    <t>Company's Response to DR 93</t>
  </si>
  <si>
    <t xml:space="preserve">The company provided information about the asterisked * estimated charges remaining for 2017 in DR 93.  Staff  calculates line item allowable amounts in this table. </t>
  </si>
  <si>
    <t xml:space="preserve">Approximate costs remaining for 2017 </t>
  </si>
  <si>
    <t>Staff's calculation of allowable 2017 costs</t>
  </si>
  <si>
    <t>Contractor</t>
  </si>
  <si>
    <t xml:space="preserve">Est Cost </t>
  </si>
  <si>
    <t xml:space="preserve">For </t>
  </si>
  <si>
    <t xml:space="preserve">Quote from company </t>
  </si>
  <si>
    <t xml:space="preserve">Staff comment </t>
  </si>
  <si>
    <t xml:space="preserve">staff analysis / allowed </t>
  </si>
  <si>
    <t xml:space="preserve">Kiefner has completed $24,644.50 for the testing on the 8” Bellingham and 8” Attalia line.  Material testing costs are approximately $9,115 per sample.    Kiefner is currently in the process of testing 3 more samples, estimated cost for the remaining testing is approximately $18,000.  </t>
  </si>
  <si>
    <t xml:space="preserve">Disallow costs for Wenatachee (1973) and Grandview Road as post-code </t>
  </si>
  <si>
    <t xml:space="preserve">Disallow half of this materials testing since two of four are post-code </t>
  </si>
  <si>
    <t>3 @ $9115</t>
  </si>
  <si>
    <t xml:space="preserve">approx subtotal </t>
  </si>
  <si>
    <t>Less: disallowance</t>
  </si>
  <si>
    <t>Amount allowed</t>
  </si>
  <si>
    <r>
      <t>“</t>
    </r>
    <r>
      <rPr>
        <i/>
        <sz val="12"/>
        <color theme="1"/>
        <rFont val="Times New Roman"/>
        <family val="1"/>
      </rPr>
      <t>estimated project costs will be between $50,000 - $60,000”</t>
    </r>
  </si>
  <si>
    <t xml:space="preserve">Disallow  </t>
  </si>
  <si>
    <t xml:space="preserve">Both segments are post-code, per DR 11 8 , disallow </t>
  </si>
  <si>
    <t xml:space="preserve">Parametrix has completed 2017 work; Estimated cost is $390,326.03. </t>
  </si>
  <si>
    <t xml:space="preserve">Allow </t>
  </si>
  <si>
    <t xml:space="preserve">Staff has reviewed scope of work in contract, all were pre-code projects. $390,326 is the contract amt. </t>
  </si>
  <si>
    <t>Original estimate for these vendors</t>
  </si>
  <si>
    <t>Total Estimated costs allowed</t>
  </si>
  <si>
    <t xml:space="preserve">Company's Response to Staff DR 117 </t>
  </si>
  <si>
    <t>Post-Code</t>
  </si>
  <si>
    <t>2046</t>
  </si>
  <si>
    <t>WA MAOP Regulatory Asset</t>
  </si>
  <si>
    <t>Pre-Code</t>
  </si>
  <si>
    <t>Pre/Post-Code</t>
  </si>
  <si>
    <t>WA MAOP Deferred Costs</t>
  </si>
  <si>
    <t>20479</t>
  </si>
  <si>
    <t xml:space="preserve">Staff's analysis of Allowable Costs for </t>
  </si>
  <si>
    <t xml:space="preserve">Total </t>
  </si>
  <si>
    <t>Pre/Post-Code (see note)</t>
  </si>
  <si>
    <t xml:space="preserve">Conclusion: Post-code pipe should all be documented already.  Staff will disallow 55.7 percent of aggregate </t>
  </si>
  <si>
    <t>Pipeline classification</t>
  </si>
  <si>
    <t>Feet</t>
  </si>
  <si>
    <t>Pct of total feet</t>
  </si>
  <si>
    <t xml:space="preserve">  expenses such as documentation audits, based on the overall percentage of pipeline footage, as they</t>
  </si>
  <si>
    <t xml:space="preserve">Pre-code </t>
  </si>
  <si>
    <r>
      <t xml:space="preserve"> </t>
    </r>
    <r>
      <rPr>
        <i/>
        <sz val="10"/>
        <color rgb="FF000000"/>
        <rFont val="Times New Roman"/>
        <family val="1"/>
      </rPr>
      <t xml:space="preserve">are related to documenting post-code pipe.  Staff feels this is being conservative  and generous to the </t>
    </r>
  </si>
  <si>
    <t xml:space="preserve">Post-code </t>
  </si>
  <si>
    <r>
      <t xml:space="preserve">  </t>
    </r>
    <r>
      <rPr>
        <i/>
        <sz val="10"/>
        <color rgb="FF000000"/>
        <rFont val="Times New Roman"/>
        <family val="1"/>
      </rPr>
      <t>company</t>
    </r>
    <r>
      <rPr>
        <sz val="10"/>
        <color rgb="FF000000"/>
        <rFont val="Times New Roman"/>
        <family val="1"/>
      </rPr>
      <t xml:space="preserve"> </t>
    </r>
    <r>
      <rPr>
        <i/>
        <sz val="10"/>
        <color rgb="FF000000"/>
        <rFont val="Times New Roman"/>
        <family val="1"/>
      </rPr>
      <t xml:space="preserve">as a case could be made to disallow 84.3% of these aggregate expenses based on the number of </t>
    </r>
  </si>
  <si>
    <r>
      <t xml:space="preserve"> </t>
    </r>
    <r>
      <rPr>
        <i/>
        <sz val="10"/>
        <color rgb="FF000000"/>
        <rFont val="Times New Roman"/>
        <family val="1"/>
      </rPr>
      <t xml:space="preserve">pipeline segments.See staff analysis Pipeline Analysis Summary. </t>
    </r>
  </si>
  <si>
    <t>Company's response to staff DR118</t>
  </si>
  <si>
    <r>
      <t xml:space="preserve">For </t>
    </r>
    <r>
      <rPr>
        <u/>
        <sz val="12"/>
        <color theme="1"/>
        <rFont val="Times New Roman"/>
        <family val="1"/>
      </rPr>
      <t xml:space="preserve">each </t>
    </r>
    <r>
      <rPr>
        <sz val="12"/>
        <color theme="1"/>
        <rFont val="Times New Roman"/>
        <family val="1"/>
      </rPr>
      <t xml:space="preserve">location/project listed in the Company responses above, please provide the following information: </t>
    </r>
  </si>
  <si>
    <t>Project</t>
  </si>
  <si>
    <t>Work Order Number(s) as found in Company’s MAOP Determination and Validation Plan filed December 2017</t>
  </si>
  <si>
    <t xml:space="preserve">For Each Work Order Number, is this project working on pre-code or post-code pipe? </t>
  </si>
  <si>
    <t xml:space="preserve">2017 projects </t>
  </si>
  <si>
    <t xml:space="preserve">2" Burbank HP Pressure Test </t>
  </si>
  <si>
    <t>8” Kitsap Lines</t>
  </si>
  <si>
    <t>20C6308</t>
  </si>
  <si>
    <t>12” Kitsap Lines</t>
  </si>
  <si>
    <t>44000, 44000-T</t>
  </si>
  <si>
    <t>4” South Moses Lake HP Pressure Test</t>
  </si>
  <si>
    <t>8” Bellingham Line</t>
  </si>
  <si>
    <t>Line 1-1</t>
  </si>
  <si>
    <t>8” Attalia Line</t>
  </si>
  <si>
    <t>01C4776</t>
  </si>
  <si>
    <t>6” Wenatchee Line</t>
  </si>
  <si>
    <t>12” Grandview Rd Line</t>
  </si>
  <si>
    <t>MAOP Validation on 16” North Whatcom Valve Settings</t>
  </si>
  <si>
    <t>MAOP Validation on 12” Grandview Rd. Line</t>
  </si>
  <si>
    <t>2018 projects</t>
  </si>
  <si>
    <t>14C1344</t>
  </si>
  <si>
    <t>4" Northwest Pasco HP Line /</t>
  </si>
  <si>
    <t>11097 (1)</t>
  </si>
  <si>
    <t>4" Glade Road HP Pressure Test</t>
  </si>
  <si>
    <t>11097 (2)</t>
  </si>
  <si>
    <t>59C7038</t>
  </si>
  <si>
    <t>78C7902</t>
  </si>
  <si>
    <t>11C1144, 11C5628, 2080</t>
  </si>
  <si>
    <t>This table is included to show the company's response to questions regarding the status of pipelines</t>
  </si>
  <si>
    <t xml:space="preserve">undergoing testing and repair. </t>
  </si>
  <si>
    <t>UTC-6</t>
  </si>
  <si>
    <t>and Before Tax</t>
  </si>
  <si>
    <t>Estimated Tax</t>
  </si>
  <si>
    <t>Impact</t>
  </si>
  <si>
    <t>Staff</t>
  </si>
  <si>
    <t>Proposed</t>
  </si>
  <si>
    <t>( c)</t>
  </si>
  <si>
    <t>(d)</t>
  </si>
  <si>
    <t>( e)</t>
  </si>
  <si>
    <t>(f)</t>
  </si>
  <si>
    <t>(g)</t>
  </si>
  <si>
    <t>Net Operating Income</t>
  </si>
  <si>
    <t>Federal Income Tax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</si>
</sst>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quot;$&quot;#,##0.00"/>
    <numFmt numFmtId="193" formatCode="#,##0.000000000_);\(#,##0.000000000\)"/>
    <numFmt numFmtId="194" formatCode="#,##0.0000000000_);[Red]\(#,##0.0000000000\)"/>
    <numFmt numFmtId="195" formatCode="#,##0.0000_);\(#,##0.0000\)"/>
    <numFmt numFmtId="196" formatCode="mmm\-yy_)"/>
    <numFmt numFmtId="197" formatCode="0_)"/>
    <numFmt numFmtId="198" formatCode="#,##0.000000_);\(#,##0.000000\)"/>
    <numFmt numFmtId="199" formatCode="0.0%"/>
  </numFmts>
  <fonts count="18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
      <i/>
      <sz val="11"/>
      <name val="Times New Roman"/>
      <family val="1"/>
    </font>
    <font>
      <sz val="36"/>
      <color rgb="FFFF0000"/>
      <name val="Times New Roman"/>
      <family val="1"/>
    </font>
    <font>
      <sz val="12"/>
      <color rgb="FF00B050"/>
      <name val="Times New Roman"/>
      <family val="1"/>
    </font>
    <font>
      <sz val="12"/>
      <color theme="3" tint="0.39997558519241921"/>
      <name val="Times New Roman"/>
      <family val="1"/>
    </font>
    <font>
      <sz val="11"/>
      <color theme="1"/>
      <name val="Times New Roman"/>
      <family val="1"/>
    </font>
    <font>
      <i/>
      <sz val="11"/>
      <color theme="1"/>
      <name val="Times New Roman"/>
      <family val="1"/>
    </font>
    <font>
      <i/>
      <sz val="9"/>
      <color theme="1"/>
      <name val="Times New Roman"/>
      <family val="1"/>
    </font>
    <font>
      <vertAlign val="superscript"/>
      <sz val="12"/>
      <color theme="1"/>
      <name val="Times New Roman"/>
      <family val="1"/>
    </font>
    <font>
      <b/>
      <sz val="16"/>
      <color theme="1"/>
      <name val="Times New Roman"/>
      <family val="1"/>
    </font>
    <font>
      <u val="singleAccounting"/>
      <sz val="11"/>
      <color theme="1"/>
      <name val="Times New Roman"/>
      <family val="1"/>
    </font>
    <font>
      <b/>
      <i/>
      <sz val="16"/>
      <color theme="1"/>
      <name val="Times New Roman"/>
      <family val="1"/>
    </font>
    <font>
      <b/>
      <i/>
      <sz val="12"/>
      <color theme="1"/>
      <name val="Times New Roman"/>
      <family val="1"/>
    </font>
    <font>
      <sz val="10"/>
      <color rgb="FFFFFFFF"/>
      <name val="Times New Roman"/>
      <family val="1"/>
    </font>
    <font>
      <b/>
      <sz val="10"/>
      <color rgb="FFFFFFFF"/>
      <name val="Times New Roman"/>
      <family val="1"/>
    </font>
    <font>
      <sz val="11"/>
      <color rgb="FF000000"/>
      <name val="Times New Roman"/>
      <family val="1"/>
    </font>
    <font>
      <sz val="11"/>
      <color rgb="FF262626"/>
      <name val="Times New Roman"/>
      <family val="1"/>
    </font>
    <font>
      <b/>
      <sz val="11"/>
      <color rgb="FF000000"/>
      <name val="Times New Roman"/>
      <family val="1"/>
    </font>
    <font>
      <sz val="11"/>
      <color rgb="FFFFFFFF"/>
      <name val="Times New Roman"/>
      <family val="1"/>
    </font>
    <font>
      <i/>
      <sz val="14"/>
      <color theme="1"/>
      <name val="Times New Roman"/>
      <family val="1"/>
    </font>
    <font>
      <sz val="10"/>
      <color theme="1"/>
      <name val="Times New Roman"/>
      <family val="1"/>
    </font>
    <font>
      <i/>
      <sz val="10"/>
      <color theme="1"/>
      <name val="Times New Roman"/>
      <family val="1"/>
    </font>
    <font>
      <i/>
      <sz val="11"/>
      <color rgb="FF262626"/>
      <name val="Times New Roman"/>
      <family val="1"/>
    </font>
    <font>
      <i/>
      <sz val="10"/>
      <color rgb="FF262626"/>
      <name val="Times New Roman"/>
      <family val="1"/>
    </font>
    <font>
      <i/>
      <u/>
      <sz val="10"/>
      <color theme="1"/>
      <name val="Times New Roman"/>
      <family val="1"/>
    </font>
    <font>
      <b/>
      <i/>
      <sz val="10"/>
      <color theme="1"/>
      <name val="Times New Roman"/>
      <family val="1"/>
    </font>
    <font>
      <b/>
      <i/>
      <sz val="10"/>
      <color rgb="FF262626"/>
      <name val="Times New Roman"/>
      <family val="1"/>
    </font>
    <font>
      <b/>
      <sz val="11"/>
      <color indexed="12"/>
      <name val="Times New Roman"/>
      <family val="1"/>
    </font>
    <font>
      <b/>
      <sz val="10"/>
      <name val="Times New Roman"/>
      <family val="1"/>
    </font>
    <font>
      <b/>
      <sz val="11"/>
      <color theme="1"/>
      <name val="Times New Roman"/>
      <family val="1"/>
    </font>
    <font>
      <b/>
      <i/>
      <sz val="11"/>
      <color rgb="FF000000"/>
      <name val="Times New Roman"/>
      <family val="1"/>
    </font>
    <font>
      <i/>
      <sz val="11"/>
      <color rgb="FF000000"/>
      <name val="Times New Roman"/>
      <family val="1"/>
    </font>
    <font>
      <b/>
      <i/>
      <sz val="11"/>
      <color rgb="FF262626"/>
      <name val="Times New Roman"/>
      <family val="1"/>
    </font>
    <font>
      <b/>
      <i/>
      <sz val="11"/>
      <color theme="1"/>
      <name val="Times New Roman"/>
      <family val="1"/>
    </font>
    <font>
      <i/>
      <sz val="10"/>
      <color rgb="FF000000"/>
      <name val="Times New Roman"/>
      <family val="1"/>
    </font>
    <font>
      <sz val="10"/>
      <color rgb="FF000000"/>
      <name val="Times New Roman"/>
      <family val="1"/>
    </font>
    <font>
      <b/>
      <sz val="10"/>
      <color theme="1"/>
      <name val="Times New Roman"/>
      <family val="1"/>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0000"/>
        <bgColor indexed="64"/>
      </patternFill>
    </fill>
  </fills>
  <borders count="1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top style="double">
        <color indexed="64"/>
      </top>
      <bottom style="double">
        <color auto="1"/>
      </bottom>
      <diagonal/>
    </border>
  </borders>
  <cellStyleXfs count="25798">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1" applyNumberFormat="0" applyFont="0" applyAlignment="0" applyProtection="0">
      <protection locked="0"/>
    </xf>
    <xf numFmtId="0" fontId="63" fillId="59" borderId="71"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1"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1"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2" applyNumberFormat="0" applyAlignment="0" applyProtection="0"/>
    <xf numFmtId="0" fontId="102" fillId="79" borderId="72" applyNumberFormat="0" applyAlignment="0" applyProtection="0"/>
    <xf numFmtId="0" fontId="102" fillId="79" borderId="72" applyNumberFormat="0" applyAlignment="0" applyProtection="0"/>
    <xf numFmtId="0" fontId="102" fillId="79" borderId="72" applyNumberFormat="0" applyAlignment="0" applyProtection="0"/>
    <xf numFmtId="0" fontId="110" fillId="77" borderId="72" applyNumberFormat="0" applyAlignment="0" applyProtection="0"/>
    <xf numFmtId="0" fontId="110" fillId="77" borderId="72" applyNumberFormat="0" applyAlignment="0" applyProtection="0"/>
    <xf numFmtId="0" fontId="110" fillId="77" borderId="72" applyNumberFormat="0" applyAlignment="0" applyProtection="0"/>
    <xf numFmtId="0" fontId="110" fillId="77" borderId="72" applyNumberFormat="0" applyAlignment="0" applyProtection="0"/>
    <xf numFmtId="0" fontId="19" fillId="76" borderId="73" applyNumberFormat="0" applyFont="0" applyAlignment="0" applyProtection="0"/>
    <xf numFmtId="0" fontId="19" fillId="76" borderId="73" applyNumberFormat="0" applyFont="0" applyAlignment="0" applyProtection="0"/>
    <xf numFmtId="0" fontId="19" fillId="76" borderId="73" applyNumberFormat="0" applyFont="0" applyAlignment="0" applyProtection="0"/>
    <xf numFmtId="0" fontId="19" fillId="76" borderId="73" applyNumberFormat="0" applyFont="0" applyAlignment="0" applyProtection="0"/>
    <xf numFmtId="0" fontId="19" fillId="76" borderId="73" applyNumberFormat="0" applyFont="0" applyAlignment="0" applyProtection="0"/>
    <xf numFmtId="0" fontId="19" fillId="76" borderId="73" applyNumberFormat="0" applyFont="0" applyAlignment="0" applyProtection="0"/>
    <xf numFmtId="0" fontId="114" fillId="79" borderId="74" applyNumberFormat="0" applyAlignment="0" applyProtection="0"/>
    <xf numFmtId="0" fontId="114" fillId="79" borderId="74" applyNumberFormat="0" applyAlignment="0" applyProtection="0"/>
    <xf numFmtId="0" fontId="114" fillId="79" borderId="74" applyNumberFormat="0" applyAlignment="0" applyProtection="0"/>
    <xf numFmtId="0" fontId="114" fillId="79" borderId="74" applyNumberFormat="0" applyAlignment="0" applyProtection="0"/>
    <xf numFmtId="0" fontId="114" fillId="79" borderId="74" applyNumberFormat="0" applyAlignment="0" applyProtection="0"/>
    <xf numFmtId="0" fontId="114" fillId="79" borderId="74" applyNumberFormat="0" applyAlignment="0" applyProtection="0"/>
    <xf numFmtId="4" fontId="27" fillId="37" borderId="75" applyNumberFormat="0" applyProtection="0">
      <alignment vertical="center"/>
    </xf>
    <xf numFmtId="4" fontId="46" fillId="38" borderId="75" applyNumberFormat="0" applyProtection="0">
      <alignment vertical="center"/>
    </xf>
    <xf numFmtId="4" fontId="27" fillId="38" borderId="75" applyNumberFormat="0" applyProtection="0">
      <alignment horizontal="left" vertical="center" indent="1"/>
    </xf>
    <xf numFmtId="0" fontId="27" fillId="38" borderId="75" applyNumberFormat="0" applyProtection="0">
      <alignment horizontal="left" vertical="top" indent="1"/>
    </xf>
    <xf numFmtId="4" fontId="47" fillId="39" borderId="75" applyNumberFormat="0" applyProtection="0">
      <alignment horizontal="right" vertical="center"/>
    </xf>
    <xf numFmtId="4" fontId="47" fillId="40" borderId="75" applyNumberFormat="0" applyProtection="0">
      <alignment horizontal="right" vertical="center"/>
    </xf>
    <xf numFmtId="4" fontId="47" fillId="41" borderId="75" applyNumberFormat="0" applyProtection="0">
      <alignment horizontal="right" vertical="center"/>
    </xf>
    <xf numFmtId="4" fontId="47" fillId="42" borderId="75" applyNumberFormat="0" applyProtection="0">
      <alignment horizontal="right" vertical="center"/>
    </xf>
    <xf numFmtId="4" fontId="47" fillId="43" borderId="75" applyNumberFormat="0" applyProtection="0">
      <alignment horizontal="right" vertical="center"/>
    </xf>
    <xf numFmtId="4" fontId="47" fillId="44" borderId="75" applyNumberFormat="0" applyProtection="0">
      <alignment horizontal="right" vertical="center"/>
    </xf>
    <xf numFmtId="4" fontId="47" fillId="45" borderId="75" applyNumberFormat="0" applyProtection="0">
      <alignment horizontal="right" vertical="center"/>
    </xf>
    <xf numFmtId="4" fontId="47" fillId="46" borderId="75" applyNumberFormat="0" applyProtection="0">
      <alignment horizontal="right" vertical="center"/>
    </xf>
    <xf numFmtId="4" fontId="47" fillId="47" borderId="75" applyNumberFormat="0" applyProtection="0">
      <alignment horizontal="right" vertical="center"/>
    </xf>
    <xf numFmtId="4" fontId="47" fillId="51" borderId="75" applyNumberFormat="0" applyProtection="0">
      <alignment horizontal="right" vertical="center"/>
    </xf>
    <xf numFmtId="0" fontId="19" fillId="50" borderId="75" applyNumberFormat="0" applyProtection="0">
      <alignment horizontal="left" vertical="center" indent="1"/>
    </xf>
    <xf numFmtId="0" fontId="19" fillId="84" borderId="75" applyNumberFormat="0" applyProtection="0">
      <alignment horizontal="left" vertical="center" indent="1"/>
    </xf>
    <xf numFmtId="0" fontId="19" fillId="84" borderId="75" applyNumberFormat="0" applyProtection="0">
      <alignment horizontal="left" vertical="center" indent="1"/>
    </xf>
    <xf numFmtId="0" fontId="19" fillId="50" borderId="75" applyNumberFormat="0" applyProtection="0">
      <alignment horizontal="left" vertical="top" indent="1"/>
    </xf>
    <xf numFmtId="0" fontId="19" fillId="84" borderId="75" applyNumberFormat="0" applyProtection="0">
      <alignment horizontal="left" vertical="top" indent="1"/>
    </xf>
    <xf numFmtId="0" fontId="19" fillId="84" borderId="75" applyNumberFormat="0" applyProtection="0">
      <alignment horizontal="left" vertical="top" indent="1"/>
    </xf>
    <xf numFmtId="0" fontId="19" fillId="34" borderId="75" applyNumberFormat="0" applyProtection="0">
      <alignment horizontal="left" vertical="center" indent="1"/>
    </xf>
    <xf numFmtId="0" fontId="19" fillId="51" borderId="75" applyNumberFormat="0" applyProtection="0">
      <alignment horizontal="left" vertical="center" indent="1"/>
    </xf>
    <xf numFmtId="0" fontId="19" fillId="51" borderId="75" applyNumberFormat="0" applyProtection="0">
      <alignment horizontal="left" vertical="center" indent="1"/>
    </xf>
    <xf numFmtId="0" fontId="19" fillId="34" borderId="75" applyNumberFormat="0" applyProtection="0">
      <alignment horizontal="left" vertical="top" indent="1"/>
    </xf>
    <xf numFmtId="0" fontId="19" fillId="51" borderId="75" applyNumberFormat="0" applyProtection="0">
      <alignment horizontal="left" vertical="top" indent="1"/>
    </xf>
    <xf numFmtId="0" fontId="19" fillId="51" borderId="75" applyNumberFormat="0" applyProtection="0">
      <alignment horizontal="left" vertical="top" indent="1"/>
    </xf>
    <xf numFmtId="0" fontId="19" fillId="54" borderId="75" applyNumberFormat="0" applyProtection="0">
      <alignment horizontal="left" vertical="center" indent="1"/>
    </xf>
    <xf numFmtId="0" fontId="19" fillId="85" borderId="75" applyNumberFormat="0" applyProtection="0">
      <alignment horizontal="left" vertical="center" indent="1"/>
    </xf>
    <xf numFmtId="0" fontId="19" fillId="85" borderId="75" applyNumberFormat="0" applyProtection="0">
      <alignment horizontal="left" vertical="center" indent="1"/>
    </xf>
    <xf numFmtId="0" fontId="19" fillId="54" borderId="75" applyNumberFormat="0" applyProtection="0">
      <alignment horizontal="left" vertical="top" indent="1"/>
    </xf>
    <xf numFmtId="0" fontId="19" fillId="85" borderId="75" applyNumberFormat="0" applyProtection="0">
      <alignment horizontal="left" vertical="top" indent="1"/>
    </xf>
    <xf numFmtId="0" fontId="19" fillId="85" borderId="75" applyNumberFormat="0" applyProtection="0">
      <alignment horizontal="left" vertical="top" indent="1"/>
    </xf>
    <xf numFmtId="0" fontId="19" fillId="55" borderId="75" applyNumberFormat="0" applyProtection="0">
      <alignment horizontal="left" vertical="center" indent="1"/>
    </xf>
    <xf numFmtId="0" fontId="19" fillId="49" borderId="75" applyNumberFormat="0" applyProtection="0">
      <alignment horizontal="left" vertical="center" indent="1"/>
    </xf>
    <xf numFmtId="0" fontId="19" fillId="49" borderId="75" applyNumberFormat="0" applyProtection="0">
      <alignment horizontal="left" vertical="center" indent="1"/>
    </xf>
    <xf numFmtId="0" fontId="19" fillId="55" borderId="75" applyNumberFormat="0" applyProtection="0">
      <alignment horizontal="left" vertical="top" indent="1"/>
    </xf>
    <xf numFmtId="0" fontId="19" fillId="49" borderId="75" applyNumberFormat="0" applyProtection="0">
      <alignment horizontal="left" vertical="top" indent="1"/>
    </xf>
    <xf numFmtId="0" fontId="19" fillId="49" borderId="75" applyNumberFormat="0" applyProtection="0">
      <alignment horizontal="left" vertical="top" indent="1"/>
    </xf>
    <xf numFmtId="4" fontId="47" fillId="35" borderId="75" applyNumberFormat="0" applyProtection="0">
      <alignment vertical="center"/>
    </xf>
    <xf numFmtId="4" fontId="51" fillId="35" borderId="75" applyNumberFormat="0" applyProtection="0">
      <alignment vertical="center"/>
    </xf>
    <xf numFmtId="4" fontId="47" fillId="35" borderId="75" applyNumberFormat="0" applyProtection="0">
      <alignment horizontal="left" vertical="center" indent="1"/>
    </xf>
    <xf numFmtId="0" fontId="47" fillId="35" borderId="75" applyNumberFormat="0" applyProtection="0">
      <alignment horizontal="left" vertical="top" indent="1"/>
    </xf>
    <xf numFmtId="4" fontId="47" fillId="0" borderId="75" applyNumberFormat="0" applyProtection="0">
      <alignment horizontal="right" vertical="center"/>
    </xf>
    <xf numFmtId="4" fontId="51" fillId="49" borderId="75" applyNumberFormat="0" applyProtection="0">
      <alignment horizontal="right" vertical="center"/>
    </xf>
    <xf numFmtId="4" fontId="47" fillId="0" borderId="75" applyNumberFormat="0" applyProtection="0">
      <alignment horizontal="left" vertical="center" indent="1"/>
    </xf>
    <xf numFmtId="0" fontId="47" fillId="34" borderId="75" applyNumberFormat="0" applyProtection="0">
      <alignment horizontal="left" vertical="top"/>
    </xf>
    <xf numFmtId="4" fontId="25" fillId="49" borderId="75" applyNumberFormat="0" applyProtection="0">
      <alignment horizontal="right" vertical="center"/>
    </xf>
    <xf numFmtId="0" fontId="105" fillId="0" borderId="76" applyNumberFormat="0" applyFill="0" applyAlignment="0" applyProtection="0"/>
    <xf numFmtId="0" fontId="105" fillId="0" borderId="76" applyNumberFormat="0" applyFill="0" applyAlignment="0" applyProtection="0"/>
    <xf numFmtId="0" fontId="105" fillId="0" borderId="76" applyNumberFormat="0" applyFill="0" applyAlignment="0" applyProtection="0"/>
    <xf numFmtId="0" fontId="105" fillId="0" borderId="76" applyNumberFormat="0" applyFill="0" applyAlignment="0" applyProtection="0"/>
    <xf numFmtId="0" fontId="105" fillId="0" borderId="76" applyNumberFormat="0" applyFill="0" applyAlignment="0" applyProtection="0"/>
    <xf numFmtId="0" fontId="105" fillId="0" borderId="76"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7" fillId="0" borderId="0"/>
    <xf numFmtId="0" fontId="18" fillId="0" borderId="0"/>
    <xf numFmtId="44" fontId="18" fillId="0" borderId="0" applyFont="0" applyFill="0" applyBorder="0" applyProtection="0">
      <alignment horizontal="right"/>
    </xf>
  </cellStyleXfs>
  <cellXfs count="1283">
    <xf numFmtId="0" fontId="0" fillId="0" borderId="0" xfId="0"/>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wrapText="1"/>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0" fontId="124" fillId="0" borderId="0" xfId="0" applyFont="1" applyBorder="1" applyAlignment="1">
      <alignment horizontal="center"/>
    </xf>
    <xf numFmtId="0" fontId="124" fillId="0" borderId="0" xfId="0" applyFont="1" applyBorder="1"/>
    <xf numFmtId="0" fontId="124" fillId="0" borderId="0" xfId="0" applyFont="1" applyBorder="1" applyAlignment="1">
      <alignment horizontal="left"/>
    </xf>
    <xf numFmtId="0" fontId="124" fillId="0" borderId="0" xfId="0" applyFont="1" applyFill="1"/>
    <xf numFmtId="0" fontId="124" fillId="0" borderId="0" xfId="0" applyFont="1" applyFill="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24690" applyFont="1" applyFill="1" applyBorder="1" applyAlignment="1">
      <alignment horizont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79" xfId="1" applyNumberFormat="1" applyFont="1" applyFill="1" applyBorder="1" applyAlignment="1">
      <alignment horizontal="center"/>
    </xf>
    <xf numFmtId="0" fontId="32" fillId="0" borderId="80" xfId="1" applyFont="1" applyBorder="1"/>
    <xf numFmtId="0" fontId="32" fillId="0" borderId="78" xfId="1" applyFont="1" applyBorder="1"/>
    <xf numFmtId="0" fontId="32" fillId="0" borderId="78" xfId="1" applyFont="1" applyBorder="1" applyAlignment="1">
      <alignment horizontal="center"/>
    </xf>
    <xf numFmtId="0" fontId="32" fillId="0" borderId="80" xfId="1" applyFont="1" applyBorder="1" applyAlignment="1">
      <alignment horizontal="center"/>
    </xf>
    <xf numFmtId="0" fontId="32" fillId="0" borderId="77"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8"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8" xfId="2" applyNumberFormat="1" applyFont="1" applyFill="1" applyBorder="1" applyProtection="1"/>
    <xf numFmtId="38" fontId="32" fillId="0" borderId="80" xfId="2" applyNumberFormat="1" applyFont="1" applyFill="1" applyBorder="1" applyProtection="1"/>
    <xf numFmtId="38" fontId="32" fillId="0" borderId="11" xfId="2" applyNumberFormat="1" applyFont="1" applyFill="1" applyBorder="1" applyProtection="1"/>
    <xf numFmtId="168" fontId="124" fillId="0" borderId="0" xfId="25793"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6" xfId="3" applyNumberFormat="1" applyFont="1" applyFill="1" applyBorder="1">
      <alignment horizontal="right"/>
    </xf>
    <xf numFmtId="38" fontId="32" fillId="33" borderId="81" xfId="3" applyNumberFormat="1" applyFont="1" applyFill="1" applyBorder="1">
      <alignment horizontal="right"/>
    </xf>
    <xf numFmtId="38" fontId="32" fillId="33" borderId="0" xfId="3" applyNumberFormat="1" applyFont="1" applyFill="1" applyBorder="1">
      <alignment horizontal="right"/>
    </xf>
    <xf numFmtId="38" fontId="32" fillId="33" borderId="85"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8" xfId="4" applyNumberFormat="1" applyFont="1" applyFill="1" applyBorder="1"/>
    <xf numFmtId="10" fontId="32" fillId="0" borderId="100"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85" fontId="124" fillId="0" borderId="55" xfId="0" applyNumberFormat="1" applyFont="1" applyBorder="1"/>
    <xf numFmtId="190" fontId="126" fillId="0" borderId="81"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32" fillId="86" borderId="11" xfId="24767" applyNumberFormat="1" applyFont="1" applyFill="1" applyBorder="1"/>
    <xf numFmtId="185" fontId="32" fillId="87" borderId="11" xfId="24767" applyNumberFormat="1" applyFont="1" applyFill="1" applyBorder="1"/>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129" fillId="0" borderId="0" xfId="0" applyFont="1"/>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91"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9" xfId="25455" applyFont="1" applyBorder="1"/>
    <xf numFmtId="164" fontId="32" fillId="0" borderId="78" xfId="25455" applyNumberFormat="1" applyFont="1" applyBorder="1" applyAlignment="1"/>
    <xf numFmtId="0" fontId="32" fillId="0" borderId="80" xfId="25455" applyFont="1" applyBorder="1"/>
    <xf numFmtId="0" fontId="32" fillId="0" borderId="0" xfId="25455" applyFont="1" applyBorder="1"/>
    <xf numFmtId="0" fontId="32" fillId="0" borderId="77" xfId="25455" applyFont="1" applyFill="1" applyBorder="1" applyAlignment="1">
      <alignment horizontal="center"/>
    </xf>
    <xf numFmtId="0" fontId="32" fillId="0" borderId="77" xfId="25455" applyFont="1" applyBorder="1" applyAlignment="1">
      <alignment horizontal="center"/>
    </xf>
    <xf numFmtId="0" fontId="123" fillId="0" borderId="94"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8"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7" xfId="25457" applyNumberFormat="1" applyFont="1" applyBorder="1">
      <alignment horizontal="right"/>
    </xf>
    <xf numFmtId="5" fontId="123" fillId="0" borderId="77"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86" borderId="14" xfId="25457" applyNumberFormat="1" applyFont="1" applyFill="1" applyBorder="1">
      <alignment horizontal="right"/>
    </xf>
    <xf numFmtId="5" fontId="32" fillId="87" borderId="14" xfId="25457" applyNumberFormat="1" applyFont="1" applyFill="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3"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0" fontId="123" fillId="0" borderId="79" xfId="0" applyFont="1" applyBorder="1"/>
    <xf numFmtId="43" fontId="124" fillId="0" borderId="0" xfId="25745"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5" applyNumberFormat="1" applyFont="1" applyAlignment="1">
      <alignment horizontal="center"/>
    </xf>
    <xf numFmtId="0" fontId="32" fillId="0" borderId="78" xfId="0" applyFont="1" applyBorder="1"/>
    <xf numFmtId="0" fontId="32" fillId="92" borderId="0" xfId="0" applyFont="1" applyFill="1"/>
    <xf numFmtId="0" fontId="32" fillId="0" borderId="78" xfId="0" applyFont="1" applyBorder="1" applyAlignment="1">
      <alignment wrapText="1"/>
    </xf>
    <xf numFmtId="0" fontId="123" fillId="0" borderId="78" xfId="0" applyFont="1" applyBorder="1" applyAlignment="1">
      <alignment horizontal="center" wrapText="1"/>
    </xf>
    <xf numFmtId="0" fontId="123" fillId="0" borderId="0" xfId="0" applyFont="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77" xfId="25455" applyNumberFormat="1" applyFont="1" applyFill="1" applyBorder="1" applyAlignment="1">
      <alignment horizontal="center"/>
    </xf>
    <xf numFmtId="39" fontId="32" fillId="0" borderId="77" xfId="25455" applyNumberFormat="1" applyFont="1" applyFill="1" applyBorder="1" applyAlignment="1">
      <alignment horizontal="center"/>
    </xf>
    <xf numFmtId="43" fontId="32" fillId="0" borderId="77" xfId="25455" applyNumberFormat="1" applyFont="1" applyBorder="1" applyAlignment="1">
      <alignment horizontal="center"/>
    </xf>
    <xf numFmtId="43" fontId="32" fillId="0" borderId="77" xfId="25745"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5" applyNumberFormat="1" applyFont="1" applyFill="1" applyBorder="1" applyAlignment="1">
      <alignment horizontal="center"/>
    </xf>
    <xf numFmtId="0" fontId="123" fillId="92" borderId="78" xfId="0" applyFont="1" applyFill="1" applyBorder="1" applyAlignment="1">
      <alignment horizontal="center"/>
    </xf>
    <xf numFmtId="39" fontId="123" fillId="92" borderId="88" xfId="25743" applyFont="1" applyFill="1" applyBorder="1" applyAlignment="1" applyProtection="1">
      <alignment horizontal="center" wrapText="1"/>
    </xf>
    <xf numFmtId="191" fontId="123" fillId="94" borderId="54" xfId="25743" applyNumberFormat="1" applyFont="1" applyFill="1" applyBorder="1" applyAlignment="1" applyProtection="1">
      <alignment horizontal="center" wrapText="1"/>
    </xf>
    <xf numFmtId="39" fontId="123" fillId="94" borderId="88" xfId="25743" applyFont="1" applyFill="1" applyBorder="1" applyAlignment="1" applyProtection="1">
      <alignment horizontal="center" wrapText="1"/>
    </xf>
    <xf numFmtId="39" fontId="123" fillId="94" borderId="56" xfId="25743" applyFont="1" applyFill="1" applyBorder="1" applyAlignment="1" applyProtection="1">
      <alignment horizontal="center" wrapText="1"/>
    </xf>
    <xf numFmtId="43" fontId="123" fillId="94" borderId="0" xfId="25743" applyNumberFormat="1" applyFont="1" applyFill="1" applyBorder="1" applyAlignment="1" applyProtection="1">
      <alignment horizontal="center" wrapText="1"/>
    </xf>
    <xf numFmtId="39" fontId="123" fillId="94" borderId="0" xfId="25743" applyNumberFormat="1" applyFont="1" applyFill="1" applyBorder="1" applyAlignment="1" applyProtection="1">
      <alignment horizontal="center" wrapText="1"/>
    </xf>
    <xf numFmtId="43" fontId="123" fillId="94" borderId="0" xfId="25745" applyNumberFormat="1" applyFont="1" applyFill="1" applyBorder="1" applyAlignment="1" applyProtection="1">
      <alignment horizontal="center" wrapText="1"/>
    </xf>
    <xf numFmtId="39" fontId="123" fillId="94" borderId="0" xfId="25743" applyFont="1" applyFill="1" applyBorder="1" applyAlignment="1" applyProtection="1">
      <alignment horizontal="center" wrapText="1"/>
    </xf>
    <xf numFmtId="39" fontId="123" fillId="0" borderId="35" xfId="25743" applyFont="1" applyBorder="1" applyAlignment="1" applyProtection="1">
      <alignment horizontal="left"/>
    </xf>
    <xf numFmtId="39" fontId="32" fillId="0" borderId="11" xfId="25743" applyFont="1" applyBorder="1"/>
    <xf numFmtId="0" fontId="32" fillId="92" borderId="0" xfId="0" applyFont="1" applyFill="1" applyBorder="1"/>
    <xf numFmtId="0" fontId="32" fillId="0" borderId="11" xfId="0" applyFont="1" applyBorder="1"/>
    <xf numFmtId="39" fontId="32" fillId="0" borderId="35" xfId="25743" applyFont="1" applyBorder="1" applyAlignment="1" applyProtection="1">
      <alignment horizontal="center"/>
    </xf>
    <xf numFmtId="39" fontId="32" fillId="0" borderId="11" xfId="25743" applyFont="1" applyBorder="1" applyAlignment="1" applyProtection="1">
      <alignment horizontal="left"/>
    </xf>
    <xf numFmtId="43" fontId="32" fillId="92"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2" borderId="53" xfId="0" applyNumberFormat="1" applyFont="1" applyFill="1" applyBorder="1"/>
    <xf numFmtId="43" fontId="32" fillId="0" borderId="83" xfId="0" applyNumberFormat="1" applyFont="1" applyBorder="1"/>
    <xf numFmtId="39" fontId="32" fillId="0" borderId="53" xfId="0" applyNumberFormat="1" applyFont="1" applyBorder="1"/>
    <xf numFmtId="43" fontId="32" fillId="0" borderId="84" xfId="0" applyNumberFormat="1" applyFont="1" applyBorder="1"/>
    <xf numFmtId="39" fontId="32" fillId="0" borderId="84" xfId="0" applyNumberFormat="1" applyFont="1" applyBorder="1"/>
    <xf numFmtId="43" fontId="32" fillId="0" borderId="84" xfId="25745" applyNumberFormat="1" applyFont="1" applyBorder="1"/>
    <xf numFmtId="39" fontId="32" fillId="0" borderId="35" xfId="25743" applyFont="1" applyBorder="1" applyAlignment="1" applyProtection="1">
      <alignment horizontal="left"/>
    </xf>
    <xf numFmtId="43" fontId="32" fillId="0" borderId="0" xfId="0" applyNumberFormat="1" applyFont="1" applyBorder="1"/>
    <xf numFmtId="39" fontId="32" fillId="0" borderId="35" xfId="25743"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2"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2" borderId="81" xfId="0" applyNumberFormat="1" applyFont="1" applyFill="1" applyBorder="1"/>
    <xf numFmtId="43" fontId="32" fillId="0" borderId="86" xfId="0" applyNumberFormat="1" applyFont="1" applyBorder="1"/>
    <xf numFmtId="43" fontId="32" fillId="0" borderId="81"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5" applyNumberFormat="1" applyFont="1" applyBorder="1"/>
    <xf numFmtId="39" fontId="32" fillId="0" borderId="35" xfId="25743" applyFont="1" applyBorder="1"/>
    <xf numFmtId="181" fontId="32" fillId="0" borderId="35" xfId="0" applyNumberFormat="1" applyFont="1" applyBorder="1"/>
    <xf numFmtId="39" fontId="123" fillId="0" borderId="11" xfId="25743" applyFont="1" applyBorder="1"/>
    <xf numFmtId="39" fontId="32" fillId="92" borderId="53" xfId="0" applyNumberFormat="1" applyFont="1" applyFill="1" applyBorder="1"/>
    <xf numFmtId="39" fontId="32" fillId="0" borderId="83" xfId="0" applyNumberFormat="1" applyFont="1" applyBorder="1"/>
    <xf numFmtId="43" fontId="32" fillId="0" borderId="11" xfId="25745" applyNumberFormat="1" applyFont="1" applyBorder="1"/>
    <xf numFmtId="43" fontId="32" fillId="92" borderId="88" xfId="0" applyNumberFormat="1" applyFont="1" applyFill="1" applyBorder="1"/>
    <xf numFmtId="43" fontId="32" fillId="0" borderId="54" xfId="0" applyNumberFormat="1" applyFont="1" applyBorder="1"/>
    <xf numFmtId="39" fontId="32" fillId="0" borderId="88"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5" applyNumberFormat="1" applyFont="1" applyBorder="1"/>
    <xf numFmtId="39" fontId="32" fillId="0" borderId="81" xfId="0" applyNumberFormat="1" applyFont="1" applyBorder="1"/>
    <xf numFmtId="49" fontId="32" fillId="0" borderId="35" xfId="25743" applyNumberFormat="1" applyFont="1" applyBorder="1" applyAlignment="1" applyProtection="1">
      <alignment horizontal="center"/>
    </xf>
    <xf numFmtId="8" fontId="124" fillId="0" borderId="0" xfId="0" applyNumberFormat="1" applyFont="1"/>
    <xf numFmtId="39" fontId="123" fillId="0" borderId="11" xfId="25743" applyFont="1" applyBorder="1" applyAlignment="1">
      <alignment horizontal="left" indent="2"/>
    </xf>
    <xf numFmtId="43" fontId="32" fillId="0" borderId="0" xfId="0" applyNumberFormat="1" applyFont="1" applyFill="1" applyBorder="1"/>
    <xf numFmtId="43" fontId="32" fillId="0" borderId="88" xfId="0" applyNumberFormat="1" applyFont="1" applyBorder="1"/>
    <xf numFmtId="5" fontId="32" fillId="0" borderId="0" xfId="0" applyNumberFormat="1" applyFont="1" applyFill="1"/>
    <xf numFmtId="39" fontId="123" fillId="0" borderId="35" xfId="25743" applyFont="1" applyBorder="1" applyAlignment="1" applyProtection="1">
      <alignment horizontal="center"/>
    </xf>
    <xf numFmtId="43" fontId="32" fillId="0" borderId="54" xfId="0" applyNumberFormat="1" applyFont="1" applyFill="1" applyBorder="1"/>
    <xf numFmtId="43" fontId="32" fillId="0" borderId="88" xfId="0" applyNumberFormat="1" applyFont="1" applyFill="1" applyBorder="1"/>
    <xf numFmtId="43" fontId="32" fillId="0" borderId="56" xfId="0" applyNumberFormat="1" applyFont="1" applyFill="1" applyBorder="1"/>
    <xf numFmtId="39" fontId="32" fillId="0" borderId="35" xfId="25743" applyFont="1" applyFill="1" applyBorder="1"/>
    <xf numFmtId="39" fontId="32" fillId="0" borderId="11" xfId="25743"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43" fontId="32" fillId="92" borderId="82" xfId="0" applyNumberFormat="1" applyFont="1" applyFill="1" applyBorder="1"/>
    <xf numFmtId="43" fontId="32" fillId="0" borderId="89" xfId="0" applyNumberFormat="1" applyFont="1" applyBorder="1"/>
    <xf numFmtId="43" fontId="32" fillId="0" borderId="82" xfId="0" applyNumberFormat="1" applyFont="1" applyBorder="1"/>
    <xf numFmtId="43" fontId="32" fillId="0" borderId="90" xfId="0" applyNumberFormat="1" applyFont="1" applyBorder="1"/>
    <xf numFmtId="39" fontId="32" fillId="0" borderId="90" xfId="0" applyNumberFormat="1" applyFont="1" applyBorder="1"/>
    <xf numFmtId="43" fontId="32" fillId="0" borderId="90" xfId="25745" applyNumberFormat="1" applyFont="1" applyBorder="1"/>
    <xf numFmtId="194" fontId="124" fillId="0" borderId="0" xfId="0" applyNumberFormat="1" applyFont="1"/>
    <xf numFmtId="39" fontId="32" fillId="0" borderId="0" xfId="0" applyNumberFormat="1" applyFont="1" applyFill="1" applyBorder="1"/>
    <xf numFmtId="181" fontId="32" fillId="0" borderId="35" xfId="25743" applyNumberFormat="1" applyFont="1" applyBorder="1" applyAlignment="1" applyProtection="1">
      <alignment horizontal="center"/>
    </xf>
    <xf numFmtId="39" fontId="123" fillId="0" borderId="35" xfId="25743" applyFont="1" applyFill="1" applyBorder="1" applyAlignment="1" applyProtection="1">
      <alignment horizontal="left"/>
    </xf>
    <xf numFmtId="39" fontId="32" fillId="86" borderId="35" xfId="25743" applyFont="1" applyFill="1" applyBorder="1" applyAlignment="1" applyProtection="1">
      <alignment horizontal="center"/>
    </xf>
    <xf numFmtId="39" fontId="32" fillId="86" borderId="11" xfId="25743" applyFont="1" applyFill="1" applyBorder="1" applyAlignment="1" applyProtection="1">
      <alignment horizontal="left"/>
    </xf>
    <xf numFmtId="39" fontId="123" fillId="0" borderId="54" xfId="25743" applyFont="1" applyBorder="1" applyAlignment="1" applyProtection="1">
      <alignment horizontal="left"/>
    </xf>
    <xf numFmtId="39" fontId="32" fillId="0" borderId="56" xfId="25743" applyFont="1" applyBorder="1"/>
    <xf numFmtId="43" fontId="124" fillId="0" borderId="88" xfId="0" applyNumberFormat="1" applyFont="1" applyBorder="1"/>
    <xf numFmtId="6" fontId="124" fillId="0" borderId="0" xfId="0" applyNumberFormat="1" applyFont="1" applyFill="1"/>
    <xf numFmtId="6" fontId="124" fillId="0" borderId="88"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6" applyFont="1"/>
    <xf numFmtId="49" fontId="124" fillId="0" borderId="0" xfId="0" applyNumberFormat="1" applyFont="1"/>
    <xf numFmtId="0" fontId="130" fillId="0" borderId="53" xfId="0" applyFont="1" applyBorder="1"/>
    <xf numFmtId="0" fontId="130" fillId="0" borderId="53" xfId="0" applyFont="1" applyBorder="1" applyAlignment="1">
      <alignment horizontal="center"/>
    </xf>
    <xf numFmtId="43" fontId="130" fillId="0" borderId="53" xfId="25766" applyFont="1" applyBorder="1"/>
    <xf numFmtId="0" fontId="130" fillId="0" borderId="0" xfId="0" applyFont="1" applyBorder="1"/>
    <xf numFmtId="43" fontId="130" fillId="0" borderId="0" xfId="25766" applyFont="1" applyBorder="1"/>
    <xf numFmtId="0" fontId="130" fillId="0" borderId="82" xfId="0" applyFont="1" applyBorder="1"/>
    <xf numFmtId="0" fontId="130" fillId="0" borderId="82" xfId="0" applyFont="1" applyBorder="1" applyAlignment="1">
      <alignment horizontal="center"/>
    </xf>
    <xf numFmtId="43" fontId="130" fillId="0" borderId="82" xfId="0" applyNumberFormat="1" applyFont="1" applyFill="1" applyBorder="1"/>
    <xf numFmtId="43" fontId="130" fillId="0" borderId="82" xfId="0" applyNumberFormat="1" applyFont="1" applyBorder="1"/>
    <xf numFmtId="0" fontId="32" fillId="0" borderId="0" xfId="0" applyFont="1" applyAlignment="1">
      <alignment horizontal="left"/>
    </xf>
    <xf numFmtId="44" fontId="124" fillId="0" borderId="0" xfId="25751" applyFont="1"/>
    <xf numFmtId="0" fontId="32" fillId="0" borderId="0" xfId="0" applyFont="1" applyAlignment="1">
      <alignment horizontal="right"/>
    </xf>
    <xf numFmtId="10" fontId="124" fillId="0" borderId="0" xfId="0" applyNumberFormat="1" applyFont="1"/>
    <xf numFmtId="43" fontId="124" fillId="95" borderId="0" xfId="25766" applyFont="1" applyFill="1"/>
    <xf numFmtId="49" fontId="124" fillId="0" borderId="95" xfId="0" applyNumberFormat="1" applyFont="1" applyBorder="1" applyAlignment="1">
      <alignment horizontal="center"/>
    </xf>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1" xfId="0" applyNumberFormat="1" applyFont="1" applyBorder="1" applyAlignment="1">
      <alignment horizontal="center"/>
    </xf>
    <xf numFmtId="49" fontId="124" fillId="0" borderId="0" xfId="0" applyNumberFormat="1" applyFont="1" applyBorder="1" applyAlignment="1">
      <alignment horizontal="center"/>
    </xf>
    <xf numFmtId="49" fontId="124" fillId="0" borderId="92" xfId="0" applyNumberFormat="1" applyFont="1" applyBorder="1" applyAlignment="1">
      <alignment horizontal="center"/>
    </xf>
    <xf numFmtId="0" fontId="124" fillId="92" borderId="91" xfId="0" applyFont="1" applyFill="1" applyBorder="1"/>
    <xf numFmtId="0" fontId="124" fillId="92" borderId="0" xfId="0" applyFont="1" applyFill="1" applyBorder="1"/>
    <xf numFmtId="0" fontId="124" fillId="92" borderId="92" xfId="0" applyFont="1" applyFill="1" applyBorder="1"/>
    <xf numFmtId="0" fontId="124" fillId="0" borderId="91" xfId="0" applyFont="1" applyBorder="1"/>
    <xf numFmtId="10" fontId="124" fillId="0" borderId="0" xfId="25793" applyNumberFormat="1" applyFont="1" applyBorder="1"/>
    <xf numFmtId="0" fontId="124" fillId="0" borderId="91" xfId="0" applyFont="1" applyBorder="1" applyAlignment="1">
      <alignment wrapText="1"/>
    </xf>
    <xf numFmtId="0" fontId="126" fillId="0" borderId="88" xfId="0" applyFont="1" applyBorder="1" applyAlignment="1">
      <alignment horizontal="center" wrapText="1"/>
    </xf>
    <xf numFmtId="0" fontId="126" fillId="0" borderId="101" xfId="0" applyFont="1" applyBorder="1" applyAlignment="1">
      <alignment horizontal="center" wrapText="1"/>
    </xf>
    <xf numFmtId="0" fontId="124" fillId="0" borderId="0" xfId="0" applyFont="1" applyBorder="1" applyAlignment="1">
      <alignment wrapText="1"/>
    </xf>
    <xf numFmtId="0" fontId="124" fillId="0" borderId="92" xfId="0" applyFont="1" applyBorder="1" applyAlignment="1">
      <alignment wrapText="1"/>
    </xf>
    <xf numFmtId="166" fontId="124" fillId="0" borderId="91" xfId="25742" applyNumberFormat="1" applyFont="1" applyBorder="1"/>
    <xf numFmtId="166" fontId="124" fillId="0" borderId="0" xfId="25742" applyNumberFormat="1" applyFont="1" applyBorder="1"/>
    <xf numFmtId="166" fontId="124" fillId="0" borderId="92" xfId="25742" applyNumberFormat="1" applyFont="1" applyBorder="1"/>
    <xf numFmtId="166" fontId="124" fillId="0" borderId="0" xfId="25742" applyNumberFormat="1" applyFont="1" applyFill="1" applyBorder="1"/>
    <xf numFmtId="166" fontId="124" fillId="98" borderId="91" xfId="25742" applyNumberFormat="1" applyFont="1" applyFill="1" applyBorder="1"/>
    <xf numFmtId="166" fontId="124" fillId="98" borderId="0" xfId="25742" applyNumberFormat="1" applyFont="1" applyFill="1" applyBorder="1"/>
    <xf numFmtId="166" fontId="124" fillId="98" borderId="92" xfId="25742" applyNumberFormat="1" applyFont="1" applyFill="1" applyBorder="1"/>
    <xf numFmtId="6" fontId="124" fillId="0" borderId="98" xfId="0" applyNumberFormat="1" applyFont="1" applyBorder="1"/>
    <xf numFmtId="166" fontId="126" fillId="0" borderId="102" xfId="25742" applyNumberFormat="1" applyFont="1" applyBorder="1"/>
    <xf numFmtId="166" fontId="126" fillId="0" borderId="82" xfId="25742" applyNumberFormat="1" applyFont="1" applyBorder="1"/>
    <xf numFmtId="166" fontId="126" fillId="0" borderId="103" xfId="25742" applyNumberFormat="1" applyFont="1" applyBorder="1"/>
    <xf numFmtId="6" fontId="124" fillId="0" borderId="104" xfId="0" applyNumberFormat="1" applyFont="1" applyBorder="1"/>
    <xf numFmtId="6" fontId="124" fillId="95" borderId="93" xfId="0" applyNumberFormat="1" applyFont="1" applyFill="1" applyBorder="1"/>
    <xf numFmtId="6" fontId="124" fillId="0" borderId="93" xfId="0" applyNumberFormat="1" applyFont="1" applyBorder="1"/>
    <xf numFmtId="41" fontId="124" fillId="0" borderId="0" xfId="0" applyNumberFormat="1" applyFont="1"/>
    <xf numFmtId="166" fontId="124" fillId="100" borderId="91" xfId="25742" applyNumberFormat="1" applyFont="1" applyFill="1" applyBorder="1"/>
    <xf numFmtId="166" fontId="124" fillId="100" borderId="0" xfId="25742" applyNumberFormat="1" applyFont="1" applyFill="1" applyBorder="1"/>
    <xf numFmtId="166" fontId="124" fillId="100" borderId="92" xfId="25742" applyNumberFormat="1" applyFont="1" applyFill="1" applyBorder="1"/>
    <xf numFmtId="0" fontId="124" fillId="100" borderId="91" xfId="0" applyFont="1" applyFill="1" applyBorder="1"/>
    <xf numFmtId="49" fontId="124" fillId="100" borderId="0" xfId="0" applyNumberFormat="1" applyFont="1" applyFill="1" applyBorder="1" applyAlignment="1">
      <alignment horizontal="center"/>
    </xf>
    <xf numFmtId="49" fontId="124" fillId="100" borderId="92" xfId="0" applyNumberFormat="1" applyFont="1" applyFill="1" applyBorder="1" applyAlignment="1">
      <alignment horizontal="center"/>
    </xf>
    <xf numFmtId="166" fontId="124" fillId="90" borderId="91" xfId="25742" applyNumberFormat="1" applyFont="1" applyFill="1" applyBorder="1"/>
    <xf numFmtId="166" fontId="124" fillId="90" borderId="0" xfId="25742" applyNumberFormat="1" applyFont="1" applyFill="1" applyBorder="1"/>
    <xf numFmtId="166" fontId="124" fillId="90" borderId="92" xfId="25742" applyNumberFormat="1" applyFont="1" applyFill="1" applyBorder="1"/>
    <xf numFmtId="166" fontId="124" fillId="99" borderId="0" xfId="25742" applyNumberFormat="1" applyFont="1" applyFill="1" applyBorder="1"/>
    <xf numFmtId="166" fontId="124" fillId="99" borderId="92" xfId="25742" applyNumberFormat="1" applyFont="1" applyFill="1" applyBorder="1"/>
    <xf numFmtId="166" fontId="124" fillId="99" borderId="101" xfId="25742" applyNumberFormat="1" applyFont="1" applyFill="1" applyBorder="1"/>
    <xf numFmtId="38" fontId="131" fillId="0" borderId="0" xfId="0" applyNumberFormat="1" applyFont="1"/>
    <xf numFmtId="38" fontId="124" fillId="0" borderId="95" xfId="0" applyNumberFormat="1" applyFont="1" applyBorder="1"/>
    <xf numFmtId="38" fontId="124" fillId="0" borderId="96" xfId="0" applyNumberFormat="1" applyFont="1" applyBorder="1"/>
    <xf numFmtId="38" fontId="124" fillId="0" borderId="97" xfId="0" applyNumberFormat="1" applyFont="1" applyBorder="1"/>
    <xf numFmtId="38" fontId="124" fillId="0" borderId="91" xfId="0" applyNumberFormat="1" applyFont="1" applyBorder="1"/>
    <xf numFmtId="38" fontId="124" fillId="0" borderId="0" xfId="0" applyNumberFormat="1" applyFont="1" applyBorder="1"/>
    <xf numFmtId="38" fontId="124" fillId="0" borderId="92" xfId="0" applyNumberFormat="1" applyFont="1" applyBorder="1"/>
    <xf numFmtId="38" fontId="124" fillId="0" borderId="105" xfId="0" applyNumberFormat="1" applyFont="1" applyBorder="1"/>
    <xf numFmtId="38" fontId="124" fillId="0" borderId="106" xfId="0" applyNumberFormat="1" applyFont="1" applyBorder="1"/>
    <xf numFmtId="40" fontId="124" fillId="0" borderId="91" xfId="0" applyNumberFormat="1" applyFont="1" applyBorder="1"/>
    <xf numFmtId="38" fontId="124" fillId="0" borderId="98" xfId="0" applyNumberFormat="1" applyFont="1" applyBorder="1"/>
    <xf numFmtId="38" fontId="124" fillId="0" borderId="49" xfId="0" applyNumberFormat="1" applyFont="1" applyBorder="1"/>
    <xf numFmtId="38" fontId="124" fillId="0" borderId="99" xfId="0" applyNumberFormat="1" applyFont="1" applyBorder="1"/>
    <xf numFmtId="3" fontId="124" fillId="0" borderId="0" xfId="0" applyNumberFormat="1" applyFont="1"/>
    <xf numFmtId="0" fontId="124" fillId="0" borderId="79" xfId="0" applyFont="1" applyBorder="1"/>
    <xf numFmtId="0" fontId="124" fillId="0" borderId="78" xfId="0" applyFont="1" applyBorder="1"/>
    <xf numFmtId="0" fontId="124" fillId="0" borderId="78" xfId="0" applyFont="1" applyBorder="1" applyAlignment="1">
      <alignment horizontal="center"/>
    </xf>
    <xf numFmtId="0" fontId="124" fillId="0" borderId="80"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8" xfId="0" applyFont="1" applyBorder="1"/>
    <xf numFmtId="0" fontId="124" fillId="0" borderId="88" xfId="0" applyFont="1" applyBorder="1" applyAlignment="1">
      <alignment horizontal="center"/>
    </xf>
    <xf numFmtId="0" fontId="124" fillId="0" borderId="56" xfId="0" applyFont="1" applyBorder="1"/>
    <xf numFmtId="0" fontId="124" fillId="0" borderId="77"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7" xfId="0" applyNumberFormat="1" applyFont="1" applyBorder="1"/>
    <xf numFmtId="167" fontId="124" fillId="0" borderId="87"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7"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7" xfId="0" applyNumberFormat="1" applyFont="1" applyBorder="1"/>
    <xf numFmtId="0" fontId="124" fillId="0" borderId="88"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79" xfId="0" applyFont="1" applyBorder="1" applyAlignment="1">
      <alignment horizontal="center"/>
    </xf>
    <xf numFmtId="0" fontId="123" fillId="33" borderId="78"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0"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2" fontId="124"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86" fontId="124" fillId="0" borderId="0" xfId="25745" applyNumberFormat="1" applyFont="1"/>
    <xf numFmtId="0" fontId="124" fillId="0" borderId="0" xfId="0" applyFont="1" applyFill="1" applyBorder="1" applyAlignment="1">
      <alignment horizontal="center"/>
    </xf>
    <xf numFmtId="0" fontId="124" fillId="0" borderId="0" xfId="0" applyFont="1" applyAlignment="1">
      <alignment horizontal="left"/>
    </xf>
    <xf numFmtId="37" fontId="32" fillId="0" borderId="0" xfId="25741" applyFont="1"/>
    <xf numFmtId="0" fontId="129" fillId="0" borderId="0" xfId="0" applyFont="1" applyAlignment="1">
      <alignment horizontal="center"/>
    </xf>
    <xf numFmtId="37" fontId="32" fillId="0" borderId="0" xfId="25741" applyFont="1" applyAlignment="1">
      <alignment horizontal="center"/>
    </xf>
    <xf numFmtId="37" fontId="32" fillId="0" borderId="0" xfId="25741" applyFont="1" applyAlignment="1" applyProtection="1">
      <alignment horizontal="left"/>
    </xf>
    <xf numFmtId="37" fontId="42" fillId="0" borderId="0" xfId="25741" applyFont="1"/>
    <xf numFmtId="14" fontId="32" fillId="0" borderId="0" xfId="25741" applyNumberFormat="1" applyFont="1" applyAlignment="1">
      <alignment horizontal="left"/>
    </xf>
    <xf numFmtId="37" fontId="123" fillId="0" borderId="0" xfId="25741" applyFont="1" applyFill="1" applyAlignment="1">
      <alignment horizontal="center"/>
    </xf>
    <xf numFmtId="188" fontId="32" fillId="0" borderId="0" xfId="23895" applyNumberFormat="1" applyFont="1" applyAlignment="1">
      <alignment horizontal="center"/>
    </xf>
    <xf numFmtId="37" fontId="32" fillId="0" borderId="0" xfId="25741" applyFont="1" applyFill="1" applyAlignment="1">
      <alignment horizontal="center"/>
    </xf>
    <xf numFmtId="37" fontId="32" fillId="0" borderId="0" xfId="25741" applyFont="1" applyFill="1" applyAlignment="1">
      <alignment horizontal="left"/>
    </xf>
    <xf numFmtId="10" fontId="32" fillId="0" borderId="0" xfId="24219" applyNumberFormat="1" applyFont="1" applyAlignment="1">
      <alignment horizontal="center"/>
    </xf>
    <xf numFmtId="189" fontId="32" fillId="0" borderId="0" xfId="25741" applyNumberFormat="1" applyFont="1" applyFill="1" applyAlignment="1">
      <alignment horizontal="center"/>
    </xf>
    <xf numFmtId="37" fontId="123" fillId="0" borderId="81" xfId="25741" applyFont="1" applyFill="1" applyBorder="1" applyAlignment="1">
      <alignment horizontal="center"/>
    </xf>
    <xf numFmtId="37" fontId="32" fillId="0" borderId="0" xfId="25741" applyFont="1" applyFill="1"/>
    <xf numFmtId="187" fontId="32" fillId="0" borderId="0" xfId="24219" applyNumberFormat="1" applyFont="1"/>
    <xf numFmtId="168" fontId="32" fillId="0" borderId="0" xfId="25741" applyNumberFormat="1" applyFont="1"/>
    <xf numFmtId="49" fontId="32" fillId="0" borderId="0" xfId="25741"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2" fontId="124" fillId="0" borderId="49" xfId="0" applyNumberFormat="1" applyFont="1" applyBorder="1"/>
    <xf numFmtId="8" fontId="127" fillId="0" borderId="0" xfId="0" applyNumberFormat="1" applyFont="1"/>
    <xf numFmtId="8" fontId="126" fillId="0" borderId="81"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7"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8" xfId="0" applyNumberFormat="1" applyFont="1" applyBorder="1"/>
    <xf numFmtId="8" fontId="124" fillId="0" borderId="88" xfId="0" applyNumberFormat="1" applyFont="1" applyBorder="1"/>
    <xf numFmtId="192" fontId="124" fillId="0" borderId="88" xfId="0" applyNumberFormat="1" applyFont="1" applyBorder="1"/>
    <xf numFmtId="4" fontId="124" fillId="0" borderId="88"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5" applyFont="1" applyFill="1"/>
    <xf numFmtId="44" fontId="124" fillId="0" borderId="0" xfId="0" applyNumberFormat="1" applyFont="1" applyBorder="1"/>
    <xf numFmtId="44" fontId="126" fillId="0" borderId="82"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2" applyNumberFormat="1" applyFont="1"/>
    <xf numFmtId="166" fontId="124" fillId="0" borderId="88" xfId="25742" applyNumberFormat="1" applyFont="1" applyBorder="1"/>
    <xf numFmtId="186" fontId="124" fillId="0" borderId="88" xfId="25745" applyNumberFormat="1" applyFont="1" applyBorder="1"/>
    <xf numFmtId="186" fontId="126" fillId="0" borderId="0" xfId="25745" applyNumberFormat="1" applyFont="1"/>
    <xf numFmtId="186" fontId="126" fillId="0" borderId="96" xfId="25745" applyNumberFormat="1" applyFont="1" applyBorder="1"/>
    <xf numFmtId="186" fontId="126" fillId="0" borderId="14" xfId="0" applyNumberFormat="1" applyFont="1" applyBorder="1"/>
    <xf numFmtId="0" fontId="133" fillId="0" borderId="0" xfId="0" applyFont="1" applyAlignment="1">
      <alignment horizontal="center"/>
    </xf>
    <xf numFmtId="3" fontId="129" fillId="0" borderId="0" xfId="0" applyNumberFormat="1" applyFont="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8" xfId="0" applyFont="1" applyBorder="1" applyAlignment="1">
      <alignment vertical="center"/>
    </xf>
    <xf numFmtId="0" fontId="126" fillId="0" borderId="88" xfId="0" applyFont="1" applyBorder="1" applyAlignment="1">
      <alignment horizontal="center" vertical="center"/>
    </xf>
    <xf numFmtId="0" fontId="124" fillId="93" borderId="0" xfId="0" quotePrefix="1" applyFont="1" applyFill="1" applyAlignment="1">
      <alignment vertical="center"/>
    </xf>
    <xf numFmtId="6" fontId="124" fillId="93" borderId="0" xfId="0" quotePrefix="1" applyNumberFormat="1" applyFont="1" applyFill="1" applyAlignment="1">
      <alignment horizontal="center" vertical="center"/>
    </xf>
    <xf numFmtId="0" fontId="124" fillId="93" borderId="0" xfId="0" applyFont="1" applyFill="1" applyAlignment="1">
      <alignment horizontal="center" vertical="center"/>
    </xf>
    <xf numFmtId="6" fontId="124" fillId="93" borderId="33" xfId="0" quotePrefix="1" applyNumberFormat="1" applyFont="1" applyFill="1" applyBorder="1" applyAlignment="1">
      <alignment vertical="center"/>
    </xf>
    <xf numFmtId="0" fontId="124" fillId="93" borderId="33" xfId="0" quotePrefix="1" applyFont="1" applyFill="1" applyBorder="1" applyAlignment="1">
      <alignment vertical="center"/>
    </xf>
    <xf numFmtId="190" fontId="124" fillId="93" borderId="33" xfId="0" quotePrefix="1" applyNumberFormat="1" applyFont="1" applyFill="1" applyBorder="1" applyAlignment="1">
      <alignment horizontal="center" vertical="center"/>
    </xf>
    <xf numFmtId="190" fontId="124" fillId="93" borderId="33" xfId="0" quotePrefix="1" applyNumberFormat="1" applyFont="1" applyFill="1" applyBorder="1" applyAlignment="1">
      <alignment vertical="center"/>
    </xf>
    <xf numFmtId="9" fontId="124" fillId="93"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3" borderId="0" xfId="0" applyNumberFormat="1" applyFont="1" applyFill="1" applyAlignment="1">
      <alignment vertical="center"/>
    </xf>
    <xf numFmtId="190" fontId="124" fillId="93" borderId="0" xfId="0" quotePrefix="1" applyNumberFormat="1" applyFont="1" applyFill="1" applyAlignment="1">
      <alignment horizontal="center" vertical="center"/>
    </xf>
    <xf numFmtId="190" fontId="124" fillId="93" borderId="0" xfId="0" quotePrefix="1" applyNumberFormat="1" applyFont="1" applyFill="1" applyAlignment="1">
      <alignment vertical="center"/>
    </xf>
    <xf numFmtId="6" fontId="124" fillId="93" borderId="0" xfId="0" quotePrefix="1" applyNumberFormat="1" applyFont="1" applyFill="1" applyAlignment="1">
      <alignment vertical="center"/>
    </xf>
    <xf numFmtId="9" fontId="124" fillId="93"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5" fillId="0" borderId="0" xfId="0" applyNumberFormat="1" applyFont="1"/>
    <xf numFmtId="38" fontId="135" fillId="0" borderId="14" xfId="0" applyNumberFormat="1" applyFont="1" applyBorder="1"/>
    <xf numFmtId="190" fontId="129" fillId="0" borderId="0" xfId="0" applyNumberFormat="1" applyFont="1"/>
    <xf numFmtId="190" fontId="135"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3" applyNumberFormat="1" applyFont="1" applyFill="1" applyAlignment="1">
      <alignment horizontal="right"/>
    </xf>
    <xf numFmtId="49" fontId="124" fillId="0" borderId="0" xfId="0" applyNumberFormat="1" applyFont="1" applyAlignment="1">
      <alignment horizontal="center"/>
    </xf>
    <xf numFmtId="10" fontId="124" fillId="0" borderId="0" xfId="25793" applyNumberFormat="1" applyFont="1"/>
    <xf numFmtId="10" fontId="124" fillId="0" borderId="0" xfId="25793" applyNumberFormat="1" applyFont="1" applyFill="1" applyAlignment="1">
      <alignment horizontal="center"/>
    </xf>
    <xf numFmtId="49" fontId="124" fillId="0" borderId="78" xfId="0" applyNumberFormat="1" applyFont="1" applyFill="1" applyBorder="1" applyAlignment="1">
      <alignment horizontal="center"/>
    </xf>
    <xf numFmtId="0" fontId="126" fillId="0" borderId="78" xfId="0" applyFont="1" applyFill="1" applyBorder="1"/>
    <xf numFmtId="0" fontId="126" fillId="0" borderId="78" xfId="0" applyFont="1" applyFill="1" applyBorder="1" applyAlignment="1">
      <alignment horizontal="center"/>
    </xf>
    <xf numFmtId="0" fontId="124" fillId="0" borderId="78" xfId="0" applyFont="1" applyFill="1" applyBorder="1"/>
    <xf numFmtId="10" fontId="124" fillId="0" borderId="80" xfId="25793" applyNumberFormat="1" applyFont="1" applyFill="1" applyBorder="1" applyAlignment="1">
      <alignment horizontal="center"/>
    </xf>
    <xf numFmtId="43" fontId="124" fillId="0" borderId="78" xfId="25742" applyFont="1" applyFill="1" applyBorder="1"/>
    <xf numFmtId="43" fontId="124" fillId="0" borderId="77" xfId="25742" applyFont="1" applyFill="1" applyBorder="1"/>
    <xf numFmtId="10" fontId="124" fillId="0" borderId="11" xfId="25793" applyNumberFormat="1" applyFont="1" applyFill="1" applyBorder="1" applyAlignment="1">
      <alignment horizontal="center"/>
    </xf>
    <xf numFmtId="43" fontId="124" fillId="0" borderId="0" xfId="25742" applyFont="1" applyFill="1" applyBorder="1"/>
    <xf numFmtId="43" fontId="124" fillId="0" borderId="15" xfId="25742" applyFont="1" applyFill="1" applyBorder="1"/>
    <xf numFmtId="49" fontId="124" fillId="0" borderId="88" xfId="0" quotePrefix="1" applyNumberFormat="1" applyFont="1" applyFill="1" applyBorder="1" applyAlignment="1">
      <alignment horizontal="center"/>
    </xf>
    <xf numFmtId="49" fontId="124" fillId="0" borderId="88" xfId="0" applyNumberFormat="1" applyFont="1" applyFill="1" applyBorder="1" applyAlignment="1">
      <alignment horizontal="center"/>
    </xf>
    <xf numFmtId="0" fontId="124" fillId="0" borderId="88" xfId="0" applyFont="1" applyFill="1" applyBorder="1"/>
    <xf numFmtId="0" fontId="124" fillId="0" borderId="88" xfId="0" applyFont="1" applyFill="1" applyBorder="1" applyAlignment="1">
      <alignment horizontal="center"/>
    </xf>
    <xf numFmtId="0" fontId="124" fillId="0" borderId="78" xfId="0" applyFont="1" applyFill="1" applyBorder="1" applyAlignment="1">
      <alignment horizontal="center"/>
    </xf>
    <xf numFmtId="43" fontId="124" fillId="0" borderId="14" xfId="25742" applyFont="1" applyFill="1" applyBorder="1"/>
    <xf numFmtId="49" fontId="124" fillId="0" borderId="0" xfId="0" applyNumberFormat="1" applyFont="1" applyFill="1" applyBorder="1"/>
    <xf numFmtId="10" fontId="124" fillId="0" borderId="56" xfId="25793" applyNumberFormat="1" applyFont="1" applyFill="1" applyBorder="1" applyAlignment="1">
      <alignment horizontal="center"/>
    </xf>
    <xf numFmtId="43" fontId="124" fillId="0" borderId="88" xfId="25742" applyFont="1" applyFill="1" applyBorder="1"/>
    <xf numFmtId="49" fontId="124" fillId="0" borderId="53" xfId="25742"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3" applyNumberFormat="1" applyFont="1" applyFill="1" applyBorder="1" applyAlignment="1">
      <alignment horizontal="center"/>
    </xf>
    <xf numFmtId="43" fontId="124" fillId="0" borderId="53" xfId="25742" applyFont="1" applyFill="1" applyBorder="1"/>
    <xf numFmtId="49" fontId="124" fillId="0" borderId="78" xfId="25742" applyNumberFormat="1" applyFont="1" applyFill="1" applyBorder="1" applyAlignment="1">
      <alignment horizontal="center" vertical="center"/>
    </xf>
    <xf numFmtId="10" fontId="124" fillId="0" borderId="78" xfId="25793" applyNumberFormat="1" applyFont="1" applyFill="1" applyBorder="1" applyAlignment="1">
      <alignment horizontal="center"/>
    </xf>
    <xf numFmtId="49" fontId="124" fillId="0" borderId="0" xfId="25742" applyNumberFormat="1" applyFont="1" applyFill="1" applyBorder="1" applyAlignment="1">
      <alignment horizontal="center" vertical="center"/>
    </xf>
    <xf numFmtId="10" fontId="124" fillId="0" borderId="0" xfId="25793" applyNumberFormat="1" applyFont="1" applyFill="1" applyBorder="1" applyAlignment="1">
      <alignment horizontal="center"/>
    </xf>
    <xf numFmtId="49" fontId="124" fillId="0" borderId="88" xfId="25742" applyNumberFormat="1" applyFont="1" applyFill="1" applyBorder="1" applyAlignment="1">
      <alignment horizontal="center" vertical="center"/>
    </xf>
    <xf numFmtId="10" fontId="124" fillId="0" borderId="88" xfId="25793"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3" applyNumberFormat="1" applyFont="1" applyBorder="1" applyAlignment="1">
      <alignment horizontal="center"/>
    </xf>
    <xf numFmtId="43" fontId="124" fillId="0" borderId="53" xfId="25742" applyFont="1" applyBorder="1"/>
    <xf numFmtId="10" fontId="124" fillId="0" borderId="0" xfId="25793" applyNumberFormat="1" applyFont="1" applyBorder="1" applyAlignment="1">
      <alignment horizontal="center"/>
    </xf>
    <xf numFmtId="43" fontId="124" fillId="0" borderId="0" xfId="25742" applyFont="1" applyBorder="1"/>
    <xf numFmtId="43" fontId="124" fillId="0" borderId="15" xfId="25742" applyFont="1" applyBorder="1"/>
    <xf numFmtId="43" fontId="124" fillId="0" borderId="0" xfId="25793" applyNumberFormat="1" applyFont="1" applyBorder="1"/>
    <xf numFmtId="4" fontId="124" fillId="0" borderId="0" xfId="25793" applyNumberFormat="1" applyFont="1" applyBorder="1"/>
    <xf numFmtId="40" fontId="124" fillId="0" borderId="0" xfId="0" applyNumberFormat="1" applyFont="1" applyBorder="1"/>
    <xf numFmtId="38" fontId="126" fillId="0" borderId="93" xfId="0" applyNumberFormat="1" applyFont="1" applyBorder="1"/>
    <xf numFmtId="3" fontId="124" fillId="0" borderId="0" xfId="0" applyNumberFormat="1" applyFont="1" applyFill="1"/>
    <xf numFmtId="4" fontId="124" fillId="0" borderId="0" xfId="0" quotePrefix="1" applyNumberFormat="1" applyFont="1"/>
    <xf numFmtId="49" fontId="32" fillId="0" borderId="0" xfId="25764" applyNumberFormat="1" applyFont="1" applyFill="1"/>
    <xf numFmtId="49" fontId="123" fillId="0" borderId="0" xfId="25764" applyNumberFormat="1" applyFont="1" applyFill="1"/>
    <xf numFmtId="0" fontId="32" fillId="0" borderId="0" xfId="25764" applyNumberFormat="1" applyFont="1" applyFill="1"/>
    <xf numFmtId="49" fontId="32" fillId="0" borderId="0" xfId="25764" applyNumberFormat="1" applyFont="1" applyFill="1" applyAlignment="1">
      <alignment horizontal="center"/>
    </xf>
    <xf numFmtId="0" fontId="124" fillId="0" borderId="0" xfId="25765" applyFont="1"/>
    <xf numFmtId="49" fontId="124" fillId="0" borderId="0" xfId="3278" applyNumberFormat="1" applyFont="1" applyBorder="1" applyAlignment="1">
      <alignment horizontal="center"/>
    </xf>
    <xf numFmtId="49" fontId="42" fillId="0" borderId="0" xfId="25764" applyNumberFormat="1" applyFont="1" applyFill="1" applyAlignment="1">
      <alignment horizontal="center"/>
    </xf>
    <xf numFmtId="0" fontId="32" fillId="0" borderId="0" xfId="25764" applyFont="1" applyFill="1"/>
    <xf numFmtId="43" fontId="124" fillId="0" borderId="0" xfId="25765" applyNumberFormat="1" applyFont="1"/>
    <xf numFmtId="49" fontId="123" fillId="0" borderId="0" xfId="25764" applyNumberFormat="1" applyFont="1" applyFill="1" applyAlignment="1">
      <alignment horizontal="center"/>
    </xf>
    <xf numFmtId="0" fontId="123" fillId="0" borderId="0" xfId="25764" applyNumberFormat="1" applyFont="1" applyFill="1" applyAlignment="1">
      <alignment horizontal="center"/>
    </xf>
    <xf numFmtId="17" fontId="123" fillId="0" borderId="0" xfId="25764" applyNumberFormat="1" applyFont="1" applyFill="1" applyAlignment="1">
      <alignment horizontal="center"/>
    </xf>
    <xf numFmtId="0" fontId="123" fillId="0" borderId="0" xfId="25764" applyFont="1" applyFill="1" applyAlignment="1">
      <alignment horizontal="center"/>
    </xf>
    <xf numFmtId="0" fontId="126" fillId="0" borderId="0" xfId="25765" applyFont="1" applyAlignment="1">
      <alignment horizontal="center"/>
    </xf>
    <xf numFmtId="49" fontId="123" fillId="0" borderId="0" xfId="25764" applyNumberFormat="1" applyFont="1" applyAlignment="1">
      <alignment horizontal="center"/>
    </xf>
    <xf numFmtId="0" fontId="123" fillId="0" borderId="0" xfId="25764" applyFont="1" applyFill="1"/>
    <xf numFmtId="0" fontId="126" fillId="0" borderId="0" xfId="25765" applyFont="1"/>
    <xf numFmtId="0" fontId="32" fillId="0" borderId="0" xfId="25764" applyFont="1"/>
    <xf numFmtId="0" fontId="132" fillId="0" borderId="0" xfId="25764" applyNumberFormat="1" applyFont="1" applyFill="1" applyAlignment="1">
      <alignment horizontal="left"/>
    </xf>
    <xf numFmtId="49" fontId="132" fillId="0" borderId="0" xfId="25764" applyNumberFormat="1" applyFont="1" applyFill="1"/>
    <xf numFmtId="49" fontId="132" fillId="0" borderId="0" xfId="25764" applyNumberFormat="1" applyFont="1" applyFill="1" applyAlignment="1">
      <alignment horizontal="center"/>
    </xf>
    <xf numFmtId="0" fontId="126" fillId="0" borderId="88" xfId="25765" applyFont="1" applyBorder="1"/>
    <xf numFmtId="0" fontId="32" fillId="88" borderId="0" xfId="25764" applyFont="1" applyFill="1"/>
    <xf numFmtId="0" fontId="123" fillId="88" borderId="0" xfId="25764" applyFont="1" applyFill="1" applyAlignment="1">
      <alignment horizontal="center"/>
    </xf>
    <xf numFmtId="49" fontId="32" fillId="0" borderId="0" xfId="25764" applyNumberFormat="1" applyFont="1"/>
    <xf numFmtId="0" fontId="123" fillId="0" borderId="0" xfId="25764" applyNumberFormat="1" applyFont="1" applyAlignment="1">
      <alignment horizontal="center"/>
    </xf>
    <xf numFmtId="0" fontId="32" fillId="0" borderId="0" xfId="25764"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5" applyFont="1" applyFill="1"/>
    <xf numFmtId="43" fontId="124" fillId="0" borderId="0" xfId="25765"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8" xfId="173" applyFont="1" applyFill="1" applyBorder="1"/>
    <xf numFmtId="43" fontId="124" fillId="0" borderId="0" xfId="5" applyFont="1"/>
    <xf numFmtId="43" fontId="32" fillId="0" borderId="0" xfId="25744" applyFont="1" applyFill="1"/>
    <xf numFmtId="43" fontId="32" fillId="0" borderId="0" xfId="181" applyFont="1"/>
    <xf numFmtId="43" fontId="124" fillId="0" borderId="0" xfId="25744"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8" xfId="173" applyFont="1" applyFill="1" applyBorder="1"/>
    <xf numFmtId="43" fontId="32" fillId="0" borderId="88" xfId="306" applyFont="1" applyFill="1" applyBorder="1"/>
    <xf numFmtId="43" fontId="32" fillId="0" borderId="88" xfId="300" applyFont="1" applyFill="1" applyBorder="1"/>
    <xf numFmtId="43" fontId="32" fillId="0" borderId="88" xfId="289" applyFont="1" applyFill="1" applyBorder="1"/>
    <xf numFmtId="43" fontId="32" fillId="0" borderId="88" xfId="291" applyFont="1" applyFill="1" applyBorder="1"/>
    <xf numFmtId="43" fontId="32" fillId="0" borderId="88" xfId="288" applyFont="1" applyFill="1" applyBorder="1"/>
    <xf numFmtId="43" fontId="32" fillId="0" borderId="88" xfId="290" applyFont="1" applyFill="1" applyBorder="1"/>
    <xf numFmtId="43" fontId="32" fillId="0" borderId="88" xfId="282" applyFont="1" applyFill="1" applyBorder="1"/>
    <xf numFmtId="43" fontId="124" fillId="0" borderId="88" xfId="5" applyFont="1" applyFill="1" applyBorder="1"/>
    <xf numFmtId="43" fontId="32" fillId="0" borderId="88" xfId="174" applyFont="1" applyFill="1" applyBorder="1"/>
    <xf numFmtId="43" fontId="32" fillId="0" borderId="88" xfId="314" applyFont="1" applyFill="1" applyBorder="1"/>
    <xf numFmtId="43" fontId="32" fillId="0" borderId="0" xfId="173" applyNumberFormat="1" applyFont="1" applyFill="1"/>
    <xf numFmtId="43" fontId="32" fillId="0" borderId="53" xfId="173" applyNumberFormat="1" applyFont="1" applyFill="1" applyBorder="1"/>
    <xf numFmtId="43" fontId="32" fillId="0" borderId="88"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8" xfId="306" applyFont="1" applyFill="1" applyBorder="1"/>
    <xf numFmtId="43" fontId="32" fillId="0" borderId="78" xfId="300" applyFont="1" applyFill="1" applyBorder="1"/>
    <xf numFmtId="43" fontId="32" fillId="0" borderId="78" xfId="289" applyFont="1" applyFill="1" applyBorder="1"/>
    <xf numFmtId="43" fontId="32" fillId="0" borderId="78" xfId="291" applyFont="1" applyFill="1" applyBorder="1"/>
    <xf numFmtId="43" fontId="32" fillId="0" borderId="78" xfId="288" applyFont="1" applyFill="1" applyBorder="1"/>
    <xf numFmtId="43" fontId="32" fillId="0" borderId="78" xfId="290" applyFont="1" applyFill="1" applyBorder="1"/>
    <xf numFmtId="43" fontId="32" fillId="0" borderId="78" xfId="282" applyFont="1" applyFill="1" applyBorder="1"/>
    <xf numFmtId="43" fontId="124" fillId="0" borderId="78" xfId="5" applyFont="1" applyFill="1" applyBorder="1"/>
    <xf numFmtId="43" fontId="32" fillId="0" borderId="78" xfId="174" applyFont="1" applyFill="1" applyBorder="1"/>
    <xf numFmtId="43" fontId="32" fillId="0" borderId="78" xfId="314" applyFont="1" applyFill="1" applyBorder="1"/>
    <xf numFmtId="43" fontId="32" fillId="0" borderId="0" xfId="5" applyFont="1" applyFill="1"/>
    <xf numFmtId="49" fontId="123" fillId="0" borderId="0" xfId="25764"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4"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8"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4" quotePrefix="1" applyNumberFormat="1" applyFont="1"/>
    <xf numFmtId="43" fontId="124" fillId="95" borderId="0" xfId="25765" applyNumberFormat="1" applyFont="1" applyFill="1"/>
    <xf numFmtId="0" fontId="32" fillId="0" borderId="0" xfId="25764" quotePrefix="1" applyNumberFormat="1" applyFont="1"/>
    <xf numFmtId="49" fontId="86" fillId="0" borderId="0" xfId="25764" applyNumberFormat="1" applyFont="1"/>
    <xf numFmtId="0" fontId="86" fillId="0" borderId="0" xfId="25764" applyNumberFormat="1" applyFont="1"/>
    <xf numFmtId="0" fontId="86" fillId="0" borderId="0" xfId="25764" quotePrefix="1" applyNumberFormat="1" applyFont="1"/>
    <xf numFmtId="43" fontId="32" fillId="0" borderId="0" xfId="351" applyFont="1" applyFill="1"/>
    <xf numFmtId="0" fontId="32" fillId="0" borderId="0" xfId="25764" applyNumberFormat="1" applyFont="1" applyAlignment="1">
      <alignment horizontal="left"/>
    </xf>
    <xf numFmtId="43" fontId="32" fillId="0" borderId="81" xfId="173" applyFont="1" applyFill="1" applyBorder="1"/>
    <xf numFmtId="2" fontId="124" fillId="0" borderId="0" xfId="409" applyNumberFormat="1" applyFont="1" applyFill="1" applyAlignment="1">
      <alignment wrapText="1"/>
    </xf>
    <xf numFmtId="2" fontId="32" fillId="0" borderId="0" xfId="25764" applyNumberFormat="1" applyFont="1" applyAlignment="1">
      <alignment wrapText="1"/>
    </xf>
    <xf numFmtId="2" fontId="32" fillId="0" borderId="0" xfId="409" applyNumberFormat="1" applyFont="1" applyFill="1" applyAlignment="1">
      <alignment wrapText="1"/>
    </xf>
    <xf numFmtId="49" fontId="136" fillId="0" borderId="0" xfId="25764" applyNumberFormat="1" applyFont="1"/>
    <xf numFmtId="49" fontId="32" fillId="0" borderId="0" xfId="409" applyNumberFormat="1" applyFont="1" applyFill="1"/>
    <xf numFmtId="2" fontId="32" fillId="0" borderId="0" xfId="25764" applyNumberFormat="1" applyFont="1"/>
    <xf numFmtId="0" fontId="86" fillId="0" borderId="0" xfId="25764" applyNumberFormat="1" applyFont="1" applyFill="1"/>
    <xf numFmtId="49" fontId="32" fillId="0" borderId="0" xfId="58" applyNumberFormat="1" applyFont="1" applyFill="1"/>
    <xf numFmtId="190" fontId="124" fillId="0" borderId="0" xfId="25765" applyNumberFormat="1" applyFont="1"/>
    <xf numFmtId="43" fontId="124" fillId="0" borderId="0" xfId="25744" applyFont="1"/>
    <xf numFmtId="166" fontId="124" fillId="0" borderId="0" xfId="25744" applyNumberFormat="1" applyFont="1"/>
    <xf numFmtId="43" fontId="32" fillId="0" borderId="0" xfId="25764" applyNumberFormat="1" applyFont="1" applyFill="1"/>
    <xf numFmtId="0" fontId="123" fillId="96" borderId="0" xfId="25764" applyFont="1" applyFill="1"/>
    <xf numFmtId="10" fontId="126" fillId="96" borderId="0" xfId="25765" applyNumberFormat="1" applyFont="1" applyFill="1"/>
    <xf numFmtId="0" fontId="126" fillId="0" borderId="0" xfId="0" applyFont="1"/>
    <xf numFmtId="43" fontId="32" fillId="0" borderId="0" xfId="0" applyNumberFormat="1" applyFont="1" applyFill="1"/>
    <xf numFmtId="0" fontId="0" fillId="0" borderId="0" xfId="0" applyAlignment="1">
      <alignment horizontal="right"/>
    </xf>
    <xf numFmtId="39" fontId="124" fillId="0" borderId="0" xfId="0" applyNumberFormat="1" applyFont="1" applyFill="1"/>
    <xf numFmtId="39" fontId="32" fillId="0" borderId="84" xfId="0" applyNumberFormat="1" applyFont="1" applyFill="1" applyBorder="1"/>
    <xf numFmtId="37" fontId="18" fillId="0" borderId="0" xfId="25795" applyFont="1"/>
    <xf numFmtId="37" fontId="18" fillId="0" borderId="0" xfId="25795" applyFont="1" applyFill="1"/>
    <xf numFmtId="195" fontId="18" fillId="0" borderId="0" xfId="25795" applyNumberFormat="1" applyFont="1" applyFill="1"/>
    <xf numFmtId="37" fontId="18" fillId="0" borderId="88" xfId="25795" applyFont="1" applyFill="1" applyBorder="1"/>
    <xf numFmtId="10" fontId="18" fillId="0" borderId="0" xfId="25748" applyNumberFormat="1" applyFont="1" applyFill="1"/>
    <xf numFmtId="0" fontId="18" fillId="0" borderId="0" xfId="25766" applyNumberFormat="1" applyFont="1" applyFill="1" applyAlignment="1">
      <alignment horizontal="left"/>
    </xf>
    <xf numFmtId="37" fontId="18" fillId="0" borderId="99" xfId="25795" applyFont="1" applyFill="1" applyBorder="1"/>
    <xf numFmtId="37" fontId="18" fillId="0" borderId="49" xfId="25795" applyFont="1" applyFill="1" applyBorder="1"/>
    <xf numFmtId="37" fontId="18" fillId="0" borderId="98" xfId="25795" applyFont="1" applyFill="1" applyBorder="1"/>
    <xf numFmtId="10" fontId="23" fillId="0" borderId="49" xfId="25795" applyNumberFormat="1" applyFont="1" applyFill="1" applyBorder="1" applyProtection="1">
      <protection locked="0"/>
    </xf>
    <xf numFmtId="37" fontId="18" fillId="0" borderId="99" xfId="25795" applyFont="1" applyBorder="1"/>
    <xf numFmtId="37" fontId="18" fillId="0" borderId="49" xfId="25795" applyFont="1" applyBorder="1"/>
    <xf numFmtId="37" fontId="18" fillId="0" borderId="98" xfId="25795" applyFont="1" applyBorder="1"/>
    <xf numFmtId="37" fontId="18" fillId="0" borderId="92" xfId="25795" applyFont="1" applyFill="1" applyBorder="1"/>
    <xf numFmtId="37" fontId="18" fillId="0" borderId="0" xfId="25795" applyFont="1" applyFill="1" applyBorder="1"/>
    <xf numFmtId="37" fontId="18" fillId="0" borderId="91" xfId="25795" applyFont="1" applyFill="1" applyBorder="1"/>
    <xf numFmtId="10" fontId="18" fillId="0" borderId="0" xfId="25795" applyNumberFormat="1" applyFont="1" applyFill="1" applyBorder="1" applyAlignment="1" applyProtection="1">
      <alignment horizontal="left"/>
    </xf>
    <xf numFmtId="37" fontId="18" fillId="0" borderId="92" xfId="25795" applyFont="1" applyBorder="1"/>
    <xf numFmtId="37" fontId="18" fillId="0" borderId="0" xfId="25795" applyFont="1" applyBorder="1"/>
    <xf numFmtId="37" fontId="18" fillId="0" borderId="91" xfId="25795" applyFont="1" applyBorder="1"/>
    <xf numFmtId="10" fontId="18" fillId="0" borderId="92"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0" fontId="18" fillId="0" borderId="101" xfId="25795" applyNumberFormat="1" applyFont="1" applyFill="1" applyBorder="1" applyProtection="1"/>
    <xf numFmtId="10" fontId="18" fillId="0" borderId="88" xfId="25795" applyNumberFormat="1" applyFont="1" applyFill="1" applyBorder="1" applyProtection="1"/>
    <xf numFmtId="166" fontId="18" fillId="0" borderId="101" xfId="25766" applyNumberFormat="1" applyFont="1" applyFill="1" applyBorder="1" applyProtection="1"/>
    <xf numFmtId="166" fontId="18" fillId="0" borderId="88" xfId="25766" applyNumberFormat="1" applyFont="1" applyFill="1" applyBorder="1" applyProtection="1"/>
    <xf numFmtId="10" fontId="18" fillId="0" borderId="92" xfId="25795" applyNumberFormat="1" applyFont="1" applyBorder="1" applyAlignment="1" applyProtection="1">
      <alignment horizontal="fill"/>
    </xf>
    <xf numFmtId="10" fontId="18" fillId="0" borderId="0" xfId="25795" applyNumberFormat="1" applyFont="1" applyBorder="1" applyAlignment="1" applyProtection="1">
      <alignment horizontal="fill"/>
    </xf>
    <xf numFmtId="166" fontId="18" fillId="0" borderId="92" xfId="25766" applyNumberFormat="1" applyFont="1" applyFill="1" applyBorder="1"/>
    <xf numFmtId="166" fontId="18" fillId="0" borderId="0" xfId="25766" applyNumberFormat="1" applyFont="1" applyFill="1" applyBorder="1"/>
    <xf numFmtId="10" fontId="18" fillId="0" borderId="92" xfId="25795" applyNumberFormat="1" applyFont="1" applyBorder="1" applyProtection="1"/>
    <xf numFmtId="10" fontId="18" fillId="0" borderId="0" xfId="25795" applyNumberFormat="1" applyFont="1" applyBorder="1" applyProtection="1"/>
    <xf numFmtId="10" fontId="23" fillId="0" borderId="0" xfId="25795" applyNumberFormat="1" applyFont="1" applyBorder="1" applyProtection="1">
      <protection locked="0"/>
    </xf>
    <xf numFmtId="10" fontId="18" fillId="0" borderId="91" xfId="25795" applyNumberFormat="1" applyFont="1" applyBorder="1" applyAlignment="1" applyProtection="1">
      <alignment horizontal="left"/>
    </xf>
    <xf numFmtId="166" fontId="18" fillId="0" borderId="0" xfId="25766" applyNumberFormat="1" applyFont="1" applyFill="1" applyBorder="1" applyProtection="1"/>
    <xf numFmtId="166" fontId="18" fillId="0" borderId="0" xfId="25766" applyNumberFormat="1" applyFont="1" applyFill="1" applyBorder="1" applyAlignment="1" applyProtection="1">
      <alignment horizontal="fill"/>
    </xf>
    <xf numFmtId="10" fontId="18" fillId="0" borderId="91" xfId="25795" applyNumberFormat="1" applyFont="1" applyFill="1" applyBorder="1" applyAlignment="1" applyProtection="1">
      <alignment horizontal="left"/>
    </xf>
    <xf numFmtId="166" fontId="23" fillId="0" borderId="88" xfId="25766" applyNumberFormat="1" applyFont="1" applyFill="1" applyBorder="1" applyProtection="1">
      <protection locked="0"/>
    </xf>
    <xf numFmtId="196" fontId="18" fillId="0" borderId="0" xfId="25795" applyNumberFormat="1" applyFont="1" applyFill="1" applyBorder="1" applyProtection="1"/>
    <xf numFmtId="10" fontId="18" fillId="0" borderId="101" xfId="25795" applyNumberFormat="1" applyFont="1" applyBorder="1" applyProtection="1"/>
    <xf numFmtId="10" fontId="18" fillId="0" borderId="88" xfId="25795" applyNumberFormat="1" applyFont="1" applyBorder="1" applyProtection="1"/>
    <xf numFmtId="10" fontId="18" fillId="0" borderId="0" xfId="25748" applyNumberFormat="1" applyFont="1" applyFill="1" applyBorder="1"/>
    <xf numFmtId="166" fontId="23" fillId="0" borderId="0" xfId="25766" applyNumberFormat="1" applyFont="1" applyFill="1" applyBorder="1" applyProtection="1">
      <protection locked="0"/>
    </xf>
    <xf numFmtId="39" fontId="18" fillId="0" borderId="0" xfId="25795" applyNumberFormat="1" applyFont="1"/>
    <xf numFmtId="10" fontId="18" fillId="0" borderId="92" xfId="25795" applyNumberFormat="1" applyFont="1" applyFill="1" applyBorder="1" applyProtection="1"/>
    <xf numFmtId="166" fontId="18" fillId="0" borderId="92" xfId="25766" applyNumberFormat="1" applyFont="1" applyFill="1" applyBorder="1" applyAlignment="1" applyProtection="1">
      <alignment horizontal="fill"/>
    </xf>
    <xf numFmtId="10" fontId="18" fillId="0" borderId="101" xfId="25795" applyNumberFormat="1" applyFont="1" applyFill="1" applyBorder="1" applyAlignment="1" applyProtection="1">
      <alignment horizontal="center"/>
    </xf>
    <xf numFmtId="10" fontId="18" fillId="0" borderId="88" xfId="25795" applyNumberFormat="1" applyFont="1" applyFill="1" applyBorder="1" applyAlignment="1" applyProtection="1">
      <alignment horizontal="center"/>
    </xf>
    <xf numFmtId="10" fontId="18" fillId="0" borderId="92"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166" fontId="18" fillId="0" borderId="92" xfId="25766" applyNumberFormat="1" applyFont="1" applyFill="1" applyBorder="1" applyProtection="1"/>
    <xf numFmtId="37" fontId="18" fillId="0" borderId="92" xfId="25795" applyFont="1" applyFill="1" applyBorder="1" applyAlignment="1">
      <alignment horizontal="center"/>
    </xf>
    <xf numFmtId="197" fontId="18" fillId="0" borderId="0" xfId="25795" applyNumberFormat="1" applyFont="1" applyFill="1" applyBorder="1" applyAlignment="1" applyProtection="1">
      <alignment horizontal="center"/>
    </xf>
    <xf numFmtId="166" fontId="18" fillId="0" borderId="88"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10" fontId="18" fillId="0" borderId="101" xfId="25795" applyNumberFormat="1" applyFont="1" applyBorder="1" applyAlignment="1" applyProtection="1">
      <alignment horizontal="center"/>
    </xf>
    <xf numFmtId="10" fontId="18" fillId="0" borderId="88" xfId="25795" applyNumberFormat="1" applyFont="1" applyBorder="1" applyAlignment="1" applyProtection="1">
      <alignment horizontal="center"/>
    </xf>
    <xf numFmtId="37" fontId="18" fillId="0" borderId="92" xfId="25795" applyFont="1" applyFill="1" applyBorder="1" applyAlignment="1">
      <alignment horizontal="centerContinuous"/>
    </xf>
    <xf numFmtId="37" fontId="18" fillId="0" borderId="0" xfId="25795" applyFont="1" applyFill="1" applyBorder="1" applyAlignment="1">
      <alignment horizontal="centerContinuous"/>
    </xf>
    <xf numFmtId="197" fontId="18" fillId="0" borderId="91" xfId="25795" applyNumberFormat="1" applyFont="1" applyFill="1" applyBorder="1" applyAlignment="1" applyProtection="1">
      <alignment horizontal="centerContinuous"/>
    </xf>
    <xf numFmtId="166" fontId="18" fillId="0" borderId="92"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97" fontId="18" fillId="0" borderId="0" xfId="25795" applyNumberFormat="1" applyFont="1" applyFill="1" applyBorder="1" applyAlignment="1" applyProtection="1">
      <alignment horizontal="centerContinuous"/>
    </xf>
    <xf numFmtId="37" fontId="18" fillId="0" borderId="92" xfId="25795" applyFont="1" applyBorder="1" applyAlignment="1">
      <alignment horizontal="centerContinuous"/>
    </xf>
    <xf numFmtId="37" fontId="18" fillId="0" borderId="0" xfId="25795" applyFont="1" applyBorder="1" applyAlignment="1">
      <alignment horizontal="centerContinuous"/>
    </xf>
    <xf numFmtId="197" fontId="23" fillId="0" borderId="91" xfId="25795" applyNumberFormat="1" applyFont="1" applyBorder="1" applyAlignment="1" applyProtection="1">
      <alignment horizontal="centerContinuous"/>
      <protection locked="0"/>
    </xf>
    <xf numFmtId="10" fontId="18" fillId="0" borderId="91"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10" fontId="18" fillId="0" borderId="91" xfId="25795" applyNumberFormat="1" applyFont="1" applyBorder="1" applyAlignment="1" applyProtection="1">
      <alignment horizontal="centerContinuous"/>
    </xf>
    <xf numFmtId="37" fontId="18" fillId="0" borderId="97" xfId="25795" applyFont="1" applyFill="1" applyBorder="1"/>
    <xf numFmtId="37" fontId="18" fillId="0" borderId="96" xfId="25795" applyFont="1" applyFill="1" applyBorder="1"/>
    <xf numFmtId="37" fontId="18" fillId="0" borderId="95" xfId="25795" applyFont="1" applyFill="1" applyBorder="1"/>
    <xf numFmtId="166" fontId="18" fillId="0" borderId="97" xfId="25766" applyNumberFormat="1" applyFont="1" applyFill="1" applyBorder="1"/>
    <xf numFmtId="166" fontId="18" fillId="0" borderId="96" xfId="25766" applyNumberFormat="1" applyFont="1" applyFill="1" applyBorder="1"/>
    <xf numFmtId="37" fontId="18" fillId="0" borderId="97" xfId="25795" applyFont="1" applyBorder="1"/>
    <xf numFmtId="37" fontId="18" fillId="0" borderId="96" xfId="25795" applyFont="1" applyBorder="1"/>
    <xf numFmtId="37" fontId="18" fillId="0" borderId="95" xfId="25795" applyFont="1" applyBorder="1"/>
    <xf numFmtId="37" fontId="139" fillId="0" borderId="0" xfId="25795" applyFont="1"/>
    <xf numFmtId="37" fontId="26" fillId="0" borderId="0" xfId="25795" applyFont="1"/>
    <xf numFmtId="10" fontId="18" fillId="95" borderId="91" xfId="25795" applyNumberFormat="1" applyFont="1" applyFill="1" applyBorder="1" applyAlignment="1" applyProtection="1">
      <alignment horizontal="left"/>
    </xf>
    <xf numFmtId="10" fontId="18" fillId="95" borderId="88" xfId="25795" applyNumberFormat="1" applyFont="1" applyFill="1" applyBorder="1" applyProtection="1"/>
    <xf numFmtId="10" fontId="18" fillId="95" borderId="101" xfId="25795" applyNumberFormat="1" applyFont="1" applyFill="1" applyBorder="1" applyProtection="1"/>
    <xf numFmtId="0" fontId="142" fillId="0" borderId="0" xfId="0" applyFont="1" applyAlignment="1"/>
    <xf numFmtId="198" fontId="18" fillId="0" borderId="0" xfId="25795" applyNumberFormat="1" applyFont="1" applyBorder="1"/>
    <xf numFmtId="0" fontId="124" fillId="0" borderId="49" xfId="0" applyFont="1" applyFill="1" applyBorder="1" applyAlignment="1">
      <alignment horizontal="center"/>
    </xf>
    <xf numFmtId="0" fontId="141" fillId="0" borderId="0" xfId="0" applyFont="1" applyAlignment="1">
      <alignment horizontal="center"/>
    </xf>
    <xf numFmtId="0" fontId="124" fillId="0" borderId="0" xfId="0" applyFont="1" applyAlignment="1">
      <alignment horizontal="left" vertical="top"/>
    </xf>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37" fontId="18" fillId="0" borderId="0" xfId="25795" applyFont="1" applyAlignment="1">
      <alignment horizontal="center"/>
    </xf>
    <xf numFmtId="37" fontId="60" fillId="0" borderId="0" xfId="25795" applyFont="1" applyAlignment="1">
      <alignment horizontal="center"/>
    </xf>
    <xf numFmtId="0" fontId="32" fillId="0" borderId="0" xfId="24690" applyFont="1" applyFill="1" applyBorder="1" applyAlignment="1">
      <alignment horizontal="center"/>
    </xf>
    <xf numFmtId="0" fontId="144" fillId="0" borderId="0" xfId="0" applyFont="1" applyAlignment="1">
      <alignment horizontal="left"/>
    </xf>
    <xf numFmtId="0" fontId="32" fillId="90" borderId="77" xfId="25455" applyFont="1" applyFill="1" applyBorder="1" applyAlignment="1">
      <alignment horizontal="center"/>
    </xf>
    <xf numFmtId="0" fontId="32" fillId="90" borderId="88" xfId="25455" applyFont="1" applyFill="1" applyBorder="1" applyAlignment="1">
      <alignment horizontal="center"/>
    </xf>
    <xf numFmtId="0" fontId="32" fillId="90" borderId="15" xfId="25455" applyFont="1" applyFill="1" applyBorder="1" applyAlignment="1">
      <alignment horizontal="center"/>
    </xf>
    <xf numFmtId="49" fontId="32" fillId="90" borderId="16" xfId="25455" applyNumberFormat="1" applyFont="1" applyFill="1" applyBorder="1" applyAlignment="1">
      <alignment horizontal="center"/>
    </xf>
    <xf numFmtId="0" fontId="32" fillId="90" borderId="54" xfId="25455" applyFont="1" applyFill="1" applyBorder="1"/>
    <xf numFmtId="5" fontId="32" fillId="90" borderId="14" xfId="25457" applyNumberFormat="1" applyFont="1" applyFill="1" applyBorder="1">
      <alignment horizontal="right"/>
    </xf>
    <xf numFmtId="37" fontId="32" fillId="90" borderId="14" xfId="25456" applyNumberFormat="1" applyFont="1" applyFill="1" applyBorder="1"/>
    <xf numFmtId="5" fontId="123" fillId="90" borderId="51" xfId="25457" applyNumberFormat="1" applyFont="1" applyFill="1" applyBorder="1">
      <alignment horizontal="right"/>
    </xf>
    <xf numFmtId="5" fontId="123" fillId="90" borderId="77" xfId="25457" applyNumberFormat="1" applyFont="1" applyFill="1" applyBorder="1">
      <alignment horizontal="right"/>
    </xf>
    <xf numFmtId="182" fontId="32" fillId="90" borderId="14" xfId="25456" applyNumberFormat="1" applyFont="1" applyFill="1" applyBorder="1"/>
    <xf numFmtId="5" fontId="32" fillId="90" borderId="14" xfId="25456" applyNumberFormat="1" applyFont="1" applyFill="1" applyBorder="1"/>
    <xf numFmtId="5" fontId="32" fillId="90" borderId="51" xfId="25457" applyNumberFormat="1" applyFont="1" applyFill="1" applyBorder="1">
      <alignment horizontal="right"/>
    </xf>
    <xf numFmtId="5" fontId="123" fillId="90" borderId="64" xfId="25457" applyNumberFormat="1" applyFont="1" applyFill="1" applyBorder="1">
      <alignment horizontal="right"/>
    </xf>
    <xf numFmtId="166" fontId="32" fillId="90" borderId="16" xfId="25456" applyNumberFormat="1" applyFont="1" applyFill="1" applyBorder="1"/>
    <xf numFmtId="37" fontId="32" fillId="90" borderId="16" xfId="25456" applyNumberFormat="1" applyFont="1" applyFill="1" applyBorder="1"/>
    <xf numFmtId="5" fontId="32" fillId="90" borderId="51" xfId="25456" applyNumberFormat="1" applyFont="1" applyFill="1" applyBorder="1"/>
    <xf numFmtId="5" fontId="123" fillId="90" borderId="16" xfId="25455" applyNumberFormat="1" applyFont="1" applyFill="1" applyBorder="1"/>
    <xf numFmtId="0" fontId="32" fillId="90" borderId="88" xfId="25455" applyFont="1" applyFill="1" applyBorder="1"/>
    <xf numFmtId="0" fontId="70" fillId="101" borderId="77" xfId="25455" applyFont="1" applyFill="1" applyBorder="1" applyAlignment="1">
      <alignment horizontal="center"/>
    </xf>
    <xf numFmtId="0" fontId="70" fillId="98" borderId="77" xfId="25455" applyFont="1" applyFill="1" applyBorder="1" applyAlignment="1">
      <alignment horizontal="center"/>
    </xf>
    <xf numFmtId="0" fontId="145" fillId="102" borderId="77" xfId="25455" applyFont="1" applyFill="1" applyBorder="1" applyAlignment="1">
      <alignment horizontal="center"/>
    </xf>
    <xf numFmtId="0" fontId="70" fillId="101" borderId="15" xfId="25455" applyFont="1" applyFill="1" applyBorder="1" applyAlignment="1">
      <alignment horizontal="center"/>
    </xf>
    <xf numFmtId="0" fontId="70" fillId="98" borderId="15" xfId="25455" applyFont="1" applyFill="1" applyBorder="1" applyAlignment="1">
      <alignment horizontal="center"/>
    </xf>
    <xf numFmtId="0" fontId="145" fillId="102" borderId="15" xfId="25455" applyFont="1" applyFill="1" applyBorder="1" applyAlignment="1">
      <alignment horizontal="center"/>
    </xf>
    <xf numFmtId="49" fontId="70" fillId="101" borderId="100" xfId="25455" applyNumberFormat="1" applyFont="1" applyFill="1" applyBorder="1" applyAlignment="1">
      <alignment horizontal="center"/>
    </xf>
    <xf numFmtId="49" fontId="70" fillId="98" borderId="100" xfId="25455" applyNumberFormat="1" applyFont="1" applyFill="1" applyBorder="1" applyAlignment="1">
      <alignment horizontal="center"/>
    </xf>
    <xf numFmtId="49" fontId="145" fillId="102" borderId="100" xfId="25455" applyNumberFormat="1" applyFont="1" applyFill="1" applyBorder="1" applyAlignment="1">
      <alignment horizontal="center"/>
    </xf>
    <xf numFmtId="0" fontId="32" fillId="101" borderId="88" xfId="25455" applyFont="1" applyFill="1" applyBorder="1"/>
    <xf numFmtId="0" fontId="32" fillId="98" borderId="88" xfId="25455" applyFont="1" applyFill="1" applyBorder="1"/>
    <xf numFmtId="0" fontId="32" fillId="102" borderId="88" xfId="25455" applyFont="1" applyFill="1" applyBorder="1"/>
    <xf numFmtId="5" fontId="32" fillId="101" borderId="14" xfId="25457" applyNumberFormat="1" applyFont="1" applyFill="1" applyBorder="1">
      <alignment horizontal="right"/>
    </xf>
    <xf numFmtId="5" fontId="32" fillId="98" borderId="14" xfId="25457" applyNumberFormat="1" applyFont="1" applyFill="1" applyBorder="1">
      <alignment horizontal="right"/>
    </xf>
    <xf numFmtId="5" fontId="32" fillId="102" borderId="14" xfId="25457" applyNumberFormat="1" applyFont="1" applyFill="1" applyBorder="1">
      <alignment horizontal="right"/>
    </xf>
    <xf numFmtId="37" fontId="32" fillId="101" borderId="14" xfId="25456" applyNumberFormat="1" applyFont="1" applyFill="1" applyBorder="1"/>
    <xf numFmtId="37" fontId="32" fillId="98" borderId="14" xfId="25456" applyNumberFormat="1" applyFont="1" applyFill="1" applyBorder="1"/>
    <xf numFmtId="37" fontId="32" fillId="102" borderId="14" xfId="25456" applyNumberFormat="1" applyFont="1" applyFill="1" applyBorder="1"/>
    <xf numFmtId="5" fontId="123" fillId="101" borderId="51" xfId="25457" applyNumberFormat="1" applyFont="1" applyFill="1" applyBorder="1">
      <alignment horizontal="right"/>
    </xf>
    <xf numFmtId="5" fontId="123" fillId="98" borderId="51" xfId="25457" applyNumberFormat="1" applyFont="1" applyFill="1" applyBorder="1">
      <alignment horizontal="right"/>
    </xf>
    <xf numFmtId="5" fontId="123" fillId="102" borderId="51" xfId="25457" applyNumberFormat="1" applyFont="1" applyFill="1" applyBorder="1">
      <alignment horizontal="right"/>
    </xf>
    <xf numFmtId="5" fontId="123" fillId="101" borderId="77" xfId="25457" applyNumberFormat="1" applyFont="1" applyFill="1" applyBorder="1">
      <alignment horizontal="right"/>
    </xf>
    <xf numFmtId="5" fontId="123" fillId="98" borderId="77" xfId="25457" applyNumberFormat="1" applyFont="1" applyFill="1" applyBorder="1">
      <alignment horizontal="right"/>
    </xf>
    <xf numFmtId="5" fontId="123" fillId="102" borderId="77" xfId="25457" applyNumberFormat="1" applyFont="1" applyFill="1" applyBorder="1">
      <alignment horizontal="right"/>
    </xf>
    <xf numFmtId="5" fontId="128" fillId="101" borderId="14" xfId="25457" applyNumberFormat="1" applyFont="1" applyFill="1" applyBorder="1">
      <alignment horizontal="right"/>
    </xf>
    <xf numFmtId="5" fontId="128" fillId="98" borderId="14" xfId="25457" applyNumberFormat="1" applyFont="1" applyFill="1" applyBorder="1">
      <alignment horizontal="right"/>
    </xf>
    <xf numFmtId="41" fontId="32" fillId="102" borderId="14" xfId="25457" applyNumberFormat="1" applyFont="1" applyFill="1" applyBorder="1">
      <alignment horizontal="right"/>
    </xf>
    <xf numFmtId="5" fontId="32" fillId="101" borderId="14" xfId="25456" applyNumberFormat="1" applyFont="1" applyFill="1" applyBorder="1"/>
    <xf numFmtId="5" fontId="32" fillId="98" borderId="14" xfId="25456" applyNumberFormat="1" applyFont="1" applyFill="1" applyBorder="1"/>
    <xf numFmtId="5" fontId="32" fillId="102" borderId="14" xfId="25456" applyNumberFormat="1" applyFont="1" applyFill="1" applyBorder="1"/>
    <xf numFmtId="5" fontId="32" fillId="102" borderId="51" xfId="25457" applyNumberFormat="1" applyFont="1" applyFill="1" applyBorder="1">
      <alignment horizontal="right"/>
    </xf>
    <xf numFmtId="5" fontId="123" fillId="101" borderId="64" xfId="25457" applyNumberFormat="1" applyFont="1" applyFill="1" applyBorder="1">
      <alignment horizontal="right"/>
    </xf>
    <xf numFmtId="5" fontId="123" fillId="98" borderId="64" xfId="25457" applyNumberFormat="1" applyFont="1" applyFill="1" applyBorder="1">
      <alignment horizontal="right"/>
    </xf>
    <xf numFmtId="5" fontId="123" fillId="102" borderId="64" xfId="25457" applyNumberFormat="1" applyFont="1" applyFill="1" applyBorder="1">
      <alignment horizontal="right"/>
    </xf>
    <xf numFmtId="166" fontId="32" fillId="101" borderId="100" xfId="25456" applyNumberFormat="1" applyFont="1" applyFill="1" applyBorder="1"/>
    <xf numFmtId="166" fontId="32" fillId="98" borderId="100" xfId="25456" applyNumberFormat="1" applyFont="1" applyFill="1" applyBorder="1"/>
    <xf numFmtId="166" fontId="32" fillId="102" borderId="100" xfId="25456" applyNumberFormat="1" applyFont="1" applyFill="1" applyBorder="1"/>
    <xf numFmtId="37" fontId="32" fillId="101" borderId="100" xfId="25456" applyNumberFormat="1" applyFont="1" applyFill="1" applyBorder="1"/>
    <xf numFmtId="37" fontId="32" fillId="98" borderId="100" xfId="25456" applyNumberFormat="1" applyFont="1" applyFill="1" applyBorder="1"/>
    <xf numFmtId="37" fontId="32" fillId="102" borderId="100" xfId="25456" applyNumberFormat="1" applyFont="1" applyFill="1" applyBorder="1"/>
    <xf numFmtId="5" fontId="32" fillId="101" borderId="51" xfId="25456" applyNumberFormat="1" applyFont="1" applyFill="1" applyBorder="1"/>
    <xf numFmtId="5" fontId="32" fillId="98" borderId="51" xfId="25456" applyNumberFormat="1" applyFont="1" applyFill="1" applyBorder="1"/>
    <xf numFmtId="5" fontId="32" fillId="102" borderId="51" xfId="25456" applyNumberFormat="1" applyFont="1" applyFill="1" applyBorder="1"/>
    <xf numFmtId="167" fontId="32" fillId="90" borderId="0" xfId="25292" applyNumberFormat="1" applyFont="1" applyFill="1" applyBorder="1" applyAlignment="1">
      <alignment horizontal="center"/>
    </xf>
    <xf numFmtId="10" fontId="124" fillId="90" borderId="0" xfId="0" applyNumberFormat="1" applyFont="1" applyFill="1"/>
    <xf numFmtId="37" fontId="32" fillId="90" borderId="77" xfId="25455" applyNumberFormat="1" applyFont="1" applyFill="1" applyBorder="1" applyAlignment="1">
      <alignment horizontal="center"/>
    </xf>
    <xf numFmtId="37" fontId="32" fillId="90" borderId="15" xfId="25455" applyNumberFormat="1" applyFont="1" applyFill="1" applyBorder="1" applyAlignment="1">
      <alignment horizontal="center"/>
    </xf>
    <xf numFmtId="37" fontId="32" fillId="90" borderId="16" xfId="25455" applyNumberFormat="1" applyFont="1" applyFill="1" applyBorder="1" applyAlignment="1">
      <alignment horizontal="center"/>
    </xf>
    <xf numFmtId="37" fontId="32" fillId="90" borderId="16" xfId="25455" applyNumberFormat="1" applyFont="1" applyFill="1" applyBorder="1"/>
    <xf numFmtId="37" fontId="32" fillId="90" borderId="14" xfId="25457" applyNumberFormat="1" applyFont="1" applyFill="1" applyBorder="1">
      <alignment horizontal="right"/>
    </xf>
    <xf numFmtId="37" fontId="123" fillId="90" borderId="64" xfId="25457" applyNumberFormat="1" applyFont="1" applyFill="1" applyBorder="1">
      <alignment horizontal="right"/>
    </xf>
    <xf numFmtId="37" fontId="123" fillId="90" borderId="51" xfId="25457" applyNumberFormat="1" applyFont="1" applyFill="1" applyBorder="1">
      <alignment horizontal="right"/>
    </xf>
    <xf numFmtId="10" fontId="32" fillId="101" borderId="0" xfId="25292" applyNumberFormat="1" applyFont="1" applyFill="1" applyBorder="1" applyAlignment="1">
      <alignment horizontal="center"/>
    </xf>
    <xf numFmtId="167" fontId="123" fillId="101" borderId="18" xfId="25292" applyNumberFormat="1" applyFont="1" applyFill="1" applyBorder="1"/>
    <xf numFmtId="0" fontId="32" fillId="87" borderId="77" xfId="25455" applyFont="1" applyFill="1" applyBorder="1" applyAlignment="1">
      <alignment horizontal="center"/>
    </xf>
    <xf numFmtId="0" fontId="32" fillId="87" borderId="15" xfId="25455" applyFont="1" applyFill="1" applyBorder="1" applyAlignment="1">
      <alignment horizontal="center"/>
    </xf>
    <xf numFmtId="49" fontId="32" fillId="87" borderId="16" xfId="25455" applyNumberFormat="1" applyFont="1" applyFill="1" applyBorder="1" applyAlignment="1">
      <alignment horizontal="center"/>
    </xf>
    <xf numFmtId="0" fontId="32" fillId="87" borderId="16" xfId="25455" applyFont="1" applyFill="1" applyBorder="1"/>
    <xf numFmtId="5" fontId="123" fillId="87" borderId="51" xfId="25457" applyNumberFormat="1" applyFont="1" applyFill="1" applyBorder="1">
      <alignment horizontal="right"/>
    </xf>
    <xf numFmtId="5" fontId="123" fillId="87" borderId="77" xfId="25457" applyNumberFormat="1" applyFont="1" applyFill="1" applyBorder="1">
      <alignment horizontal="right"/>
    </xf>
    <xf numFmtId="5" fontId="32" fillId="87" borderId="51" xfId="25457" applyNumberFormat="1" applyFont="1" applyFill="1" applyBorder="1">
      <alignment horizontal="right"/>
    </xf>
    <xf numFmtId="5" fontId="123" fillId="87" borderId="64" xfId="25457" applyNumberFormat="1" applyFont="1" applyFill="1" applyBorder="1">
      <alignment horizontal="right"/>
    </xf>
    <xf numFmtId="166" fontId="32" fillId="87" borderId="16" xfId="25456" applyNumberFormat="1" applyFont="1" applyFill="1" applyBorder="1"/>
    <xf numFmtId="5" fontId="32" fillId="87" borderId="51" xfId="25456" applyNumberFormat="1" applyFont="1" applyFill="1" applyBorder="1"/>
    <xf numFmtId="183" fontId="123" fillId="87" borderId="51" xfId="25457" applyNumberFormat="1" applyFont="1" applyFill="1" applyBorder="1">
      <alignment horizontal="right"/>
    </xf>
    <xf numFmtId="5" fontId="123" fillId="87" borderId="16" xfId="25455" applyNumberFormat="1" applyFont="1" applyFill="1" applyBorder="1"/>
    <xf numFmtId="0" fontId="32" fillId="0" borderId="16" xfId="25455" applyFont="1" applyFill="1" applyBorder="1"/>
    <xf numFmtId="41" fontId="32" fillId="0" borderId="14" xfId="25457" applyNumberFormat="1" applyFont="1" applyFill="1" applyBorder="1">
      <alignment horizontal="right"/>
    </xf>
    <xf numFmtId="5" fontId="32" fillId="0" borderId="14" xfId="25456" applyNumberFormat="1" applyFont="1" applyFill="1" applyBorder="1"/>
    <xf numFmtId="5" fontId="32" fillId="0" borderId="51" xfId="25457" applyNumberFormat="1" applyFont="1" applyFill="1" applyBorder="1">
      <alignment horizontal="right"/>
    </xf>
    <xf numFmtId="5" fontId="128" fillId="0" borderId="14" xfId="25457" applyNumberFormat="1" applyFont="1" applyFill="1" applyBorder="1">
      <alignment horizontal="right"/>
    </xf>
    <xf numFmtId="0" fontId="32" fillId="0" borderId="55" xfId="25455" applyFont="1" applyFill="1" applyBorder="1"/>
    <xf numFmtId="43" fontId="124" fillId="102" borderId="0" xfId="25742" applyFont="1" applyFill="1"/>
    <xf numFmtId="0" fontId="32" fillId="102" borderId="77" xfId="25455" applyFont="1" applyFill="1" applyBorder="1" applyAlignment="1">
      <alignment horizontal="center"/>
    </xf>
    <xf numFmtId="0" fontId="32" fillId="102" borderId="15" xfId="25455" applyFont="1" applyFill="1" applyBorder="1" applyAlignment="1">
      <alignment horizontal="center"/>
    </xf>
    <xf numFmtId="49" fontId="32" fillId="102" borderId="16" xfId="25455" applyNumberFormat="1" applyFont="1" applyFill="1" applyBorder="1" applyAlignment="1">
      <alignment horizontal="center"/>
    </xf>
    <xf numFmtId="0" fontId="32" fillId="102" borderId="16" xfId="25455" applyFont="1" applyFill="1" applyBorder="1"/>
    <xf numFmtId="166" fontId="32" fillId="102" borderId="16" xfId="25456" applyNumberFormat="1" applyFont="1" applyFill="1" applyBorder="1"/>
    <xf numFmtId="37" fontId="32" fillId="102" borderId="16" xfId="25456" applyNumberFormat="1" applyFont="1" applyFill="1" applyBorder="1"/>
    <xf numFmtId="5" fontId="123" fillId="102" borderId="16" xfId="25455" applyNumberFormat="1" applyFont="1" applyFill="1" applyBorder="1"/>
    <xf numFmtId="0" fontId="32" fillId="103" borderId="77" xfId="25455" applyFont="1" applyFill="1" applyBorder="1" applyAlignment="1">
      <alignment horizontal="center"/>
    </xf>
    <xf numFmtId="0" fontId="32" fillId="103" borderId="15" xfId="25455" applyFont="1" applyFill="1" applyBorder="1" applyAlignment="1">
      <alignment horizontal="center"/>
    </xf>
    <xf numFmtId="49" fontId="32" fillId="103" borderId="16" xfId="25455" applyNumberFormat="1" applyFont="1" applyFill="1" applyBorder="1" applyAlignment="1">
      <alignment horizontal="center"/>
    </xf>
    <xf numFmtId="0" fontId="32" fillId="103" borderId="16" xfId="25455" applyFont="1" applyFill="1" applyBorder="1"/>
    <xf numFmtId="5" fontId="32" fillId="103" borderId="14" xfId="25457" applyNumberFormat="1" applyFont="1" applyFill="1" applyBorder="1">
      <alignment horizontal="right"/>
    </xf>
    <xf numFmtId="37" fontId="32" fillId="103" borderId="14" xfId="25456" applyNumberFormat="1" applyFont="1" applyFill="1" applyBorder="1"/>
    <xf numFmtId="5" fontId="123" fillId="103" borderId="51" xfId="25457" applyNumberFormat="1" applyFont="1" applyFill="1" applyBorder="1">
      <alignment horizontal="right"/>
    </xf>
    <xf numFmtId="5" fontId="123" fillId="103" borderId="77" xfId="25457" applyNumberFormat="1" applyFont="1" applyFill="1" applyBorder="1">
      <alignment horizontal="right"/>
    </xf>
    <xf numFmtId="5" fontId="32" fillId="103" borderId="51" xfId="25457" applyNumberFormat="1" applyFont="1" applyFill="1" applyBorder="1">
      <alignment horizontal="right"/>
    </xf>
    <xf numFmtId="5" fontId="123" fillId="103" borderId="64" xfId="25457" applyNumberFormat="1" applyFont="1" applyFill="1" applyBorder="1">
      <alignment horizontal="right"/>
    </xf>
    <xf numFmtId="166" fontId="32" fillId="103" borderId="16" xfId="25456" applyNumberFormat="1" applyFont="1" applyFill="1" applyBorder="1"/>
    <xf numFmtId="37" fontId="32" fillId="103" borderId="16" xfId="25456" applyNumberFormat="1" applyFont="1" applyFill="1" applyBorder="1"/>
    <xf numFmtId="5" fontId="32" fillId="103" borderId="51" xfId="25456" applyNumberFormat="1" applyFont="1" applyFill="1" applyBorder="1"/>
    <xf numFmtId="5" fontId="123" fillId="103" borderId="16" xfId="25455" applyNumberFormat="1" applyFont="1" applyFill="1" applyBorder="1"/>
    <xf numFmtId="8" fontId="124" fillId="103" borderId="0" xfId="0" applyNumberFormat="1" applyFont="1" applyFill="1"/>
    <xf numFmtId="186" fontId="124" fillId="0" borderId="0" xfId="0" applyNumberFormat="1" applyFont="1"/>
    <xf numFmtId="10" fontId="124" fillId="103" borderId="0" xfId="25793" applyNumberFormat="1" applyFont="1" applyFill="1"/>
    <xf numFmtId="38" fontId="129" fillId="0" borderId="107" xfId="0" applyNumberFormat="1" applyFont="1" applyBorder="1"/>
    <xf numFmtId="38" fontId="32" fillId="89" borderId="35" xfId="2" applyNumberFormat="1" applyFont="1" applyFill="1" applyBorder="1" applyProtection="1"/>
    <xf numFmtId="5" fontId="32" fillId="101" borderId="51" xfId="25457" applyNumberFormat="1" applyFont="1" applyFill="1" applyBorder="1">
      <alignment horizontal="right"/>
    </xf>
    <xf numFmtId="5" fontId="32" fillId="98" borderId="51" xfId="25457" applyNumberFormat="1" applyFont="1" applyFill="1" applyBorder="1">
      <alignment horizontal="right"/>
    </xf>
    <xf numFmtId="5" fontId="123" fillId="101" borderId="16" xfId="25455" applyNumberFormat="1" applyFont="1" applyFill="1" applyBorder="1"/>
    <xf numFmtId="5" fontId="123" fillId="98" borderId="16" xfId="25455" applyNumberFormat="1" applyFont="1" applyFill="1" applyBorder="1"/>
    <xf numFmtId="5" fontId="123" fillId="98" borderId="100" xfId="25455" applyNumberFormat="1" applyFont="1" applyFill="1" applyBorder="1"/>
    <xf numFmtId="38" fontId="32" fillId="0" borderId="0" xfId="1" applyNumberFormat="1" applyFont="1" applyBorder="1"/>
    <xf numFmtId="38" fontId="32" fillId="33" borderId="90" xfId="3" applyNumberFormat="1" applyFont="1" applyFill="1" applyBorder="1">
      <alignment horizontal="right"/>
    </xf>
    <xf numFmtId="38" fontId="32" fillId="0" borderId="54" xfId="1" applyNumberFormat="1" applyFont="1" applyBorder="1"/>
    <xf numFmtId="38" fontId="32" fillId="0" borderId="35" xfId="1" applyNumberFormat="1" applyFont="1" applyBorder="1"/>
    <xf numFmtId="38" fontId="32" fillId="91" borderId="89" xfId="1" applyNumberFormat="1" applyFont="1" applyFill="1" applyBorder="1"/>
    <xf numFmtId="0" fontId="146" fillId="0" borderId="0" xfId="0" applyFont="1"/>
    <xf numFmtId="40" fontId="124" fillId="95" borderId="0" xfId="0" applyNumberFormat="1" applyFont="1" applyFill="1"/>
    <xf numFmtId="0" fontId="147" fillId="0" borderId="0" xfId="0" applyFont="1"/>
    <xf numFmtId="43" fontId="148" fillId="0" borderId="0" xfId="25742" applyNumberFormat="1" applyFont="1"/>
    <xf numFmtId="40" fontId="124" fillId="95" borderId="0" xfId="0" applyNumberFormat="1" applyFont="1" applyFill="1" applyBorder="1"/>
    <xf numFmtId="38" fontId="126" fillId="89" borderId="93" xfId="0" applyNumberFormat="1" applyFont="1" applyFill="1" applyBorder="1"/>
    <xf numFmtId="0" fontId="124" fillId="0" borderId="0" xfId="0" applyFont="1" applyAlignment="1">
      <alignment horizontal="right"/>
    </xf>
    <xf numFmtId="3" fontId="124" fillId="95" borderId="0" xfId="0" applyNumberFormat="1" applyFont="1" applyFill="1"/>
    <xf numFmtId="166" fontId="148" fillId="0" borderId="0" xfId="25742" applyNumberFormat="1" applyFont="1"/>
    <xf numFmtId="4" fontId="124" fillId="95" borderId="0" xfId="0" quotePrefix="1" applyNumberFormat="1" applyFont="1" applyFill="1"/>
    <xf numFmtId="3" fontId="124" fillId="89" borderId="0" xfId="0" applyNumberFormat="1" applyFont="1" applyFill="1"/>
    <xf numFmtId="0" fontId="124" fillId="87" borderId="0" xfId="0" applyFont="1" applyFill="1"/>
    <xf numFmtId="40" fontId="124" fillId="87" borderId="0" xfId="0" applyNumberFormat="1" applyFont="1" applyFill="1"/>
    <xf numFmtId="38" fontId="124" fillId="87" borderId="0" xfId="0" applyNumberFormat="1" applyFont="1" applyFill="1"/>
    <xf numFmtId="6" fontId="32" fillId="90" borderId="14" xfId="25457" applyNumberFormat="1" applyFont="1" applyFill="1" applyBorder="1">
      <alignment horizontal="right"/>
    </xf>
    <xf numFmtId="5" fontId="32" fillId="105" borderId="14" xfId="25457" applyNumberFormat="1" applyFont="1" applyFill="1" applyBorder="1">
      <alignment horizontal="right"/>
    </xf>
    <xf numFmtId="37" fontId="32" fillId="105" borderId="14" xfId="25456" applyNumberFormat="1" applyFont="1" applyFill="1" applyBorder="1"/>
    <xf numFmtId="5" fontId="123" fillId="105" borderId="51" xfId="25457" applyNumberFormat="1" applyFont="1" applyFill="1" applyBorder="1">
      <alignment horizontal="right"/>
    </xf>
    <xf numFmtId="5" fontId="123" fillId="105" borderId="77" xfId="25457" applyNumberFormat="1" applyFont="1" applyFill="1" applyBorder="1">
      <alignment horizontal="right"/>
    </xf>
    <xf numFmtId="5" fontId="32" fillId="105" borderId="51" xfId="25457" applyNumberFormat="1" applyFont="1" applyFill="1" applyBorder="1">
      <alignment horizontal="right"/>
    </xf>
    <xf numFmtId="5" fontId="123" fillId="105" borderId="64" xfId="25457" applyNumberFormat="1" applyFont="1" applyFill="1" applyBorder="1">
      <alignment horizontal="right"/>
    </xf>
    <xf numFmtId="166" fontId="32" fillId="105" borderId="16" xfId="25456" applyNumberFormat="1" applyFont="1" applyFill="1" applyBorder="1"/>
    <xf numFmtId="37" fontId="32" fillId="105" borderId="16" xfId="25456" applyNumberFormat="1" applyFont="1" applyFill="1" applyBorder="1"/>
    <xf numFmtId="5" fontId="32" fillId="105" borderId="51" xfId="25456" applyNumberFormat="1" applyFont="1" applyFill="1" applyBorder="1"/>
    <xf numFmtId="5" fontId="123" fillId="105" borderId="16" xfId="25455" applyNumberFormat="1" applyFont="1" applyFill="1" applyBorder="1"/>
    <xf numFmtId="0" fontId="124" fillId="0" borderId="11" xfId="0" applyFont="1" applyBorder="1" applyAlignment="1">
      <alignment horizontal="center"/>
    </xf>
    <xf numFmtId="184" fontId="32" fillId="0" borderId="11" xfId="3" applyNumberFormat="1" applyFont="1" applyBorder="1">
      <alignment horizontal="right"/>
    </xf>
    <xf numFmtId="43" fontId="126" fillId="106" borderId="0" xfId="0" applyNumberFormat="1" applyFont="1" applyFill="1" applyAlignment="1">
      <alignment horizontal="center"/>
    </xf>
    <xf numFmtId="43" fontId="124" fillId="106" borderId="0" xfId="0" applyNumberFormat="1" applyFont="1" applyFill="1"/>
    <xf numFmtId="43" fontId="32" fillId="106" borderId="77" xfId="25455" applyNumberFormat="1" applyFont="1" applyFill="1" applyBorder="1" applyAlignment="1">
      <alignment horizontal="center"/>
    </xf>
    <xf numFmtId="43" fontId="32" fillId="106" borderId="15" xfId="25455" applyNumberFormat="1" applyFont="1" applyFill="1" applyBorder="1" applyAlignment="1">
      <alignment horizontal="center"/>
    </xf>
    <xf numFmtId="43" fontId="123" fillId="106" borderId="0" xfId="25743" applyNumberFormat="1" applyFont="1" applyFill="1" applyBorder="1" applyAlignment="1" applyProtection="1">
      <alignment horizontal="center" wrapText="1"/>
    </xf>
    <xf numFmtId="43" fontId="32" fillId="106" borderId="84" xfId="0" applyNumberFormat="1" applyFont="1" applyFill="1" applyBorder="1"/>
    <xf numFmtId="43" fontId="32" fillId="106" borderId="85" xfId="0" applyNumberFormat="1" applyFont="1" applyFill="1" applyBorder="1"/>
    <xf numFmtId="43" fontId="32" fillId="106" borderId="11" xfId="0" applyNumberFormat="1" applyFont="1" applyFill="1" applyBorder="1"/>
    <xf numFmtId="43" fontId="32" fillId="106" borderId="56" xfId="0" applyNumberFormat="1" applyFont="1" applyFill="1" applyBorder="1"/>
    <xf numFmtId="8" fontId="124" fillId="106" borderId="0" xfId="0" applyNumberFormat="1" applyFont="1" applyFill="1"/>
    <xf numFmtId="43" fontId="32" fillId="106" borderId="90" xfId="0" applyNumberFormat="1" applyFont="1" applyFill="1" applyBorder="1"/>
    <xf numFmtId="43" fontId="124" fillId="107" borderId="0" xfId="0" applyNumberFormat="1" applyFont="1" applyFill="1"/>
    <xf numFmtId="0" fontId="123" fillId="0" borderId="0" xfId="25796" applyFont="1" applyFill="1" applyBorder="1" applyAlignment="1">
      <alignment horizontal="center"/>
    </xf>
    <xf numFmtId="0" fontId="124" fillId="0" borderId="97" xfId="0" applyFont="1" applyBorder="1"/>
    <xf numFmtId="0" fontId="149" fillId="0" borderId="0" xfId="0" applyFont="1"/>
    <xf numFmtId="0" fontId="123" fillId="0" borderId="92" xfId="25796" applyFont="1" applyFill="1" applyBorder="1" applyAlignment="1">
      <alignment horizontal="center"/>
    </xf>
    <xf numFmtId="0" fontId="123" fillId="0" borderId="0" xfId="25796" applyFont="1" applyFill="1" applyBorder="1" applyAlignment="1"/>
    <xf numFmtId="0" fontId="134" fillId="0" borderId="49" xfId="0" applyFont="1" applyBorder="1" applyAlignment="1">
      <alignment horizontal="center"/>
    </xf>
    <xf numFmtId="0" fontId="134" fillId="0" borderId="0" xfId="0" applyFont="1" applyBorder="1" applyAlignment="1">
      <alignment horizontal="center"/>
    </xf>
    <xf numFmtId="0" fontId="134" fillId="0" borderId="0" xfId="0" applyFont="1" applyFill="1" applyBorder="1" applyAlignment="1">
      <alignment horizontal="center"/>
    </xf>
    <xf numFmtId="0" fontId="124" fillId="0" borderId="92" xfId="0" applyFont="1" applyBorder="1"/>
    <xf numFmtId="0" fontId="134" fillId="0" borderId="0" xfId="0" applyFont="1"/>
    <xf numFmtId="0" fontId="150" fillId="0" borderId="0" xfId="0" applyFont="1" applyAlignment="1">
      <alignment horizontal="center"/>
    </xf>
    <xf numFmtId="0" fontId="151" fillId="0" borderId="0" xfId="0" applyFont="1" applyAlignment="1">
      <alignment horizontal="center"/>
    </xf>
    <xf numFmtId="0" fontId="125" fillId="0" borderId="91" xfId="0" applyFont="1" applyBorder="1" applyAlignment="1">
      <alignment horizontal="center"/>
    </xf>
    <xf numFmtId="0" fontId="124" fillId="0" borderId="92" xfId="0" applyFont="1" applyBorder="1" applyAlignment="1">
      <alignment horizontal="center"/>
    </xf>
    <xf numFmtId="0" fontId="134" fillId="0" borderId="0" xfId="0" applyFont="1" applyAlignment="1">
      <alignment horizontal="center"/>
    </xf>
    <xf numFmtId="0" fontId="134" fillId="0" borderId="0" xfId="0" applyFont="1" applyAlignment="1">
      <alignment horizontal="center" wrapText="1"/>
    </xf>
    <xf numFmtId="0" fontId="134" fillId="0" borderId="0" xfId="0" applyFont="1" applyFill="1" applyAlignment="1">
      <alignment horizontal="center"/>
    </xf>
    <xf numFmtId="0" fontId="124" fillId="0" borderId="91" xfId="0" applyFont="1" applyBorder="1" applyAlignment="1">
      <alignment horizontal="center"/>
    </xf>
    <xf numFmtId="3" fontId="124" fillId="0" borderId="92" xfId="0" applyNumberFormat="1" applyFont="1" applyBorder="1"/>
    <xf numFmtId="3" fontId="134" fillId="0" borderId="0" xfId="0" applyNumberFormat="1" applyFont="1" applyAlignment="1">
      <alignment horizontal="right"/>
    </xf>
    <xf numFmtId="3" fontId="134" fillId="0" borderId="0" xfId="0" applyNumberFormat="1" applyFont="1"/>
    <xf numFmtId="3" fontId="134" fillId="0" borderId="0" xfId="0" applyNumberFormat="1" applyFont="1" applyFill="1" applyAlignment="1">
      <alignment horizontal="right"/>
    </xf>
    <xf numFmtId="3" fontId="124" fillId="0" borderId="92" xfId="0" applyNumberFormat="1" applyFont="1" applyFill="1" applyBorder="1"/>
    <xf numFmtId="166" fontId="134" fillId="0" borderId="0" xfId="25742" applyNumberFormat="1" applyFont="1"/>
    <xf numFmtId="43" fontId="134" fillId="0" borderId="0" xfId="25742" applyFont="1"/>
    <xf numFmtId="166" fontId="134" fillId="0" borderId="0" xfId="25742" applyNumberFormat="1" applyFont="1" applyFill="1"/>
    <xf numFmtId="3" fontId="124" fillId="0" borderId="101" xfId="0" applyNumberFormat="1" applyFont="1" applyFill="1" applyBorder="1"/>
    <xf numFmtId="0" fontId="134" fillId="0" borderId="88" xfId="0" applyFont="1" applyBorder="1"/>
    <xf numFmtId="43" fontId="134" fillId="0" borderId="0" xfId="25742" applyFont="1" applyBorder="1"/>
    <xf numFmtId="0" fontId="134" fillId="0" borderId="0" xfId="0" applyFont="1" applyFill="1" applyBorder="1"/>
    <xf numFmtId="3" fontId="134" fillId="0" borderId="0" xfId="0" applyNumberFormat="1" applyFont="1" applyFill="1"/>
    <xf numFmtId="3" fontId="124" fillId="0" borderId="101" xfId="0" applyNumberFormat="1" applyFont="1" applyBorder="1"/>
    <xf numFmtId="190" fontId="124" fillId="0" borderId="103" xfId="0" applyNumberFormat="1" applyFont="1" applyFill="1" applyBorder="1"/>
    <xf numFmtId="0" fontId="149" fillId="0" borderId="0" xfId="0" applyFont="1" applyFill="1"/>
    <xf numFmtId="190" fontId="134" fillId="0" borderId="82" xfId="0" applyNumberFormat="1" applyFont="1" applyFill="1" applyBorder="1"/>
    <xf numFmtId="190" fontId="134" fillId="0" borderId="0" xfId="0" applyNumberFormat="1" applyFont="1" applyBorder="1"/>
    <xf numFmtId="190" fontId="134" fillId="0" borderId="0" xfId="0" applyNumberFormat="1" applyFont="1" applyFill="1" applyBorder="1"/>
    <xf numFmtId="0" fontId="134" fillId="0" borderId="0" xfId="0" applyFont="1" applyFill="1"/>
    <xf numFmtId="190" fontId="124" fillId="0" borderId="0" xfId="0" applyNumberFormat="1" applyFont="1" applyFill="1"/>
    <xf numFmtId="0" fontId="124" fillId="0" borderId="98" xfId="0" applyFont="1" applyBorder="1" applyAlignment="1">
      <alignment horizontal="center"/>
    </xf>
    <xf numFmtId="0" fontId="124" fillId="0" borderId="99" xfId="0" applyFont="1" applyBorder="1"/>
    <xf numFmtId="0" fontId="153" fillId="0" borderId="0" xfId="0" applyFont="1"/>
    <xf numFmtId="44" fontId="149" fillId="0" borderId="0" xfId="25745" applyFont="1"/>
    <xf numFmtId="0" fontId="127" fillId="0" borderId="0" xfId="0" applyFont="1" applyAlignment="1">
      <alignment horizontal="center" vertical="center"/>
    </xf>
    <xf numFmtId="44" fontId="134" fillId="0" borderId="88" xfId="25745" applyFont="1" applyBorder="1" applyAlignment="1">
      <alignment horizontal="center" wrapText="1"/>
    </xf>
    <xf numFmtId="0" fontId="154" fillId="0" borderId="0" xfId="0" applyFont="1" applyBorder="1"/>
    <xf numFmtId="0" fontId="155" fillId="0" borderId="0" xfId="0" applyFont="1" applyAlignment="1">
      <alignment horizontal="center" vertical="center"/>
    </xf>
    <xf numFmtId="0" fontId="156" fillId="93" borderId="14" xfId="0" applyFont="1" applyFill="1" applyBorder="1" applyAlignment="1">
      <alignment horizontal="center" wrapText="1"/>
    </xf>
    <xf numFmtId="0" fontId="134" fillId="93" borderId="14" xfId="0" applyFont="1" applyFill="1" applyBorder="1"/>
    <xf numFmtId="44" fontId="134" fillId="93" borderId="14" xfId="25745" applyFont="1" applyFill="1" applyBorder="1" applyAlignment="1">
      <alignment horizontal="center"/>
    </xf>
    <xf numFmtId="0" fontId="157" fillId="108" borderId="49" xfId="0" applyFont="1" applyFill="1" applyBorder="1" applyAlignment="1">
      <alignment vertical="center"/>
    </xf>
    <xf numFmtId="0" fontId="158" fillId="108" borderId="49" xfId="0" applyFont="1" applyFill="1" applyBorder="1" applyAlignment="1">
      <alignment horizontal="center" vertical="center"/>
    </xf>
    <xf numFmtId="0" fontId="158" fillId="108" borderId="49" xfId="0" applyFont="1" applyFill="1" applyBorder="1" applyAlignment="1">
      <alignment horizontal="center" vertical="center" wrapText="1"/>
    </xf>
    <xf numFmtId="0" fontId="134" fillId="0" borderId="14" xfId="0" applyFont="1" applyBorder="1" applyAlignment="1">
      <alignment horizontal="center"/>
    </xf>
    <xf numFmtId="0" fontId="134" fillId="0" borderId="14" xfId="0" applyFont="1" applyBorder="1"/>
    <xf numFmtId="44" fontId="134" fillId="0" borderId="14" xfId="25745" applyFont="1" applyBorder="1"/>
    <xf numFmtId="0" fontId="159" fillId="0" borderId="108" xfId="0" applyFont="1" applyBorder="1" applyAlignment="1">
      <alignment vertical="center"/>
    </xf>
    <xf numFmtId="8" fontId="159" fillId="0" borderId="99" xfId="0" applyNumberFormat="1" applyFont="1" applyBorder="1" applyAlignment="1">
      <alignment horizontal="center" vertical="center"/>
    </xf>
    <xf numFmtId="0" fontId="159" fillId="0" borderId="0" xfId="0" applyFont="1" applyBorder="1" applyAlignment="1">
      <alignment vertical="center" wrapText="1"/>
    </xf>
    <xf numFmtId="0" fontId="159" fillId="0" borderId="96" xfId="0" applyFont="1" applyBorder="1" applyAlignment="1">
      <alignment vertical="center" wrapText="1"/>
    </xf>
    <xf numFmtId="6" fontId="159" fillId="0" borderId="99" xfId="0" applyNumberFormat="1" applyFont="1" applyBorder="1" applyAlignment="1">
      <alignment horizontal="center" vertical="center"/>
    </xf>
    <xf numFmtId="0" fontId="160" fillId="0" borderId="96" xfId="0" applyFont="1" applyBorder="1" applyAlignment="1">
      <alignment vertical="center" wrapText="1"/>
    </xf>
    <xf numFmtId="0" fontId="134" fillId="0" borderId="14" xfId="0" applyFont="1" applyBorder="1" applyAlignment="1">
      <alignment horizontal="center" wrapText="1"/>
    </xf>
    <xf numFmtId="0" fontId="134" fillId="0" borderId="14" xfId="0" applyFont="1" applyBorder="1" applyAlignment="1">
      <alignment wrapText="1"/>
    </xf>
    <xf numFmtId="0" fontId="161" fillId="0" borderId="108" xfId="0" applyFont="1" applyBorder="1" applyAlignment="1">
      <alignment vertical="center"/>
    </xf>
    <xf numFmtId="0" fontId="161" fillId="0" borderId="99" xfId="0" applyFont="1" applyBorder="1" applyAlignment="1">
      <alignment horizontal="center" vertical="center"/>
    </xf>
    <xf numFmtId="6" fontId="134" fillId="0" borderId="14" xfId="0" applyNumberFormat="1" applyFont="1" applyBorder="1"/>
    <xf numFmtId="8" fontId="134" fillId="0" borderId="14" xfId="25745" applyNumberFormat="1" applyFont="1" applyBorder="1"/>
    <xf numFmtId="44" fontId="134" fillId="0" borderId="14" xfId="25745" applyNumberFormat="1" applyFont="1" applyBorder="1"/>
    <xf numFmtId="0" fontId="149" fillId="0" borderId="49" xfId="0" applyFont="1" applyBorder="1" applyAlignment="1">
      <alignment vertical="center" wrapText="1"/>
    </xf>
    <xf numFmtId="0" fontId="162" fillId="108" borderId="0" xfId="0" applyFont="1" applyFill="1" applyAlignment="1">
      <alignment vertical="center"/>
    </xf>
    <xf numFmtId="8" fontId="162" fillId="108" borderId="0" xfId="0" applyNumberFormat="1" applyFont="1" applyFill="1" applyAlignment="1">
      <alignment horizontal="center" vertical="center"/>
    </xf>
    <xf numFmtId="0" fontId="162" fillId="108" borderId="0" xfId="0" applyFont="1" applyFill="1" applyAlignment="1">
      <alignment horizontal="right" vertical="center" wrapText="1"/>
    </xf>
    <xf numFmtId="0" fontId="163" fillId="0" borderId="0" xfId="0" applyFont="1"/>
    <xf numFmtId="44" fontId="134" fillId="0" borderId="0" xfId="25745" applyFont="1"/>
    <xf numFmtId="44" fontId="149" fillId="0" borderId="0" xfId="0" applyNumberFormat="1" applyFont="1"/>
    <xf numFmtId="0" fontId="164" fillId="0" borderId="0" xfId="0" applyFont="1" applyAlignment="1">
      <alignment vertical="center"/>
    </xf>
    <xf numFmtId="0" fontId="164" fillId="0" borderId="0" xfId="0" applyFont="1" applyAlignment="1">
      <alignment horizontal="left" vertical="center" indent="4"/>
    </xf>
    <xf numFmtId="0" fontId="127" fillId="0" borderId="0" xfId="0" applyFont="1" applyAlignment="1">
      <alignment horizontal="left" vertical="center" indent="4"/>
    </xf>
    <xf numFmtId="0" fontId="158" fillId="108" borderId="110" xfId="0" applyFont="1" applyFill="1" applyBorder="1" applyAlignment="1">
      <alignment vertical="center" wrapText="1"/>
    </xf>
    <xf numFmtId="0" fontId="158" fillId="108" borderId="110" xfId="0" applyFont="1" applyFill="1" applyBorder="1" applyAlignment="1">
      <alignment horizontal="center" vertical="center"/>
    </xf>
    <xf numFmtId="0" fontId="158" fillId="108" borderId="111" xfId="0" applyFont="1" applyFill="1" applyBorder="1" applyAlignment="1">
      <alignment horizontal="center" vertical="center" wrapText="1"/>
    </xf>
    <xf numFmtId="0" fontId="149" fillId="0" borderId="108" xfId="0" applyFont="1" applyBorder="1" applyAlignment="1">
      <alignment vertical="center" wrapText="1"/>
    </xf>
    <xf numFmtId="6" fontId="149" fillId="0" borderId="99" xfId="0" applyNumberFormat="1" applyFont="1" applyBorder="1" applyAlignment="1">
      <alignment horizontal="center" vertical="center"/>
    </xf>
    <xf numFmtId="0" fontId="150" fillId="0" borderId="0" xfId="0" applyFont="1"/>
    <xf numFmtId="0" fontId="149" fillId="0" borderId="99" xfId="0" applyFont="1" applyBorder="1" applyAlignment="1">
      <alignment vertical="center" wrapText="1"/>
    </xf>
    <xf numFmtId="0" fontId="157" fillId="108" borderId="99" xfId="0" applyFont="1" applyFill="1" applyBorder="1" applyAlignment="1">
      <alignment vertical="center" wrapText="1"/>
    </xf>
    <xf numFmtId="6" fontId="158" fillId="108" borderId="99" xfId="0" applyNumberFormat="1" applyFont="1" applyFill="1" applyBorder="1" applyAlignment="1">
      <alignment horizontal="center" vertical="center"/>
    </xf>
    <xf numFmtId="0" fontId="158" fillId="108" borderId="99" xfId="0" applyFont="1" applyFill="1" applyBorder="1" applyAlignment="1">
      <alignment vertical="center"/>
    </xf>
    <xf numFmtId="0" fontId="155" fillId="0" borderId="0" xfId="0" applyFont="1" applyBorder="1" applyAlignment="1">
      <alignment horizontal="center"/>
    </xf>
    <xf numFmtId="0" fontId="156" fillId="0" borderId="49" xfId="0" applyFont="1" applyBorder="1"/>
    <xf numFmtId="6" fontId="158" fillId="0" borderId="49" xfId="0" applyNumberFormat="1" applyFont="1" applyFill="1" applyBorder="1" applyAlignment="1">
      <alignment horizontal="center" vertical="center"/>
    </xf>
    <xf numFmtId="0" fontId="158" fillId="0" borderId="49" xfId="0" applyFont="1" applyFill="1" applyBorder="1" applyAlignment="1">
      <alignment vertical="center"/>
    </xf>
    <xf numFmtId="0" fontId="149" fillId="0" borderId="49" xfId="0" applyFont="1" applyBorder="1"/>
    <xf numFmtId="0" fontId="149" fillId="93" borderId="49" xfId="0" applyFont="1" applyFill="1" applyBorder="1"/>
    <xf numFmtId="0" fontId="134" fillId="0" borderId="49" xfId="0" applyFont="1" applyBorder="1" applyAlignment="1">
      <alignment horizontal="left"/>
    </xf>
    <xf numFmtId="44" fontId="165" fillId="0" borderId="0" xfId="25745" applyFont="1" applyAlignment="1">
      <alignment wrapText="1"/>
    </xf>
    <xf numFmtId="0" fontId="159" fillId="0" borderId="107" xfId="0" applyFont="1" applyBorder="1" applyAlignment="1">
      <alignment vertical="center" wrapText="1"/>
    </xf>
    <xf numFmtId="0" fontId="159" fillId="0" borderId="110" xfId="0" applyFont="1" applyBorder="1" applyAlignment="1">
      <alignment horizontal="left" vertical="center" wrapText="1"/>
    </xf>
    <xf numFmtId="0" fontId="160" fillId="0" borderId="110" xfId="0" applyFont="1" applyBorder="1" applyAlignment="1">
      <alignment vertical="center" wrapText="1"/>
    </xf>
    <xf numFmtId="0" fontId="166" fillId="93" borderId="110" xfId="0" applyFont="1" applyFill="1" applyBorder="1" applyAlignment="1">
      <alignment horizontal="center" vertical="center" wrapText="1"/>
    </xf>
    <xf numFmtId="0" fontId="166" fillId="0" borderId="111" xfId="0" applyFont="1" applyBorder="1" applyAlignment="1">
      <alignment horizontal="center" vertical="center" wrapText="1"/>
    </xf>
    <xf numFmtId="44" fontId="167" fillId="0" borderId="110" xfId="25745" applyFont="1" applyBorder="1" applyAlignment="1">
      <alignment vertical="center" wrapText="1"/>
    </xf>
    <xf numFmtId="0" fontId="159" fillId="0" borderId="112" xfId="0" applyFont="1" applyBorder="1" applyAlignment="1">
      <alignment horizontal="center" vertical="center" wrapText="1"/>
    </xf>
    <xf numFmtId="0" fontId="159" fillId="0" borderId="112" xfId="0" applyFont="1" applyBorder="1" applyAlignment="1">
      <alignment horizontal="right" vertical="center" wrapText="1"/>
    </xf>
    <xf numFmtId="0" fontId="160" fillId="0" borderId="112" xfId="0" applyFont="1" applyBorder="1" applyAlignment="1">
      <alignment horizontal="center" vertical="center" wrapText="1"/>
    </xf>
    <xf numFmtId="0" fontId="134" fillId="0" borderId="112" xfId="0" applyFont="1" applyBorder="1" applyAlignment="1">
      <alignment horizontal="center" vertical="center" wrapText="1"/>
    </xf>
    <xf numFmtId="0" fontId="134" fillId="0" borderId="92" xfId="0" applyFont="1" applyBorder="1" applyAlignment="1">
      <alignment horizontal="center" vertical="center" wrapText="1"/>
    </xf>
    <xf numFmtId="44" fontId="165" fillId="0" borderId="92" xfId="25745" applyFont="1" applyBorder="1" applyAlignment="1">
      <alignment vertical="center" wrapText="1"/>
    </xf>
    <xf numFmtId="0" fontId="159" fillId="0" borderId="113" xfId="0" applyFont="1" applyBorder="1" applyAlignment="1">
      <alignment horizontal="center" vertical="center" wrapText="1"/>
    </xf>
    <xf numFmtId="0" fontId="159" fillId="0" borderId="113" xfId="0" applyFont="1" applyBorder="1" applyAlignment="1">
      <alignment horizontal="right" vertical="center" wrapText="1"/>
    </xf>
    <xf numFmtId="0" fontId="160" fillId="0" borderId="113" xfId="0" applyFont="1" applyBorder="1" applyAlignment="1">
      <alignment horizontal="center" vertical="center" wrapText="1"/>
    </xf>
    <xf numFmtId="0" fontId="134" fillId="0" borderId="113" xfId="0" applyFont="1" applyBorder="1" applyAlignment="1">
      <alignment horizontal="center" vertical="center" wrapText="1"/>
    </xf>
    <xf numFmtId="44" fontId="168" fillId="0" borderId="92" xfId="25745" applyFont="1" applyBorder="1" applyAlignment="1">
      <alignment vertical="center" wrapText="1"/>
    </xf>
    <xf numFmtId="44" fontId="169" fillId="0" borderId="99" xfId="25745" applyFont="1" applyBorder="1" applyAlignment="1">
      <alignment vertical="center" wrapText="1"/>
    </xf>
    <xf numFmtId="0" fontId="159" fillId="0" borderId="108" xfId="0" applyFont="1" applyBorder="1" applyAlignment="1">
      <alignment vertical="center" wrapText="1"/>
    </xf>
    <xf numFmtId="0" fontId="159" fillId="0" borderId="99" xfId="0" applyFont="1" applyBorder="1" applyAlignment="1">
      <alignment horizontal="right" vertical="center" wrapText="1"/>
    </xf>
    <xf numFmtId="0" fontId="160" fillId="0" borderId="99" xfId="0" applyFont="1" applyBorder="1" applyAlignment="1">
      <alignment vertical="center" wrapText="1"/>
    </xf>
    <xf numFmtId="0" fontId="166" fillId="0" borderId="99" xfId="0" applyFont="1" applyBorder="1" applyAlignment="1">
      <alignment horizontal="center" vertical="center" wrapText="1"/>
    </xf>
    <xf numFmtId="44" fontId="170" fillId="0" borderId="99" xfId="25745" applyFont="1" applyBorder="1" applyAlignment="1">
      <alignment vertical="center" wrapText="1"/>
    </xf>
    <xf numFmtId="0" fontId="134" fillId="0" borderId="99" xfId="0" applyFont="1" applyBorder="1" applyAlignment="1">
      <alignment horizontal="center" vertical="center" wrapText="1"/>
    </xf>
    <xf numFmtId="0" fontId="160" fillId="0" borderId="49" xfId="0" applyFont="1" applyBorder="1" applyAlignment="1">
      <alignment vertical="center" wrapText="1"/>
    </xf>
    <xf numFmtId="0" fontId="149" fillId="0" borderId="14" xfId="0" applyFont="1" applyBorder="1"/>
    <xf numFmtId="0" fontId="156" fillId="0" borderId="14" xfId="0" applyFont="1" applyBorder="1" applyAlignment="1">
      <alignment horizontal="center" vertical="center" wrapText="1"/>
    </xf>
    <xf numFmtId="0" fontId="155" fillId="0" borderId="99" xfId="0" applyFont="1" applyBorder="1" applyAlignment="1">
      <alignment horizontal="center" vertical="center" wrapText="1"/>
    </xf>
    <xf numFmtId="44" fontId="163" fillId="0" borderId="99" xfId="25745" applyFont="1" applyBorder="1" applyAlignment="1">
      <alignment vertical="center" wrapText="1"/>
    </xf>
    <xf numFmtId="0" fontId="159" fillId="0" borderId="0" xfId="0" applyFont="1" applyBorder="1" applyAlignment="1">
      <alignment horizontal="right" vertical="center" wrapText="1"/>
    </xf>
    <xf numFmtId="0" fontId="160" fillId="0" borderId="0" xfId="0" applyFont="1" applyBorder="1" applyAlignment="1">
      <alignment vertical="center" wrapText="1"/>
    </xf>
    <xf numFmtId="0" fontId="149" fillId="0" borderId="0" xfId="0" applyFont="1" applyBorder="1"/>
    <xf numFmtId="0" fontId="156" fillId="0" borderId="0" xfId="0" applyFont="1" applyBorder="1" applyAlignment="1">
      <alignment horizontal="center" vertical="center" wrapText="1"/>
    </xf>
    <xf numFmtId="0" fontId="155" fillId="0" borderId="0" xfId="0" applyFont="1" applyBorder="1" applyAlignment="1">
      <alignment horizontal="center" vertical="center" wrapText="1"/>
    </xf>
    <xf numFmtId="44" fontId="163" fillId="0" borderId="0" xfId="25745" applyFont="1" applyBorder="1" applyAlignment="1">
      <alignment vertical="center" wrapText="1"/>
    </xf>
    <xf numFmtId="0" fontId="0" fillId="0" borderId="0" xfId="0" applyFill="1"/>
    <xf numFmtId="49" fontId="60" fillId="0" borderId="0" xfId="60" applyNumberFormat="1" applyFont="1" applyFill="1" applyAlignment="1">
      <alignment horizontal="center"/>
    </xf>
    <xf numFmtId="0" fontId="156" fillId="0" borderId="0" xfId="0" applyFont="1" applyFill="1"/>
    <xf numFmtId="49" fontId="43" fillId="0" borderId="0" xfId="60" applyNumberFormat="1" applyFont="1" applyFill="1" applyAlignment="1">
      <alignment horizontal="center"/>
    </xf>
    <xf numFmtId="49" fontId="171" fillId="0" borderId="0" xfId="60" applyNumberFormat="1" applyFont="1" applyFill="1" applyAlignment="1">
      <alignment horizontal="center"/>
    </xf>
    <xf numFmtId="49" fontId="67" fillId="0" borderId="78" xfId="60" applyNumberFormat="1" applyFont="1" applyFill="1" applyBorder="1"/>
    <xf numFmtId="43" fontId="172" fillId="0" borderId="78" xfId="173" applyFont="1" applyFill="1" applyBorder="1"/>
    <xf numFmtId="43" fontId="67" fillId="0" borderId="78" xfId="173" applyFont="1" applyFill="1" applyBorder="1"/>
    <xf numFmtId="192" fontId="124" fillId="0" borderId="78" xfId="0" applyNumberFormat="1" applyFont="1" applyFill="1" applyBorder="1" applyAlignment="1">
      <alignment horizontal="center"/>
    </xf>
    <xf numFmtId="49" fontId="67" fillId="0" borderId="0" xfId="60" applyNumberFormat="1" applyFont="1" applyFill="1" applyBorder="1"/>
    <xf numFmtId="43" fontId="172" fillId="0" borderId="0" xfId="173" applyFont="1" applyFill="1" applyBorder="1"/>
    <xf numFmtId="43" fontId="67" fillId="0" borderId="0" xfId="173" applyFont="1" applyFill="1" applyBorder="1"/>
    <xf numFmtId="192" fontId="124" fillId="0" borderId="0" xfId="0" applyNumberFormat="1" applyFont="1" applyFill="1" applyBorder="1" applyAlignment="1">
      <alignment horizontal="center"/>
    </xf>
    <xf numFmtId="49" fontId="67" fillId="0" borderId="88" xfId="60" applyNumberFormat="1" applyFont="1" applyFill="1" applyBorder="1"/>
    <xf numFmtId="43" fontId="172" fillId="0" borderId="88" xfId="173" applyFont="1" applyFill="1" applyBorder="1"/>
    <xf numFmtId="192" fontId="124" fillId="0" borderId="88" xfId="0" applyNumberFormat="1" applyFont="1" applyFill="1" applyBorder="1" applyAlignment="1">
      <alignment horizontal="center"/>
    </xf>
    <xf numFmtId="43" fontId="67" fillId="0" borderId="88" xfId="173" applyFont="1" applyFill="1" applyBorder="1"/>
    <xf numFmtId="0" fontId="173" fillId="0" borderId="0" xfId="0" applyFont="1" applyFill="1"/>
    <xf numFmtId="192" fontId="173" fillId="0" borderId="0" xfId="0" applyNumberFormat="1" applyFont="1" applyFill="1" applyAlignment="1">
      <alignment horizontal="center"/>
    </xf>
    <xf numFmtId="0" fontId="174" fillId="0" borderId="0" xfId="0" applyFont="1" applyBorder="1" applyAlignment="1">
      <alignment vertical="center" wrapText="1"/>
    </xf>
    <xf numFmtId="0" fontId="175" fillId="0" borderId="0" xfId="0" applyFont="1" applyBorder="1" applyAlignment="1">
      <alignment horizontal="right" vertical="center" wrapText="1"/>
    </xf>
    <xf numFmtId="0" fontId="176" fillId="0" borderId="0" xfId="0" applyFont="1" applyBorder="1" applyAlignment="1">
      <alignment horizontal="center" vertical="center" wrapText="1"/>
    </xf>
    <xf numFmtId="0" fontId="177" fillId="0" borderId="0" xfId="0" applyFont="1" applyBorder="1" applyAlignment="1">
      <alignment horizontal="center"/>
    </xf>
    <xf numFmtId="44" fontId="166" fillId="0" borderId="0" xfId="25745" applyFont="1" applyBorder="1" applyAlignment="1">
      <alignment vertical="center" wrapText="1"/>
    </xf>
    <xf numFmtId="44" fontId="150" fillId="0" borderId="0" xfId="25745" applyFont="1" applyBorder="1"/>
    <xf numFmtId="44" fontId="156" fillId="0" borderId="0" xfId="0" applyNumberFormat="1" applyFont="1" applyBorder="1" applyAlignment="1">
      <alignment horizontal="center" vertical="center" wrapText="1"/>
    </xf>
    <xf numFmtId="0" fontId="175" fillId="0" borderId="0" xfId="0" applyFont="1" applyBorder="1" applyAlignment="1">
      <alignment vertical="center" wrapText="1"/>
    </xf>
    <xf numFmtId="44" fontId="166" fillId="0" borderId="82" xfId="25745" applyFont="1" applyBorder="1" applyAlignment="1">
      <alignment vertical="center" wrapText="1"/>
    </xf>
    <xf numFmtId="0" fontId="178" fillId="0" borderId="0" xfId="0" applyFont="1" applyFill="1" applyBorder="1" applyAlignment="1">
      <alignment horizontal="left" vertical="top"/>
    </xf>
    <xf numFmtId="44" fontId="166" fillId="93" borderId="14" xfId="25745" applyFont="1" applyFill="1" applyBorder="1" applyAlignment="1">
      <alignment horizontal="center" vertical="center" wrapText="1"/>
    </xf>
    <xf numFmtId="0" fontId="150" fillId="93" borderId="14" xfId="0" applyFont="1" applyFill="1" applyBorder="1" applyAlignment="1">
      <alignment horizontal="center" vertical="center" wrapText="1"/>
    </xf>
    <xf numFmtId="44" fontId="166" fillId="0" borderId="14" xfId="25745" applyFont="1" applyBorder="1" applyAlignment="1">
      <alignment vertical="center" wrapText="1"/>
    </xf>
    <xf numFmtId="43" fontId="166" fillId="0" borderId="14" xfId="25742" applyFont="1" applyBorder="1" applyAlignment="1">
      <alignment vertical="center" wrapText="1"/>
    </xf>
    <xf numFmtId="199" fontId="150" fillId="0" borderId="14" xfId="25793" applyNumberFormat="1" applyFont="1" applyBorder="1" applyAlignment="1">
      <alignment horizontal="center" vertical="center" wrapText="1"/>
    </xf>
    <xf numFmtId="0" fontId="179" fillId="0" borderId="0" xfId="0" applyFont="1" applyFill="1" applyBorder="1" applyAlignment="1">
      <alignment horizontal="left" vertical="top"/>
    </xf>
    <xf numFmtId="44" fontId="150" fillId="0" borderId="14" xfId="25745" applyFont="1" applyBorder="1"/>
    <xf numFmtId="43" fontId="150" fillId="0" borderId="14" xfId="25742" applyFont="1" applyBorder="1" applyAlignment="1">
      <alignment horizontal="center" vertical="center" wrapText="1"/>
    </xf>
    <xf numFmtId="0" fontId="180" fillId="0" borderId="0" xfId="0" applyFont="1" applyAlignment="1">
      <alignment vertical="center"/>
    </xf>
    <xf numFmtId="0" fontId="155" fillId="0" borderId="0" xfId="0" applyFont="1" applyAlignment="1">
      <alignment vertical="center"/>
    </xf>
    <xf numFmtId="0" fontId="173" fillId="0" borderId="107" xfId="0" applyFont="1" applyBorder="1" applyAlignment="1">
      <alignment horizontal="center" vertical="center" wrapText="1"/>
    </xf>
    <xf numFmtId="0" fontId="173" fillId="0" borderId="110" xfId="0" applyFont="1" applyBorder="1" applyAlignment="1">
      <alignment horizontal="center" vertical="center" wrapText="1"/>
    </xf>
    <xf numFmtId="0" fontId="161" fillId="0" borderId="114" xfId="0" applyFont="1" applyBorder="1" applyAlignment="1">
      <alignment vertical="center" wrapText="1"/>
    </xf>
    <xf numFmtId="0" fontId="161" fillId="0" borderId="111" xfId="0" applyFont="1" applyBorder="1" applyAlignment="1">
      <alignment vertical="center" wrapText="1"/>
    </xf>
    <xf numFmtId="0" fontId="161" fillId="0" borderId="110" xfId="0" applyFont="1" applyBorder="1" applyAlignment="1">
      <alignment vertical="center" wrapText="1"/>
    </xf>
    <xf numFmtId="0" fontId="149" fillId="0" borderId="99" xfId="0" applyFont="1" applyBorder="1" applyAlignment="1">
      <alignment horizontal="center" vertical="center" wrapText="1"/>
    </xf>
    <xf numFmtId="0" fontId="160" fillId="0" borderId="108" xfId="0" applyFont="1" applyBorder="1" applyAlignment="1">
      <alignment vertical="center" wrapText="1"/>
    </xf>
    <xf numFmtId="0" fontId="173" fillId="0" borderId="114" xfId="0" applyFont="1" applyBorder="1" applyAlignment="1">
      <alignment vertical="center" wrapText="1"/>
    </xf>
    <xf numFmtId="0" fontId="173" fillId="0" borderId="111" xfId="0" applyFont="1" applyBorder="1" applyAlignment="1">
      <alignment vertical="center" wrapText="1"/>
    </xf>
    <xf numFmtId="0" fontId="173" fillId="0" borderId="110" xfId="0" applyFont="1" applyBorder="1" applyAlignment="1">
      <alignment vertical="center" wrapText="1"/>
    </xf>
    <xf numFmtId="10" fontId="32" fillId="0" borderId="56" xfId="4" applyNumberFormat="1" applyFont="1" applyFill="1" applyBorder="1"/>
    <xf numFmtId="38" fontId="32" fillId="0" borderId="100" xfId="3" applyNumberFormat="1" applyFont="1" applyBorder="1">
      <alignment horizontal="right"/>
    </xf>
    <xf numFmtId="38" fontId="32" fillId="0" borderId="86" xfId="3" applyNumberFormat="1" applyFont="1" applyFill="1" applyBorder="1">
      <alignment horizontal="right"/>
    </xf>
    <xf numFmtId="38" fontId="32" fillId="0" borderId="11" xfId="1" applyNumberFormat="1" applyFont="1" applyFill="1" applyBorder="1"/>
    <xf numFmtId="38" fontId="32" fillId="0" borderId="81" xfId="3" applyNumberFormat="1" applyFont="1" applyFill="1" applyBorder="1">
      <alignment horizontal="right"/>
    </xf>
    <xf numFmtId="38" fontId="32" fillId="0" borderId="11" xfId="2" applyNumberFormat="1" applyFont="1" applyFill="1" applyBorder="1"/>
    <xf numFmtId="38" fontId="32" fillId="0" borderId="0" xfId="3" applyNumberFormat="1" applyFont="1" applyFill="1" applyBorder="1">
      <alignment horizontal="right"/>
    </xf>
    <xf numFmtId="38" fontId="32" fillId="0" borderId="85" xfId="3" applyNumberFormat="1" applyFont="1" applyFill="1" applyBorder="1">
      <alignment horizontal="right"/>
    </xf>
    <xf numFmtId="38" fontId="32" fillId="0" borderId="35" xfId="3" applyNumberFormat="1" applyFont="1" applyFill="1" applyBorder="1">
      <alignment horizontal="right"/>
    </xf>
    <xf numFmtId="38" fontId="32" fillId="0" borderId="11" xfId="3" applyNumberFormat="1" applyFont="1" applyFill="1" applyBorder="1">
      <alignment horizontal="right"/>
    </xf>
    <xf numFmtId="38" fontId="32" fillId="0" borderId="0" xfId="1" applyNumberFormat="1" applyFont="1" applyFill="1" applyBorder="1"/>
    <xf numFmtId="38" fontId="32" fillId="0" borderId="86" xfId="1" applyNumberFormat="1" applyFont="1" applyFill="1" applyBorder="1"/>
    <xf numFmtId="38" fontId="32" fillId="0" borderId="115" xfId="3" applyNumberFormat="1" applyFont="1" applyFill="1" applyBorder="1">
      <alignment horizontal="right"/>
    </xf>
    <xf numFmtId="38" fontId="32" fillId="104" borderId="35" xfId="2" applyNumberFormat="1" applyFont="1" applyFill="1" applyBorder="1" applyProtection="1"/>
    <xf numFmtId="0" fontId="32" fillId="0" borderId="54" xfId="1" applyFont="1" applyBorder="1" applyAlignment="1">
      <alignment horizontal="center"/>
    </xf>
    <xf numFmtId="0" fontId="32" fillId="0" borderId="56" xfId="1" applyFont="1" applyBorder="1" applyAlignment="1">
      <alignment horizontal="center"/>
    </xf>
    <xf numFmtId="0" fontId="32" fillId="0" borderId="88" xfId="1" applyFont="1" applyBorder="1" applyAlignment="1">
      <alignment horizontal="center"/>
    </xf>
    <xf numFmtId="0" fontId="32" fillId="0" borderId="100" xfId="1" applyFont="1" applyBorder="1" applyAlignment="1">
      <alignment horizontal="center"/>
    </xf>
    <xf numFmtId="39" fontId="32" fillId="104" borderId="11" xfId="0" applyNumberFormat="1" applyFont="1" applyFill="1" applyBorder="1"/>
    <xf numFmtId="43" fontId="32" fillId="104" borderId="84" xfId="0" applyNumberFormat="1" applyFont="1" applyFill="1" applyBorder="1"/>
    <xf numFmtId="185" fontId="32" fillId="104" borderId="21" xfId="25276" applyNumberFormat="1" applyFont="1" applyFill="1" applyBorder="1"/>
    <xf numFmtId="189" fontId="32" fillId="104" borderId="11" xfId="0" applyNumberFormat="1" applyFont="1" applyFill="1" applyBorder="1" applyProtection="1"/>
    <xf numFmtId="0" fontId="32" fillId="104" borderId="56" xfId="0" applyFont="1" applyFill="1" applyBorder="1"/>
    <xf numFmtId="43" fontId="124" fillId="0" borderId="0" xfId="25742" applyFont="1"/>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93" borderId="54" xfId="0" applyFont="1" applyFill="1" applyBorder="1" applyAlignment="1">
      <alignment horizontal="left"/>
    </xf>
    <xf numFmtId="0" fontId="123" fillId="93" borderId="56" xfId="0" applyFont="1" applyFill="1" applyBorder="1" applyAlignment="1">
      <alignment horizontal="left"/>
    </xf>
    <xf numFmtId="39" fontId="123" fillId="0" borderId="35" xfId="25743" applyFont="1" applyBorder="1" applyAlignment="1" applyProtection="1">
      <alignment horizontal="left" wrapText="1" indent="1"/>
    </xf>
    <xf numFmtId="39" fontId="123" fillId="0" borderId="11" xfId="25743" applyFont="1" applyBorder="1" applyAlignment="1" applyProtection="1">
      <alignment horizontal="left" wrapText="1" indent="1"/>
    </xf>
    <xf numFmtId="0" fontId="123" fillId="93" borderId="79" xfId="0" applyFont="1" applyFill="1" applyBorder="1" applyAlignment="1">
      <alignment horizontal="left" vertical="center"/>
    </xf>
    <xf numFmtId="0" fontId="123" fillId="93" borderId="80" xfId="0" applyFont="1" applyFill="1" applyBorder="1" applyAlignment="1">
      <alignment horizontal="left" vertical="center"/>
    </xf>
    <xf numFmtId="0" fontId="123" fillId="93" borderId="35" xfId="0" applyFont="1" applyFill="1" applyBorder="1" applyAlignment="1">
      <alignment horizontal="left" vertical="center"/>
    </xf>
    <xf numFmtId="0" fontId="123" fillId="93" borderId="11" xfId="0" applyFont="1" applyFill="1" applyBorder="1" applyAlignment="1">
      <alignment horizontal="left" vertical="center"/>
    </xf>
    <xf numFmtId="0" fontId="123" fillId="94" borderId="83" xfId="0" applyFont="1" applyFill="1" applyBorder="1" applyAlignment="1">
      <alignment horizontal="center"/>
    </xf>
    <xf numFmtId="0" fontId="123" fillId="94" borderId="53" xfId="0" applyFont="1" applyFill="1" applyBorder="1" applyAlignment="1">
      <alignment horizontal="center"/>
    </xf>
    <xf numFmtId="0" fontId="123" fillId="94" borderId="79" xfId="0" applyFont="1" applyFill="1" applyBorder="1" applyAlignment="1">
      <alignment horizontal="center"/>
    </xf>
    <xf numFmtId="0" fontId="123" fillId="94" borderId="78" xfId="0" applyFont="1" applyFill="1" applyBorder="1" applyAlignment="1">
      <alignment horizontal="center"/>
    </xf>
    <xf numFmtId="0" fontId="123" fillId="94" borderId="80" xfId="0" applyFont="1" applyFill="1" applyBorder="1" applyAlignment="1">
      <alignment horizontal="center"/>
    </xf>
    <xf numFmtId="0" fontId="123" fillId="0" borderId="0" xfId="24690" applyFont="1" applyFill="1" applyBorder="1" applyAlignment="1">
      <alignment horizontal="center"/>
    </xf>
    <xf numFmtId="0" fontId="123" fillId="33" borderId="79" xfId="25276" applyFont="1" applyFill="1" applyBorder="1" applyAlignment="1">
      <alignment horizontal="center"/>
    </xf>
    <xf numFmtId="0" fontId="123" fillId="33" borderId="78" xfId="25276" applyFont="1" applyFill="1" applyBorder="1" applyAlignment="1">
      <alignment horizontal="center"/>
    </xf>
    <xf numFmtId="0" fontId="123" fillId="33" borderId="80" xfId="25276" applyFont="1" applyFill="1" applyBorder="1" applyAlignment="1">
      <alignment horizontal="center"/>
    </xf>
    <xf numFmtId="0" fontId="123" fillId="33" borderId="55" xfId="1" quotePrefix="1" applyFont="1" applyFill="1" applyBorder="1" applyAlignment="1">
      <alignment horizontal="center"/>
    </xf>
    <xf numFmtId="0" fontId="123" fillId="33" borderId="0" xfId="24690" applyFont="1" applyFill="1" applyBorder="1" applyAlignment="1">
      <alignment horizontal="center"/>
    </xf>
    <xf numFmtId="0" fontId="123" fillId="0" borderId="0" xfId="25455" quotePrefix="1" applyFont="1" applyFill="1" applyAlignment="1">
      <alignment horizontal="center"/>
    </xf>
    <xf numFmtId="49" fontId="123" fillId="0" borderId="0" xfId="25293" applyNumberFormat="1" applyFont="1" applyFill="1" applyBorder="1" applyAlignment="1">
      <alignment horizontal="center"/>
    </xf>
    <xf numFmtId="0" fontId="123" fillId="33" borderId="79" xfId="24690" applyFont="1" applyFill="1" applyBorder="1" applyAlignment="1">
      <alignment horizontal="center"/>
    </xf>
    <xf numFmtId="0" fontId="123" fillId="33" borderId="78" xfId="24690" applyFont="1" applyFill="1" applyBorder="1" applyAlignment="1">
      <alignment horizontal="center"/>
    </xf>
    <xf numFmtId="0" fontId="123" fillId="33" borderId="80" xfId="24690" applyFont="1" applyFill="1" applyBorder="1" applyAlignment="1">
      <alignment horizontal="center"/>
    </xf>
    <xf numFmtId="0" fontId="123" fillId="33" borderId="35" xfId="24690" applyFont="1" applyFill="1" applyBorder="1" applyAlignment="1">
      <alignment horizontal="center"/>
    </xf>
    <xf numFmtId="0" fontId="123" fillId="33" borderId="11" xfId="24690" applyFont="1" applyFill="1" applyBorder="1" applyAlignment="1">
      <alignment horizontal="center"/>
    </xf>
    <xf numFmtId="0" fontId="130" fillId="0" borderId="78" xfId="0" applyFont="1" applyBorder="1" applyAlignment="1">
      <alignment horizontal="left"/>
    </xf>
    <xf numFmtId="0" fontId="130" fillId="0" borderId="53" xfId="0" applyFont="1" applyBorder="1" applyAlignment="1">
      <alignment horizontal="left"/>
    </xf>
    <xf numFmtId="0" fontId="124" fillId="33" borderId="0" xfId="0" applyFont="1" applyFill="1" applyBorder="1" applyAlignment="1">
      <alignment horizontal="right"/>
    </xf>
    <xf numFmtId="0" fontId="124" fillId="33" borderId="92" xfId="0" applyFont="1" applyFill="1" applyBorder="1" applyAlignment="1">
      <alignment horizontal="right"/>
    </xf>
    <xf numFmtId="0" fontId="140" fillId="0" borderId="95" xfId="0" applyFont="1" applyBorder="1" applyAlignment="1">
      <alignment horizontal="center" vertical="center" wrapText="1"/>
    </xf>
    <xf numFmtId="0" fontId="140" fillId="0" borderId="96" xfId="0" applyFont="1" applyBorder="1" applyAlignment="1">
      <alignment horizontal="center" vertical="center" wrapText="1"/>
    </xf>
    <xf numFmtId="0" fontId="140" fillId="0" borderId="97" xfId="0" applyFont="1" applyBorder="1" applyAlignment="1">
      <alignment horizontal="center" vertical="center" wrapText="1"/>
    </xf>
    <xf numFmtId="0" fontId="140" fillId="0" borderId="91"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92" xfId="0" applyFont="1" applyBorder="1" applyAlignment="1">
      <alignment horizontal="center" vertical="center" wrapText="1"/>
    </xf>
    <xf numFmtId="0" fontId="140" fillId="0" borderId="98" xfId="0" applyFont="1" applyBorder="1" applyAlignment="1">
      <alignment horizontal="center" vertical="center" wrapText="1"/>
    </xf>
    <xf numFmtId="0" fontId="140" fillId="0" borderId="49" xfId="0" applyFont="1" applyBorder="1" applyAlignment="1">
      <alignment horizontal="center" vertical="center" wrapText="1"/>
    </xf>
    <xf numFmtId="0" fontId="140" fillId="0" borderId="99" xfId="0" applyFont="1" applyBorder="1" applyAlignment="1">
      <alignment horizontal="center" vertical="center" wrapText="1"/>
    </xf>
    <xf numFmtId="0" fontId="131" fillId="0" borderId="91" xfId="0" applyFont="1" applyBorder="1" applyAlignment="1">
      <alignment horizontal="left"/>
    </xf>
    <xf numFmtId="0" fontId="131" fillId="0" borderId="0" xfId="0" applyFont="1" applyBorder="1" applyAlignment="1">
      <alignment horizontal="left"/>
    </xf>
    <xf numFmtId="0" fontId="131" fillId="0" borderId="92" xfId="0" applyFont="1" applyBorder="1" applyAlignment="1">
      <alignment horizontal="left"/>
    </xf>
    <xf numFmtId="0" fontId="124" fillId="33" borderId="96" xfId="0" applyFont="1" applyFill="1" applyBorder="1" applyAlignment="1">
      <alignment horizontal="right"/>
    </xf>
    <xf numFmtId="0" fontId="124" fillId="33" borderId="97" xfId="0" applyFont="1" applyFill="1" applyBorder="1" applyAlignment="1">
      <alignment horizontal="right"/>
    </xf>
    <xf numFmtId="0" fontId="124" fillId="0" borderId="0" xfId="0" applyFont="1" applyAlignment="1">
      <alignment horizontal="center" wrapText="1"/>
    </xf>
    <xf numFmtId="0" fontId="126" fillId="0" borderId="0" xfId="0" applyFont="1" applyAlignment="1">
      <alignment horizontal="center"/>
    </xf>
    <xf numFmtId="0" fontId="126" fillId="0" borderId="95" xfId="0" applyFont="1" applyBorder="1" applyAlignment="1">
      <alignment vertical="center"/>
    </xf>
    <xf numFmtId="0" fontId="126" fillId="0" borderId="96" xfId="0" applyFont="1" applyBorder="1" applyAlignment="1">
      <alignment vertical="center"/>
    </xf>
    <xf numFmtId="0" fontId="126" fillId="0" borderId="97" xfId="0" applyFont="1" applyBorder="1" applyAlignment="1">
      <alignment vertical="center"/>
    </xf>
    <xf numFmtId="0" fontId="126" fillId="0" borderId="91" xfId="0" applyFont="1" applyBorder="1" applyAlignment="1">
      <alignment vertical="center"/>
    </xf>
    <xf numFmtId="0" fontId="126" fillId="0" borderId="0" xfId="0" applyFont="1" applyBorder="1" applyAlignment="1">
      <alignment vertical="center"/>
    </xf>
    <xf numFmtId="0" fontId="126" fillId="0" borderId="92" xfId="0" applyFont="1" applyBorder="1" applyAlignment="1">
      <alignment vertical="center"/>
    </xf>
    <xf numFmtId="0" fontId="126" fillId="0" borderId="98" xfId="0" applyFont="1" applyBorder="1" applyAlignment="1">
      <alignment vertical="center"/>
    </xf>
    <xf numFmtId="0" fontId="126" fillId="0" borderId="49" xfId="0" applyFont="1" applyBorder="1" applyAlignment="1">
      <alignment vertical="center"/>
    </xf>
    <xf numFmtId="0" fontId="126" fillId="0" borderId="99" xfId="0" applyFont="1" applyBorder="1" applyAlignment="1">
      <alignment vertical="center"/>
    </xf>
    <xf numFmtId="0" fontId="160" fillId="0" borderId="94" xfId="0" applyFont="1" applyBorder="1" applyAlignment="1">
      <alignment horizontal="center" vertical="center" wrapText="1"/>
    </xf>
    <xf numFmtId="0" fontId="160" fillId="0" borderId="65" xfId="0" applyFont="1" applyBorder="1" applyAlignment="1">
      <alignment horizontal="center" vertical="center" wrapText="1"/>
    </xf>
    <xf numFmtId="0" fontId="160" fillId="0" borderId="109" xfId="0" applyFont="1" applyBorder="1" applyAlignment="1">
      <alignment horizontal="center" vertical="center" wrapText="1"/>
    </xf>
    <xf numFmtId="0" fontId="160" fillId="0" borderId="112" xfId="0" applyFont="1" applyBorder="1" applyAlignment="1">
      <alignment horizontal="center" vertical="center" wrapText="1"/>
    </xf>
    <xf numFmtId="0" fontId="160" fillId="0" borderId="113" xfId="0" applyFont="1" applyBorder="1" applyAlignment="1">
      <alignment horizontal="center" vertical="center" wrapText="1"/>
    </xf>
    <xf numFmtId="0" fontId="160" fillId="0" borderId="108" xfId="0" applyFont="1" applyBorder="1" applyAlignment="1">
      <alignment horizontal="center" vertical="center" wrapText="1"/>
    </xf>
    <xf numFmtId="0" fontId="134" fillId="0" borderId="95" xfId="0" applyFont="1" applyBorder="1" applyAlignment="1">
      <alignment horizontal="center"/>
    </xf>
    <xf numFmtId="0" fontId="134" fillId="0" borderId="96" xfId="0" applyFont="1" applyBorder="1" applyAlignment="1">
      <alignment horizontal="center"/>
    </xf>
    <xf numFmtId="0" fontId="123" fillId="0" borderId="91" xfId="25796" applyFont="1" applyFill="1" applyBorder="1" applyAlignment="1">
      <alignment horizontal="center"/>
    </xf>
    <xf numFmtId="0" fontId="123" fillId="0" borderId="0" xfId="25796" applyFont="1" applyFill="1" applyBorder="1" applyAlignment="1">
      <alignment horizontal="center"/>
    </xf>
    <xf numFmtId="0" fontId="124" fillId="0" borderId="0" xfId="0" applyFont="1" applyAlignment="1">
      <alignment vertical="center" wrapText="1"/>
    </xf>
    <xf numFmtId="0" fontId="143" fillId="0" borderId="0" xfId="24690" applyFont="1" applyFill="1" applyBorder="1" applyAlignment="1">
      <alignment horizontal="center"/>
    </xf>
  </cellXfs>
  <cellStyles count="25798">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2"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4"/>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6"/>
    <cellStyle name="Comma 2 2" xfId="21"/>
    <cellStyle name="Comma 2 2 2" xfId="398"/>
    <cellStyle name="Comma 2 2 2 2" xfId="637"/>
    <cellStyle name="Comma 2 2 2 3" xfId="636"/>
    <cellStyle name="Comma 2 2 2 4" xfId="25780"/>
    <cellStyle name="Comma 2 2 3" xfId="374"/>
    <cellStyle name="Comma 2 2 3 2" xfId="638"/>
    <cellStyle name="Comma 2 2 4" xfId="23898"/>
    <cellStyle name="Comma 2 2 5" xfId="25767"/>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1"/>
    <cellStyle name="Comma 2 4 3" xfId="25768"/>
    <cellStyle name="Comma 2 5" xfId="373"/>
    <cellStyle name="Comma 2 5 2" xfId="25782"/>
    <cellStyle name="Comma 2 5 3" xfId="25769"/>
    <cellStyle name="Comma 2 6" xfId="635"/>
    <cellStyle name="Comma 2 6 2" xfId="13906"/>
    <cellStyle name="Comma 2 6 3" xfId="25779"/>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7"/>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0"/>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7"/>
    <cellStyle name="Comma 54" xfId="25753"/>
    <cellStyle name="Comma 55" xfId="25754"/>
    <cellStyle name="Comma 56" xfId="25759"/>
    <cellStyle name="Comma 57" xfId="25760"/>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5"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5 2" xfId="25797"/>
    <cellStyle name="Currency 16" xfId="24306"/>
    <cellStyle name="Currency 17" xfId="24307"/>
    <cellStyle name="Currency 18" xfId="25457"/>
    <cellStyle name="Currency 2" xfId="29"/>
    <cellStyle name="Currency 2 10" xfId="24077"/>
    <cellStyle name="Currency 2 11" xfId="25751"/>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1"/>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4"/>
    <cellStyle name="Normal 10 11" xfId="25789"/>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1"/>
    <cellStyle name="Normal 101" xfId="25795"/>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0"/>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3"/>
    <cellStyle name="Normal 2 3 3" xfId="385"/>
    <cellStyle name="Normal 2 3 4" xfId="655"/>
    <cellStyle name="Normal 2 3 4 2" xfId="13910"/>
    <cellStyle name="Normal 2 4" xfId="656"/>
    <cellStyle name="Normal 2 4 2" xfId="3248"/>
    <cellStyle name="Normal 2 4 2 2" xfId="25784"/>
    <cellStyle name="Normal 2 4 3" xfId="25770"/>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78"/>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1"/>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5"/>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2"/>
    <cellStyle name="Normal 4 2" xfId="164"/>
    <cellStyle name="Normal 4 2 10" xfId="25786"/>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3"/>
    <cellStyle name="Normal 5 2" xfId="203"/>
    <cellStyle name="Normal 5 2 10" xfId="25787"/>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4"/>
    <cellStyle name="Normal 6 2" xfId="204"/>
    <cellStyle name="Normal 6 2 10" xfId="25046"/>
    <cellStyle name="Normal 6 2 11" xfId="25788"/>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4"/>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5"/>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6"/>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89 2" xfId="25796"/>
    <cellStyle name="Normal 9" xfId="60"/>
    <cellStyle name="Normal 9 10" xfId="24178"/>
    <cellStyle name="Normal 9 11" xfId="24747"/>
    <cellStyle name="Normal 9 12" xfId="25063"/>
    <cellStyle name="Normal 9 14" xfId="25765"/>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6"/>
    <cellStyle name="Normal 97" xfId="25752"/>
    <cellStyle name="Normal 98" xfId="25755"/>
    <cellStyle name="Normal 99" xfId="25757"/>
    <cellStyle name="Normal(0)" xfId="61"/>
    <cellStyle name="Normal_Jan 08" xfId="25743"/>
    <cellStyle name="Normal_vcap1299" xfId="25741"/>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3"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48"/>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2"/>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49"/>
    <cellStyle name="Percent 52" xfId="25756"/>
    <cellStyle name="Percent 53" xfId="25758"/>
    <cellStyle name="Percent 54" xfId="25762"/>
    <cellStyle name="Percent 55" xfId="25763"/>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ussell\AppData\Local\Microsoft\Windows\INetCache\Content.Outlook\MP48AZK4\White%20adjustments%20for%20model%20revised%202.7.18%20FINAL%20AFTER%20SETTLEMENT%20CON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djustments "/>
      <sheetName val="Injuries and Damages"/>
      <sheetName val="MAOP"/>
      <sheetName val="Pipeline Analysis Summary"/>
      <sheetName val="CRM "/>
    </sheetNames>
    <sheetDataSet>
      <sheetData sheetId="0" refreshError="1"/>
      <sheetData sheetId="1" refreshError="1"/>
      <sheetData sheetId="2" refreshError="1"/>
      <sheetData sheetId="3">
        <row r="6">
          <cell r="D6">
            <v>0.44341794554236513</v>
          </cell>
        </row>
        <row r="7">
          <cell r="D7">
            <v>0.55658205445763487</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Layout" zoomScaleNormal="80" workbookViewId="0">
      <selection activeCell="B5" sqref="B5"/>
    </sheetView>
  </sheetViews>
  <sheetFormatPr defaultColWidth="9.109375" defaultRowHeight="15.6"/>
  <cols>
    <col min="1" max="1" width="3.5546875" style="3" bestFit="1" customWidth="1"/>
    <col min="2" max="2" width="35.109375" style="3" bestFit="1" customWidth="1"/>
    <col min="3" max="3" width="1" style="3" customWidth="1"/>
    <col min="4" max="4" width="14.5546875" style="3" bestFit="1" customWidth="1"/>
    <col min="5" max="5" width="1" style="3" customWidth="1"/>
    <col min="6" max="6" width="0.88671875" style="3" customWidth="1"/>
    <col min="7" max="7" width="14.6640625" style="3" customWidth="1"/>
    <col min="8" max="8" width="1.33203125" style="3" customWidth="1"/>
    <col min="9" max="9" width="14" style="3" bestFit="1" customWidth="1"/>
    <col min="10" max="10" width="0.88671875" style="3" customWidth="1"/>
    <col min="11" max="11" width="1.44140625" style="3" customWidth="1"/>
    <col min="12" max="12" width="12.88671875" style="3" bestFit="1" customWidth="1"/>
    <col min="13" max="13" width="1" style="3" customWidth="1"/>
    <col min="14" max="14" width="0.88671875" style="3" customWidth="1"/>
    <col min="15" max="15" width="14.6640625" style="3" bestFit="1" customWidth="1"/>
    <col min="16" max="16" width="19.33203125" style="3" customWidth="1"/>
    <col min="17" max="17" width="1.109375" style="3" customWidth="1"/>
    <col min="18" max="18" width="9.109375" style="3"/>
    <col min="19" max="19" width="11.88671875" style="3" customWidth="1"/>
    <col min="20" max="20" width="12.33203125" style="3" bestFit="1" customWidth="1"/>
    <col min="21" max="21" width="10.5546875" style="3" bestFit="1" customWidth="1"/>
    <col min="22" max="16384" width="9.109375" style="3"/>
  </cols>
  <sheetData>
    <row r="1" spans="1:20">
      <c r="A1" s="1214" t="s">
        <v>111</v>
      </c>
      <c r="B1" s="1214"/>
      <c r="C1" s="1214"/>
      <c r="D1" s="1214"/>
      <c r="E1" s="1214"/>
      <c r="F1" s="1214"/>
      <c r="G1" s="1214"/>
      <c r="H1" s="1214"/>
      <c r="I1" s="1214"/>
      <c r="J1" s="1214"/>
      <c r="K1" s="1214"/>
      <c r="L1" s="1214"/>
      <c r="M1" s="1214"/>
      <c r="N1" s="1214"/>
      <c r="O1" s="1214"/>
      <c r="P1" s="1214"/>
      <c r="Q1" s="11"/>
    </row>
    <row r="2" spans="1:20">
      <c r="A2" s="1214" t="s">
        <v>1260</v>
      </c>
      <c r="B2" s="1214"/>
      <c r="C2" s="1214"/>
      <c r="D2" s="1214"/>
      <c r="E2" s="1214"/>
      <c r="F2" s="1214"/>
      <c r="G2" s="1214"/>
      <c r="H2" s="1214"/>
      <c r="I2" s="1214"/>
      <c r="J2" s="1214"/>
      <c r="K2" s="1214"/>
      <c r="L2" s="1214"/>
      <c r="M2" s="1214"/>
      <c r="N2" s="1214"/>
      <c r="O2" s="1214"/>
      <c r="P2" s="1214"/>
      <c r="Q2" s="19"/>
    </row>
    <row r="3" spans="1:20">
      <c r="A3" s="1215" t="s">
        <v>953</v>
      </c>
      <c r="B3" s="1215"/>
      <c r="C3" s="1215"/>
      <c r="D3" s="1215"/>
      <c r="E3" s="1215"/>
      <c r="F3" s="1215"/>
      <c r="G3" s="1215"/>
      <c r="H3" s="1215"/>
      <c r="I3" s="1215"/>
      <c r="J3" s="1215"/>
      <c r="K3" s="1215"/>
      <c r="L3" s="1215"/>
      <c r="M3" s="1215"/>
      <c r="N3" s="1215"/>
      <c r="O3" s="1215"/>
      <c r="P3" s="1215"/>
      <c r="Q3" s="19"/>
    </row>
    <row r="4" spans="1:20">
      <c r="A4" s="20"/>
      <c r="B4" s="20"/>
      <c r="C4" s="20"/>
      <c r="D4" s="20"/>
      <c r="E4" s="20"/>
      <c r="F4" s="20"/>
      <c r="G4" s="20"/>
      <c r="H4" s="20"/>
      <c r="I4" s="20"/>
      <c r="J4" s="20"/>
      <c r="K4" s="20"/>
      <c r="L4" s="20"/>
      <c r="M4" s="20"/>
      <c r="N4" s="20"/>
      <c r="O4" s="20"/>
      <c r="P4" s="19"/>
      <c r="Q4" s="19"/>
    </row>
    <row r="5" spans="1:20">
      <c r="A5" s="21"/>
      <c r="B5" s="21"/>
      <c r="C5" s="22"/>
      <c r="D5" s="23">
        <v>42735</v>
      </c>
      <c r="E5" s="24"/>
      <c r="F5" s="25"/>
      <c r="G5" s="27" t="s">
        <v>73</v>
      </c>
      <c r="H5" s="25"/>
      <c r="I5" s="26" t="s">
        <v>63</v>
      </c>
      <c r="J5" s="24"/>
      <c r="K5" s="25"/>
      <c r="L5" s="26" t="s">
        <v>65</v>
      </c>
      <c r="M5" s="26"/>
      <c r="N5" s="24"/>
      <c r="O5" s="27" t="s">
        <v>2</v>
      </c>
      <c r="P5" s="28"/>
      <c r="Q5" s="19"/>
    </row>
    <row r="6" spans="1:20">
      <c r="A6" s="19"/>
      <c r="B6" s="19"/>
      <c r="C6" s="29"/>
      <c r="D6" s="30" t="s">
        <v>0</v>
      </c>
      <c r="E6" s="29"/>
      <c r="F6" s="19"/>
      <c r="G6" s="36" t="s">
        <v>74</v>
      </c>
      <c r="H6" s="33"/>
      <c r="I6" s="34" t="s">
        <v>64</v>
      </c>
      <c r="J6" s="29"/>
      <c r="K6" s="19"/>
      <c r="L6" s="31" t="s">
        <v>940</v>
      </c>
      <c r="M6" s="31"/>
      <c r="N6" s="29"/>
      <c r="O6" s="35" t="s">
        <v>1253</v>
      </c>
      <c r="P6" s="29"/>
      <c r="Q6" s="19"/>
    </row>
    <row r="7" spans="1:20">
      <c r="A7" s="19"/>
      <c r="B7" s="19"/>
      <c r="C7" s="29"/>
      <c r="D7" s="30" t="s">
        <v>3</v>
      </c>
      <c r="E7" s="29"/>
      <c r="F7" s="19"/>
      <c r="G7" s="995" t="s">
        <v>1665</v>
      </c>
      <c r="H7" s="19"/>
      <c r="I7" s="31" t="s">
        <v>52</v>
      </c>
      <c r="J7" s="29"/>
      <c r="K7" s="19"/>
      <c r="L7" s="31" t="s">
        <v>66</v>
      </c>
      <c r="M7" s="31"/>
      <c r="N7" s="29"/>
      <c r="O7" s="36" t="s">
        <v>75</v>
      </c>
      <c r="P7" s="29"/>
      <c r="Q7" s="19"/>
    </row>
    <row r="8" spans="1:20">
      <c r="A8" s="19"/>
      <c r="B8" s="19"/>
      <c r="C8" s="29"/>
      <c r="D8" s="30" t="s">
        <v>4</v>
      </c>
      <c r="E8" s="29"/>
      <c r="F8" s="19"/>
      <c r="G8" s="36" t="s">
        <v>1</v>
      </c>
      <c r="H8" s="19"/>
      <c r="I8" s="31"/>
      <c r="J8" s="29"/>
      <c r="K8" s="19"/>
      <c r="L8" s="31"/>
      <c r="M8" s="31"/>
      <c r="N8" s="29"/>
      <c r="O8" s="36" t="s">
        <v>76</v>
      </c>
      <c r="P8" s="29"/>
      <c r="Q8" s="19"/>
    </row>
    <row r="9" spans="1:20">
      <c r="A9" s="19"/>
      <c r="B9" s="19"/>
      <c r="C9" s="29"/>
      <c r="D9" s="30"/>
      <c r="E9" s="29"/>
      <c r="F9" s="19"/>
      <c r="G9" s="36"/>
      <c r="H9" s="19"/>
      <c r="I9" s="31"/>
      <c r="J9" s="29"/>
      <c r="K9" s="19"/>
      <c r="L9" s="34"/>
      <c r="M9" s="34"/>
      <c r="N9" s="29"/>
      <c r="O9" s="36"/>
      <c r="P9" s="29"/>
      <c r="Q9" s="19"/>
    </row>
    <row r="10" spans="1:20">
      <c r="A10" s="19"/>
      <c r="B10" s="18" t="s">
        <v>5</v>
      </c>
      <c r="C10" s="29"/>
      <c r="D10" s="37"/>
      <c r="E10" s="29"/>
      <c r="F10" s="19"/>
      <c r="G10" s="39"/>
      <c r="H10" s="19"/>
      <c r="I10" s="34"/>
      <c r="J10" s="29"/>
      <c r="K10" s="19"/>
      <c r="L10" s="38"/>
      <c r="M10" s="38"/>
      <c r="N10" s="29"/>
      <c r="O10" s="39"/>
      <c r="P10" s="29"/>
      <c r="Q10" s="19"/>
    </row>
    <row r="11" spans="1:20">
      <c r="A11" s="19"/>
      <c r="B11" s="19"/>
      <c r="C11" s="29"/>
      <c r="D11" s="40"/>
      <c r="E11" s="41"/>
      <c r="F11" s="42"/>
      <c r="G11" s="41"/>
      <c r="H11" s="42"/>
      <c r="I11" s="42"/>
      <c r="J11" s="41"/>
      <c r="K11" s="42"/>
      <c r="L11" s="42"/>
      <c r="M11" s="42"/>
      <c r="N11" s="41"/>
      <c r="O11" s="41"/>
      <c r="P11" s="43"/>
      <c r="Q11" s="44"/>
    </row>
    <row r="12" spans="1:20">
      <c r="A12" s="19"/>
      <c r="B12" s="18" t="s">
        <v>6</v>
      </c>
      <c r="C12" s="29"/>
      <c r="D12" s="44"/>
      <c r="E12" s="29"/>
      <c r="F12" s="19"/>
      <c r="G12" s="996"/>
      <c r="H12" s="19"/>
      <c r="I12" s="19"/>
      <c r="J12" s="29"/>
      <c r="K12" s="19"/>
      <c r="L12" s="19"/>
      <c r="M12" s="19"/>
      <c r="N12" s="29"/>
      <c r="O12" s="29"/>
      <c r="P12" s="29"/>
      <c r="Q12" s="19"/>
    </row>
    <row r="13" spans="1:20">
      <c r="A13" s="19">
        <v>1</v>
      </c>
      <c r="B13" s="46" t="s">
        <v>24</v>
      </c>
      <c r="C13" s="47"/>
      <c r="D13" s="48">
        <f>+'Operating Report'!G17</f>
        <v>182902832.87</v>
      </c>
      <c r="E13" s="49"/>
      <c r="F13" s="50"/>
      <c r="G13" s="80">
        <f>+'Summary of Adjustments'!AG16</f>
        <v>12168128.690294765</v>
      </c>
      <c r="H13" s="50"/>
      <c r="I13" s="51">
        <f>+D13+G13</f>
        <v>195070961.56029478</v>
      </c>
      <c r="J13" s="49"/>
      <c r="K13" s="50"/>
      <c r="L13" s="51">
        <f>+'Rev Req Calc'!D21-L14</f>
        <v>-8007123.8682734566</v>
      </c>
      <c r="M13" s="51"/>
      <c r="N13" s="49"/>
      <c r="O13" s="52">
        <f>+I13+L13</f>
        <v>187063837.69202131</v>
      </c>
      <c r="P13" s="49"/>
      <c r="Q13" s="53"/>
      <c r="S13" s="54"/>
      <c r="T13" s="54"/>
    </row>
    <row r="14" spans="1:20">
      <c r="A14" s="19">
        <v>2</v>
      </c>
      <c r="B14" s="46" t="s">
        <v>25</v>
      </c>
      <c r="C14" s="47"/>
      <c r="D14" s="55">
        <f>+'Operating Report'!G21</f>
        <v>21216454.399999999</v>
      </c>
      <c r="E14" s="49"/>
      <c r="F14" s="50"/>
      <c r="G14" s="80">
        <f>+'Summary of Adjustments'!AG17</f>
        <v>1787452.100000002</v>
      </c>
      <c r="H14" s="50"/>
      <c r="I14" s="51">
        <f>+D14+G14</f>
        <v>23003906.5</v>
      </c>
      <c r="J14" s="49"/>
      <c r="K14" s="50"/>
      <c r="L14" s="50">
        <v>1200000</v>
      </c>
      <c r="M14" s="50"/>
      <c r="N14" s="49"/>
      <c r="O14" s="52">
        <f>+I14+L14</f>
        <v>24203906.5</v>
      </c>
      <c r="P14" s="49"/>
      <c r="Q14" s="56"/>
      <c r="S14" s="54"/>
      <c r="T14" s="54"/>
    </row>
    <row r="15" spans="1:20">
      <c r="A15" s="19">
        <v>3</v>
      </c>
      <c r="B15" s="46" t="s">
        <v>26</v>
      </c>
      <c r="C15" s="57"/>
      <c r="D15" s="58">
        <f>+'Operating Report'!G26-'Operating Report'!G21</f>
        <v>1011374.9600000009</v>
      </c>
      <c r="E15" s="49"/>
      <c r="F15" s="50"/>
      <c r="G15" s="80">
        <f>+'Summary of Adjustments'!AG18</f>
        <v>87366</v>
      </c>
      <c r="H15" s="50"/>
      <c r="I15" s="51">
        <f>+D15+G15</f>
        <v>1098740.9600000009</v>
      </c>
      <c r="J15" s="49"/>
      <c r="K15" s="50"/>
      <c r="L15" s="50"/>
      <c r="M15" s="50"/>
      <c r="N15" s="49"/>
      <c r="O15" s="52">
        <f>+I15+L15</f>
        <v>1098740.9600000009</v>
      </c>
      <c r="P15" s="49"/>
      <c r="Q15" s="56"/>
      <c r="S15" s="54"/>
      <c r="T15" s="54"/>
    </row>
    <row r="16" spans="1:20">
      <c r="A16" s="19">
        <v>4</v>
      </c>
      <c r="B16" s="59" t="s">
        <v>1245</v>
      </c>
      <c r="C16" s="47"/>
      <c r="D16" s="55">
        <f>SUM(D13:D15)</f>
        <v>205130662.23000002</v>
      </c>
      <c r="E16" s="49"/>
      <c r="F16" s="50"/>
      <c r="G16" s="61">
        <f>SUM(G13:G15)</f>
        <v>14042946.790294766</v>
      </c>
      <c r="H16" s="50"/>
      <c r="I16" s="60">
        <f>SUM(I13:I15)</f>
        <v>219173609.02029479</v>
      </c>
      <c r="J16" s="49"/>
      <c r="K16" s="50"/>
      <c r="L16" s="60">
        <f>SUM(L13:L15)</f>
        <v>-6807123.8682734566</v>
      </c>
      <c r="M16" s="54"/>
      <c r="N16" s="49"/>
      <c r="O16" s="61">
        <f>SUM(O13:O15)</f>
        <v>212366485.15202132</v>
      </c>
      <c r="P16" s="49"/>
      <c r="Q16" s="56"/>
      <c r="S16" s="54"/>
      <c r="T16" s="54"/>
    </row>
    <row r="17" spans="1:21">
      <c r="A17" s="19"/>
      <c r="B17" s="46"/>
      <c r="C17" s="47"/>
      <c r="D17" s="55"/>
      <c r="E17" s="49"/>
      <c r="F17" s="50"/>
      <c r="G17" s="62"/>
      <c r="H17" s="50"/>
      <c r="I17" s="54"/>
      <c r="J17" s="49"/>
      <c r="K17" s="50"/>
      <c r="L17" s="54"/>
      <c r="M17" s="54"/>
      <c r="N17" s="49"/>
      <c r="O17" s="62"/>
      <c r="P17" s="49"/>
      <c r="Q17" s="56"/>
      <c r="S17" s="54"/>
      <c r="T17" s="54"/>
      <c r="U17" s="54"/>
    </row>
    <row r="18" spans="1:21">
      <c r="A18" s="19"/>
      <c r="B18" s="46" t="s">
        <v>7</v>
      </c>
      <c r="C18" s="47"/>
      <c r="D18" s="55"/>
      <c r="E18" s="49"/>
      <c r="F18" s="50"/>
      <c r="G18" s="62"/>
      <c r="H18" s="50"/>
      <c r="I18" s="54"/>
      <c r="J18" s="49"/>
      <c r="K18" s="50"/>
      <c r="L18" s="54"/>
      <c r="M18" s="54"/>
      <c r="N18" s="49"/>
      <c r="O18" s="62"/>
      <c r="P18" s="49"/>
      <c r="Q18" s="56"/>
      <c r="S18" s="54"/>
      <c r="T18" s="54"/>
    </row>
    <row r="19" spans="1:21">
      <c r="A19" s="19">
        <v>5</v>
      </c>
      <c r="B19" s="46" t="s">
        <v>1246</v>
      </c>
      <c r="C19" s="47"/>
      <c r="D19" s="55">
        <f>+'Operating Report'!G36</f>
        <v>103593864.52000001</v>
      </c>
      <c r="E19" s="49"/>
      <c r="F19" s="50"/>
      <c r="G19" s="80">
        <f>+'Summary of Adjustments'!AG22</f>
        <v>4981076.2482290007</v>
      </c>
      <c r="H19" s="50"/>
      <c r="I19" s="51">
        <f t="shared" ref="I19:I30" si="0">+D19+G19</f>
        <v>108574940.76822901</v>
      </c>
      <c r="J19" s="49"/>
      <c r="K19" s="50"/>
      <c r="L19" s="50"/>
      <c r="M19" s="50"/>
      <c r="N19" s="49"/>
      <c r="O19" s="52">
        <f>+I19+L19</f>
        <v>108574940.76822901</v>
      </c>
      <c r="P19" s="49"/>
      <c r="Q19" s="56"/>
      <c r="S19" s="54"/>
      <c r="T19" s="63"/>
      <c r="U19" s="54"/>
    </row>
    <row r="20" spans="1:21">
      <c r="A20" s="19">
        <v>6</v>
      </c>
      <c r="B20" s="46" t="s">
        <v>1247</v>
      </c>
      <c r="C20" s="47"/>
      <c r="D20" s="55">
        <f>+'Operating Report'!G52</f>
        <v>16946340.530000001</v>
      </c>
      <c r="E20" s="49"/>
      <c r="F20" s="50"/>
      <c r="G20" s="80">
        <f>+'Summary of Adjustments'!AG23</f>
        <v>569020.20394274406</v>
      </c>
      <c r="H20" s="50"/>
      <c r="I20" s="51">
        <f t="shared" si="0"/>
        <v>17515360.733942747</v>
      </c>
      <c r="J20" s="49"/>
      <c r="K20" s="50"/>
      <c r="L20" s="50">
        <f>+L16*('Conversion Factor using 21%'!C9+'Conversion Factor using 21%'!C10)</f>
        <v>-275824.65914244048</v>
      </c>
      <c r="M20" s="50"/>
      <c r="N20" s="49"/>
      <c r="O20" s="64">
        <f>+I20+L20</f>
        <v>17239536.074800305</v>
      </c>
      <c r="P20" s="49"/>
      <c r="Q20" s="56"/>
      <c r="S20" s="54"/>
    </row>
    <row r="21" spans="1:21">
      <c r="A21" s="19">
        <v>7</v>
      </c>
      <c r="B21" s="65" t="s">
        <v>28</v>
      </c>
      <c r="C21" s="47"/>
      <c r="D21" s="55">
        <f>+'Operating Report'!G56</f>
        <v>518988.74</v>
      </c>
      <c r="E21" s="49"/>
      <c r="F21" s="50"/>
      <c r="G21" s="80">
        <f>+'Summary of Adjustments'!AG24</f>
        <v>7924.4900311199854</v>
      </c>
      <c r="H21" s="50"/>
      <c r="I21" s="51">
        <f t="shared" si="0"/>
        <v>526913.23003112001</v>
      </c>
      <c r="J21" s="49"/>
      <c r="K21" s="50"/>
      <c r="L21" s="50"/>
      <c r="M21" s="50"/>
      <c r="N21" s="49"/>
      <c r="O21" s="52">
        <f t="shared" ref="O21:O30" si="1">+I21+L21</f>
        <v>526913.23003112001</v>
      </c>
      <c r="P21" s="49"/>
      <c r="Q21" s="66"/>
      <c r="S21" s="67"/>
      <c r="U21" s="67"/>
    </row>
    <row r="22" spans="1:21">
      <c r="A22" s="19">
        <v>8</v>
      </c>
      <c r="B22" s="65" t="s">
        <v>8</v>
      </c>
      <c r="C22" s="47"/>
      <c r="D22" s="55">
        <f>+'Operating Report'!G84</f>
        <v>16326277.390000001</v>
      </c>
      <c r="E22" s="49"/>
      <c r="F22" s="50"/>
      <c r="G22" s="80">
        <f>+'Summary of Adjustments'!AG25</f>
        <v>982531.70209997823</v>
      </c>
      <c r="H22" s="50"/>
      <c r="I22" s="51">
        <f t="shared" si="0"/>
        <v>17308809.09209998</v>
      </c>
      <c r="J22" s="49"/>
      <c r="K22" s="50"/>
      <c r="L22" s="50"/>
      <c r="M22" s="50"/>
      <c r="N22" s="49"/>
      <c r="O22" s="52">
        <f t="shared" si="1"/>
        <v>17308809.09209998</v>
      </c>
      <c r="P22" s="49"/>
      <c r="Q22" s="66"/>
      <c r="S22" s="68"/>
      <c r="U22" s="67"/>
    </row>
    <row r="23" spans="1:21">
      <c r="A23" s="19">
        <v>9</v>
      </c>
      <c r="B23" s="65" t="s">
        <v>29</v>
      </c>
      <c r="C23" s="47"/>
      <c r="D23" s="55">
        <f>+'Operating Report'!G92</f>
        <v>6383108.290000001</v>
      </c>
      <c r="E23" s="49"/>
      <c r="F23" s="50"/>
      <c r="G23" s="80">
        <f>+'Summary of Adjustments'!AG26</f>
        <v>97959.389842095843</v>
      </c>
      <c r="H23" s="50"/>
      <c r="I23" s="51">
        <f t="shared" si="0"/>
        <v>6481067.6798420968</v>
      </c>
      <c r="J23" s="49"/>
      <c r="K23" s="50"/>
      <c r="L23" s="50">
        <f>+L16*'Conversion Factor using 21%'!C8</f>
        <v>-25819.657707481412</v>
      </c>
      <c r="M23" s="50"/>
      <c r="N23" s="49"/>
      <c r="O23" s="52">
        <f t="shared" si="1"/>
        <v>6455248.0221346151</v>
      </c>
      <c r="P23" s="49"/>
      <c r="Q23" s="66"/>
      <c r="U23" s="67"/>
    </row>
    <row r="24" spans="1:21">
      <c r="A24" s="19">
        <v>10</v>
      </c>
      <c r="B24" s="65" t="s">
        <v>9</v>
      </c>
      <c r="C24" s="47"/>
      <c r="D24" s="55">
        <f>+'Operating Report'!G99</f>
        <v>824095.64</v>
      </c>
      <c r="E24" s="49"/>
      <c r="F24" s="50"/>
      <c r="G24" s="80">
        <f>+'Summary of Adjustments'!AG27</f>
        <v>-533333.36</v>
      </c>
      <c r="H24" s="50"/>
      <c r="I24" s="51">
        <f t="shared" si="0"/>
        <v>290762.28000000003</v>
      </c>
      <c r="J24" s="49"/>
      <c r="K24" s="50"/>
      <c r="L24" s="50"/>
      <c r="M24" s="50"/>
      <c r="N24" s="49"/>
      <c r="O24" s="52">
        <f t="shared" si="1"/>
        <v>290762.28000000003</v>
      </c>
      <c r="P24" s="49"/>
      <c r="Q24" s="66"/>
    </row>
    <row r="25" spans="1:21">
      <c r="A25" s="19">
        <v>11</v>
      </c>
      <c r="B25" s="65" t="s">
        <v>10</v>
      </c>
      <c r="C25" s="47"/>
      <c r="D25" s="55">
        <f>+'Operating Report'!G106</f>
        <v>4916.59</v>
      </c>
      <c r="E25" s="49"/>
      <c r="F25" s="50"/>
      <c r="G25" s="80">
        <f>+'Summary of Adjustments'!AG28</f>
        <v>-4916.5899999999992</v>
      </c>
      <c r="H25" s="50"/>
      <c r="I25" s="51">
        <f t="shared" si="0"/>
        <v>0</v>
      </c>
      <c r="J25" s="49"/>
      <c r="K25" s="50"/>
      <c r="L25" s="69"/>
      <c r="M25" s="69"/>
      <c r="N25" s="49"/>
      <c r="O25" s="52">
        <f t="shared" si="1"/>
        <v>0</v>
      </c>
      <c r="P25" s="49"/>
      <c r="Q25" s="66"/>
    </row>
    <row r="26" spans="1:21">
      <c r="A26" s="19">
        <v>12</v>
      </c>
      <c r="B26" s="65" t="s">
        <v>11</v>
      </c>
      <c r="C26" s="57"/>
      <c r="D26" s="55">
        <f>+'Operating Report'!G122</f>
        <v>16459957.959999999</v>
      </c>
      <c r="E26" s="49"/>
      <c r="F26" s="50"/>
      <c r="G26" s="80">
        <f>+'Summary of Adjustments'!AG29</f>
        <v>-1402465.0442344875</v>
      </c>
      <c r="H26" s="50"/>
      <c r="I26" s="51">
        <f t="shared" si="0"/>
        <v>15057492.915765511</v>
      </c>
      <c r="J26" s="49"/>
      <c r="K26" s="50"/>
      <c r="L26" s="69"/>
      <c r="M26" s="69"/>
      <c r="N26" s="49"/>
      <c r="O26" s="52">
        <f t="shared" si="1"/>
        <v>15057492.915765511</v>
      </c>
      <c r="P26" s="49"/>
      <c r="Q26" s="53"/>
    </row>
    <row r="27" spans="1:21">
      <c r="A27" s="19">
        <v>13</v>
      </c>
      <c r="B27" s="65" t="s">
        <v>30</v>
      </c>
      <c r="C27" s="47"/>
      <c r="D27" s="48">
        <f>+'Operating Report'!G134</f>
        <v>19218442.350000001</v>
      </c>
      <c r="E27" s="49"/>
      <c r="F27" s="50"/>
      <c r="G27" s="80">
        <f>+'Summary of Adjustments'!AG30</f>
        <v>230313.81653059204</v>
      </c>
      <c r="H27" s="50"/>
      <c r="I27" s="51">
        <f t="shared" si="0"/>
        <v>19448756.166530594</v>
      </c>
      <c r="J27" s="49"/>
      <c r="K27" s="50"/>
      <c r="L27" s="69"/>
      <c r="M27" s="69"/>
      <c r="N27" s="49"/>
      <c r="O27" s="52">
        <f t="shared" si="1"/>
        <v>19448756.166530594</v>
      </c>
      <c r="P27" s="49"/>
      <c r="Q27" s="56"/>
    </row>
    <row r="28" spans="1:21">
      <c r="A28" s="19">
        <v>14</v>
      </c>
      <c r="B28" s="65" t="s">
        <v>31</v>
      </c>
      <c r="C28" s="47"/>
      <c r="D28" s="70"/>
      <c r="E28" s="49"/>
      <c r="F28" s="50"/>
      <c r="G28" s="80">
        <f>+'Summary of Adjustments'!AG31</f>
        <v>0</v>
      </c>
      <c r="H28" s="50"/>
      <c r="I28" s="51">
        <f t="shared" si="0"/>
        <v>0</v>
      </c>
      <c r="J28" s="49"/>
      <c r="K28" s="50"/>
      <c r="L28" s="50"/>
      <c r="M28" s="50"/>
      <c r="N28" s="49"/>
      <c r="O28" s="52">
        <f t="shared" si="1"/>
        <v>0</v>
      </c>
      <c r="P28" s="49"/>
      <c r="Q28" s="56"/>
    </row>
    <row r="29" spans="1:21">
      <c r="A29" s="19">
        <v>15</v>
      </c>
      <c r="B29" s="65" t="s">
        <v>32</v>
      </c>
      <c r="C29" s="47"/>
      <c r="D29" s="55">
        <f>+'Operating Report'!G139</f>
        <v>4095633.81</v>
      </c>
      <c r="E29" s="49"/>
      <c r="F29" s="50"/>
      <c r="G29" s="80">
        <f>+'Summary of Adjustments'!AG32</f>
        <v>141421.72610554879</v>
      </c>
      <c r="H29" s="50"/>
      <c r="I29" s="51">
        <f t="shared" si="0"/>
        <v>4237055.536105549</v>
      </c>
      <c r="J29" s="49"/>
      <c r="K29" s="50"/>
      <c r="L29" s="50"/>
      <c r="M29" s="50"/>
      <c r="N29" s="49"/>
      <c r="O29" s="52">
        <f t="shared" si="1"/>
        <v>4237055.536105549</v>
      </c>
      <c r="P29" s="49"/>
      <c r="Q29" s="56"/>
    </row>
    <row r="30" spans="1:21">
      <c r="A30" s="19">
        <v>16</v>
      </c>
      <c r="B30" s="65" t="s">
        <v>33</v>
      </c>
      <c r="C30" s="47"/>
      <c r="D30" s="959">
        <f>+'Operating Report'!G148</f>
        <v>2477671.574</v>
      </c>
      <c r="E30" s="49"/>
      <c r="F30" s="50"/>
      <c r="G30" s="80">
        <f>+'Summary of Adjustments'!AG33</f>
        <v>2096210.37576798</v>
      </c>
      <c r="H30" s="50"/>
      <c r="I30" s="51">
        <f t="shared" si="0"/>
        <v>4573881.9497679798</v>
      </c>
      <c r="J30" s="49"/>
      <c r="K30" s="50"/>
      <c r="L30" s="50">
        <f>(+L16-L20-L23)*'Conversion Factor using 21%'!C31</f>
        <v>-1366150.7057989424</v>
      </c>
      <c r="M30" s="50"/>
      <c r="N30" s="49"/>
      <c r="O30" s="52">
        <f t="shared" si="1"/>
        <v>3207731.2439690372</v>
      </c>
      <c r="P30" s="49"/>
      <c r="Q30" s="56"/>
    </row>
    <row r="31" spans="1:21" ht="16.2" thickBot="1">
      <c r="A31" s="19">
        <v>17</v>
      </c>
      <c r="B31" s="71" t="s">
        <v>34</v>
      </c>
      <c r="C31" s="29"/>
      <c r="D31" s="72">
        <f>SUM(D19:D30)</f>
        <v>186849297.39399999</v>
      </c>
      <c r="E31" s="49"/>
      <c r="F31" s="50"/>
      <c r="G31" s="75">
        <f>SUM(G19:G30)</f>
        <v>7165742.9583145715</v>
      </c>
      <c r="H31" s="50"/>
      <c r="I31" s="73">
        <f>SUM(I19:I30)</f>
        <v>194015040.35231459</v>
      </c>
      <c r="J31" s="49"/>
      <c r="K31" s="50"/>
      <c r="L31" s="73">
        <f>SUM(L19:L30)</f>
        <v>-1667795.0226488642</v>
      </c>
      <c r="M31" s="74"/>
      <c r="N31" s="49"/>
      <c r="O31" s="75">
        <f>SUM(O19:O30)</f>
        <v>192347245.32966569</v>
      </c>
      <c r="P31" s="49"/>
      <c r="Q31" s="53"/>
    </row>
    <row r="32" spans="1:21" ht="16.8" thickTop="1" thickBot="1">
      <c r="A32" s="19">
        <v>18</v>
      </c>
      <c r="B32" s="71" t="s">
        <v>1849</v>
      </c>
      <c r="C32" s="29"/>
      <c r="D32" s="72">
        <f>+D16-D31</f>
        <v>18281364.836000025</v>
      </c>
      <c r="E32" s="49"/>
      <c r="F32" s="50"/>
      <c r="G32" s="75">
        <f>+G16-G31</f>
        <v>6877203.8319801949</v>
      </c>
      <c r="H32" s="50"/>
      <c r="I32" s="73">
        <f>+I16-I31</f>
        <v>25158568.667980194</v>
      </c>
      <c r="J32" s="49"/>
      <c r="K32" s="50"/>
      <c r="L32" s="73">
        <f>+L16-L31</f>
        <v>-5139328.8456245922</v>
      </c>
      <c r="M32" s="74"/>
      <c r="N32" s="49"/>
      <c r="O32" s="75">
        <f>+O16-O31</f>
        <v>20019239.822355628</v>
      </c>
      <c r="P32" s="49"/>
      <c r="Q32" s="53"/>
      <c r="S32" s="76"/>
    </row>
    <row r="33" spans="1:19" ht="16.2" thickTop="1">
      <c r="A33" s="19"/>
      <c r="B33" s="71"/>
      <c r="C33" s="29"/>
      <c r="D33" s="77"/>
      <c r="E33" s="49"/>
      <c r="F33" s="50"/>
      <c r="G33" s="78"/>
      <c r="H33" s="50"/>
      <c r="I33" s="74"/>
      <c r="J33" s="49"/>
      <c r="K33" s="50"/>
      <c r="L33" s="74"/>
      <c r="M33" s="74"/>
      <c r="N33" s="49"/>
      <c r="O33" s="78"/>
      <c r="P33" s="49"/>
      <c r="Q33" s="53"/>
      <c r="S33" s="76"/>
    </row>
    <row r="34" spans="1:19">
      <c r="A34" s="19"/>
      <c r="B34" s="71" t="s">
        <v>35</v>
      </c>
      <c r="C34" s="47"/>
      <c r="D34" s="79"/>
      <c r="E34" s="49"/>
      <c r="F34" s="50"/>
      <c r="G34" s="80"/>
      <c r="H34" s="50"/>
      <c r="I34" s="50"/>
      <c r="J34" s="49"/>
      <c r="K34" s="50"/>
      <c r="L34" s="50"/>
      <c r="M34" s="50"/>
      <c r="N34" s="49"/>
      <c r="O34" s="80"/>
      <c r="P34" s="49"/>
      <c r="Q34" s="66"/>
    </row>
    <row r="35" spans="1:19">
      <c r="A35" s="19">
        <v>19</v>
      </c>
      <c r="B35" s="46" t="s">
        <v>37</v>
      </c>
      <c r="C35" s="47"/>
      <c r="D35" s="48">
        <f>+'Rate Base'!D13</f>
        <v>677314165.18981874</v>
      </c>
      <c r="E35" s="49"/>
      <c r="F35" s="50"/>
      <c r="G35" s="80">
        <f>+'Summary of Adjustments'!AG38</f>
        <v>10548581.277154002</v>
      </c>
      <c r="H35" s="50"/>
      <c r="I35" s="51">
        <f>+D35+G35</f>
        <v>687862746.46697271</v>
      </c>
      <c r="J35" s="49"/>
      <c r="K35" s="50"/>
      <c r="L35" s="51"/>
      <c r="M35" s="51"/>
      <c r="N35" s="49"/>
      <c r="O35" s="52">
        <f t="shared" ref="O35:O39" si="2">+I35+L35</f>
        <v>687862746.46697271</v>
      </c>
      <c r="P35" s="49"/>
      <c r="Q35" s="53"/>
    </row>
    <row r="36" spans="1:19">
      <c r="A36" s="19">
        <v>20</v>
      </c>
      <c r="B36" s="46" t="s">
        <v>38</v>
      </c>
      <c r="C36" s="47"/>
      <c r="D36" s="55">
        <f>+'Rate Base'!D14</f>
        <v>-345424354.83661753</v>
      </c>
      <c r="E36" s="49"/>
      <c r="F36" s="50"/>
      <c r="G36" s="80">
        <f>+'Summary of Adjustments'!AG39</f>
        <v>-115156.90826529602</v>
      </c>
      <c r="H36" s="50"/>
      <c r="I36" s="51">
        <f>+D36+G36</f>
        <v>-345539511.74488282</v>
      </c>
      <c r="J36" s="49"/>
      <c r="K36" s="50"/>
      <c r="L36" s="51"/>
      <c r="M36" s="51"/>
      <c r="N36" s="49"/>
      <c r="O36" s="52">
        <f t="shared" si="2"/>
        <v>-345539511.74488282</v>
      </c>
      <c r="P36" s="49"/>
      <c r="Q36" s="56"/>
    </row>
    <row r="37" spans="1:19">
      <c r="A37" s="19">
        <v>21</v>
      </c>
      <c r="B37" s="57" t="s">
        <v>12</v>
      </c>
      <c r="C37" s="57"/>
      <c r="D37" s="55">
        <f>+'Rate Base'!D16</f>
        <v>-3771590.387083333</v>
      </c>
      <c r="E37" s="49"/>
      <c r="F37" s="50"/>
      <c r="G37" s="80">
        <f>+'Summary of Adjustments'!AG40</f>
        <v>0</v>
      </c>
      <c r="H37" s="50"/>
      <c r="I37" s="51">
        <f>+D37+G37</f>
        <v>-3771590.387083333</v>
      </c>
      <c r="J37" s="49"/>
      <c r="K37" s="50"/>
      <c r="L37" s="51"/>
      <c r="M37" s="51"/>
      <c r="N37" s="49"/>
      <c r="O37" s="52">
        <f t="shared" si="2"/>
        <v>-3771590.387083333</v>
      </c>
      <c r="P37" s="49"/>
      <c r="Q37" s="56"/>
    </row>
    <row r="38" spans="1:19">
      <c r="A38" s="19">
        <v>22</v>
      </c>
      <c r="B38" s="57" t="s">
        <v>39</v>
      </c>
      <c r="C38" s="47"/>
      <c r="D38" s="55">
        <f>+'Rate Base'!D17</f>
        <v>-73667038.139583334</v>
      </c>
      <c r="E38" s="49"/>
      <c r="F38" s="50"/>
      <c r="G38" s="80">
        <f>+'Summary of Adjustments'!AG41</f>
        <v>-28920.146738469524</v>
      </c>
      <c r="H38" s="50"/>
      <c r="I38" s="51">
        <f>+D38+G38</f>
        <v>-73695958.286321804</v>
      </c>
      <c r="J38" s="49"/>
      <c r="K38" s="50"/>
      <c r="L38" s="51"/>
      <c r="M38" s="51"/>
      <c r="N38" s="49"/>
      <c r="O38" s="52">
        <f t="shared" si="2"/>
        <v>-73695958.286321804</v>
      </c>
      <c r="P38" s="49"/>
      <c r="Q38" s="56"/>
    </row>
    <row r="39" spans="1:19">
      <c r="A39" s="19">
        <v>23</v>
      </c>
      <c r="B39" s="57" t="s">
        <v>40</v>
      </c>
      <c r="C39" s="47"/>
      <c r="D39" s="55">
        <f>+'Rate Base'!D18</f>
        <v>25610869.595646363</v>
      </c>
      <c r="E39" s="49"/>
      <c r="F39" s="50"/>
      <c r="G39" s="80">
        <f>+'Summary of Adjustments'!AG42</f>
        <v>-12922679</v>
      </c>
      <c r="H39" s="50"/>
      <c r="I39" s="51">
        <f>+D39+G39</f>
        <v>12688190.595646363</v>
      </c>
      <c r="J39" s="49"/>
      <c r="K39" s="50"/>
      <c r="L39" s="51"/>
      <c r="M39" s="51"/>
      <c r="N39" s="49"/>
      <c r="O39" s="52">
        <f t="shared" si="2"/>
        <v>12688190.595646363</v>
      </c>
      <c r="P39" s="49"/>
      <c r="Q39" s="56"/>
    </row>
    <row r="40" spans="1:19" ht="16.2" thickBot="1">
      <c r="A40" s="19">
        <v>24</v>
      </c>
      <c r="B40" s="71" t="s">
        <v>36</v>
      </c>
      <c r="C40" s="19"/>
      <c r="D40" s="81">
        <f>SUM(D35:D39)</f>
        <v>280062051.42218089</v>
      </c>
      <c r="E40" s="49"/>
      <c r="F40" s="50"/>
      <c r="G40" s="81">
        <f>SUM(G35:G39)</f>
        <v>-2518174.7778497636</v>
      </c>
      <c r="H40" s="50"/>
      <c r="I40" s="81">
        <f>SUM(I35:I39)</f>
        <v>277543876.6443311</v>
      </c>
      <c r="J40" s="49"/>
      <c r="K40" s="50"/>
      <c r="L40" s="81">
        <f>SUM(L35:L39)</f>
        <v>0</v>
      </c>
      <c r="M40" s="77"/>
      <c r="N40" s="49"/>
      <c r="O40" s="81">
        <f>SUM(O35:O39)</f>
        <v>277543876.6443311</v>
      </c>
      <c r="P40" s="49"/>
      <c r="Q40" s="53"/>
    </row>
    <row r="41" spans="1:19" ht="16.2" thickTop="1">
      <c r="A41" s="19">
        <v>25</v>
      </c>
      <c r="B41" s="71" t="s">
        <v>13</v>
      </c>
      <c r="C41" s="47"/>
      <c r="D41" s="82">
        <f>+D32/D40</f>
        <v>6.5276122713397153E-2</v>
      </c>
      <c r="E41" s="29"/>
      <c r="F41" s="19"/>
      <c r="G41" s="29"/>
      <c r="H41" s="19"/>
      <c r="I41" s="83">
        <f>+I32/I40</f>
        <v>9.0647176122788595E-2</v>
      </c>
      <c r="J41" s="29"/>
      <c r="K41" s="19"/>
      <c r="L41" s="84"/>
      <c r="M41" s="84"/>
      <c r="N41" s="29"/>
      <c r="O41" s="85">
        <f>+O32/O40</f>
        <v>7.2130000000000097E-2</v>
      </c>
      <c r="P41" s="29"/>
      <c r="Q41" s="19"/>
    </row>
    <row r="42" spans="1:19">
      <c r="A42" s="86"/>
      <c r="B42" s="87"/>
      <c r="C42" s="88"/>
      <c r="D42" s="89"/>
      <c r="E42" s="41"/>
      <c r="F42" s="42"/>
      <c r="G42" s="41"/>
      <c r="H42" s="42"/>
      <c r="I42" s="90"/>
      <c r="J42" s="41"/>
      <c r="K42" s="42"/>
      <c r="L42" s="42"/>
      <c r="M42" s="42"/>
      <c r="N42" s="42"/>
      <c r="O42" s="91"/>
      <c r="P42" s="92"/>
      <c r="Q42" s="44"/>
    </row>
    <row r="43" spans="1:19">
      <c r="A43" s="20"/>
      <c r="B43" s="20"/>
      <c r="C43" s="20"/>
      <c r="D43" s="20"/>
      <c r="E43" s="20"/>
      <c r="F43" s="20"/>
      <c r="G43" s="20"/>
      <c r="H43" s="20"/>
      <c r="I43" s="20"/>
      <c r="J43" s="20"/>
      <c r="K43" s="20"/>
      <c r="L43" s="20"/>
      <c r="M43" s="20"/>
      <c r="N43" s="20"/>
      <c r="O43" s="20"/>
      <c r="P43" s="20"/>
      <c r="Q43" s="20"/>
    </row>
    <row r="45" spans="1:19">
      <c r="L45" s="93"/>
    </row>
    <row r="47" spans="1:19">
      <c r="L47" s="68"/>
    </row>
  </sheetData>
  <mergeCells count="3">
    <mergeCell ref="A1:P1"/>
    <mergeCell ref="A3:P3"/>
    <mergeCell ref="A2:P2"/>
  </mergeCells>
  <printOptions horizontalCentered="1"/>
  <pageMargins left="0.5" right="0.5" top="1" bottom="1" header="0.3" footer="0.3"/>
  <pageSetup scale="80" orientation="portrait" r:id="rId1"/>
  <headerFooter scaleWithDoc="0" alignWithMargins="0">
    <oddFooter>&amp;CSettlement at 9 point 5 and EO cap structure 8M in plant #2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view="pageBreakPreview" zoomScale="60" zoomScaleNormal="100" workbookViewId="0">
      <selection activeCell="A3" sqref="A3"/>
    </sheetView>
  </sheetViews>
  <sheetFormatPr defaultColWidth="9.109375" defaultRowHeight="15.6"/>
  <cols>
    <col min="1" max="1" width="9.44140625" style="16" bestFit="1" customWidth="1"/>
    <col min="2" max="2" width="22.109375" style="3" bestFit="1" customWidth="1"/>
    <col min="3" max="3" width="9.109375" style="3"/>
    <col min="4" max="4" width="4.5546875" style="3" customWidth="1"/>
    <col min="5" max="9" width="9.109375" style="3"/>
    <col min="10" max="10" width="21.33203125" style="3" bestFit="1" customWidth="1"/>
    <col min="11" max="12" width="20.44140625" style="3" bestFit="1" customWidth="1"/>
    <col min="13" max="13" width="21.88671875" style="3" bestFit="1" customWidth="1"/>
    <col min="14" max="14" width="20.44140625" style="3" bestFit="1" customWidth="1"/>
    <col min="15" max="15" width="19.88671875" style="3" bestFit="1" customWidth="1"/>
    <col min="16" max="16" width="21.33203125" style="3" bestFit="1" customWidth="1"/>
    <col min="17" max="18" width="20.44140625" style="3" bestFit="1" customWidth="1"/>
    <col min="19" max="19" width="20.5546875" style="3" bestFit="1" customWidth="1"/>
    <col min="20" max="21" width="19.88671875" style="3" bestFit="1" customWidth="1"/>
    <col min="22" max="22" width="20.44140625" style="3" bestFit="1" customWidth="1"/>
    <col min="23" max="23" width="19.88671875" style="3" bestFit="1" customWidth="1"/>
    <col min="24" max="24" width="20.44140625" style="3" bestFit="1" customWidth="1"/>
    <col min="25" max="25" width="20.5546875" style="3" bestFit="1" customWidth="1"/>
    <col min="26" max="27" width="20.44140625" style="3" bestFit="1" customWidth="1"/>
    <col min="28" max="28" width="20.5546875" style="3" bestFit="1" customWidth="1"/>
    <col min="29" max="30" width="20.44140625" style="3" bestFit="1" customWidth="1"/>
    <col min="31" max="31" width="20.5546875" style="3" bestFit="1" customWidth="1"/>
    <col min="32" max="32" width="19.44140625" style="3" bestFit="1" customWidth="1"/>
    <col min="33" max="34" width="19.88671875" style="3" bestFit="1" customWidth="1"/>
    <col min="35" max="36" width="20.44140625" style="3" bestFit="1" customWidth="1"/>
    <col min="37" max="37" width="21.88671875" style="3" bestFit="1" customWidth="1"/>
    <col min="38" max="38" width="19.88671875" style="3" bestFit="1" customWidth="1"/>
    <col min="39" max="39" width="20.44140625" style="3" bestFit="1" customWidth="1"/>
    <col min="40" max="40" width="21.33203125" style="3" bestFit="1" customWidth="1"/>
    <col min="41" max="41" width="20.44140625" style="3" bestFit="1" customWidth="1"/>
    <col min="42" max="42" width="19.88671875" style="3" bestFit="1" customWidth="1"/>
    <col min="43" max="43" width="21.33203125" style="3" bestFit="1" customWidth="1"/>
    <col min="44" max="44" width="19.88671875" style="3" bestFit="1" customWidth="1"/>
    <col min="45" max="45" width="19.44140625" style="3" bestFit="1" customWidth="1"/>
    <col min="46" max="46" width="21.88671875" style="3" bestFit="1" customWidth="1"/>
    <col min="47" max="47" width="20.44140625" style="3" bestFit="1" customWidth="1"/>
    <col min="48" max="48" width="19.88671875" style="3" bestFit="1" customWidth="1"/>
    <col min="49" max="49" width="20.5546875" style="3" bestFit="1" customWidth="1"/>
    <col min="50" max="50" width="17.5546875" style="3" bestFit="1" customWidth="1"/>
    <col min="51" max="51" width="16.5546875" style="3" customWidth="1"/>
    <col min="52" max="16384" width="9.109375" style="3"/>
  </cols>
  <sheetData>
    <row r="1" spans="1:51">
      <c r="E1" s="1229" t="s">
        <v>54</v>
      </c>
      <c r="F1" s="1229"/>
      <c r="G1" s="1229"/>
      <c r="H1" s="1229"/>
      <c r="I1" s="1229"/>
      <c r="J1" s="1229"/>
      <c r="K1" s="1229"/>
      <c r="R1" s="1229" t="s">
        <v>54</v>
      </c>
      <c r="S1" s="1229"/>
      <c r="T1" s="1229"/>
      <c r="U1" s="1229"/>
      <c r="V1" s="2"/>
      <c r="W1" s="2"/>
      <c r="X1" s="2"/>
      <c r="Y1" s="2"/>
      <c r="AB1" s="1229" t="s">
        <v>54</v>
      </c>
      <c r="AC1" s="1229"/>
      <c r="AD1" s="1229"/>
      <c r="AE1" s="1229"/>
      <c r="AF1" s="2"/>
      <c r="AG1" s="2"/>
      <c r="AK1" s="1229" t="s">
        <v>54</v>
      </c>
      <c r="AL1" s="1229"/>
      <c r="AM1" s="1229"/>
      <c r="AN1" s="1229"/>
      <c r="AO1" s="1229"/>
      <c r="AU1" s="1229" t="s">
        <v>54</v>
      </c>
      <c r="AV1" s="1229"/>
      <c r="AW1" s="1229"/>
      <c r="AX1" s="1229"/>
      <c r="AY1" s="1229"/>
    </row>
    <row r="2" spans="1:51">
      <c r="E2" s="5"/>
      <c r="F2" s="1229" t="s">
        <v>1261</v>
      </c>
      <c r="G2" s="1229"/>
      <c r="H2" s="1229"/>
      <c r="I2" s="1229"/>
      <c r="J2" s="1229"/>
      <c r="K2" s="5"/>
      <c r="R2" s="1229" t="s">
        <v>1261</v>
      </c>
      <c r="S2" s="1229"/>
      <c r="T2" s="1229"/>
      <c r="U2" s="1229"/>
      <c r="V2" s="2"/>
      <c r="W2" s="2"/>
      <c r="X2" s="2"/>
      <c r="Y2" s="5"/>
      <c r="AA2" s="5"/>
      <c r="AB2" s="1229" t="s">
        <v>1261</v>
      </c>
      <c r="AC2" s="1229"/>
      <c r="AD2" s="1229"/>
      <c r="AE2" s="1229"/>
      <c r="AF2" s="2"/>
      <c r="AG2" s="5"/>
      <c r="AK2" s="1229" t="s">
        <v>1261</v>
      </c>
      <c r="AL2" s="1229"/>
      <c r="AM2" s="1229"/>
      <c r="AN2" s="1229"/>
      <c r="AO2" s="1229"/>
      <c r="AS2" s="5"/>
      <c r="AU2" s="1229" t="s">
        <v>1261</v>
      </c>
      <c r="AV2" s="1229"/>
      <c r="AW2" s="1229"/>
      <c r="AX2" s="1229"/>
      <c r="AY2" s="1229"/>
    </row>
    <row r="3" spans="1:51">
      <c r="E3" s="5"/>
      <c r="F3" s="1229"/>
      <c r="G3" s="1229"/>
      <c r="H3" s="1229"/>
      <c r="I3" s="1229"/>
      <c r="J3" s="1229"/>
      <c r="K3" s="5"/>
      <c r="R3" s="1229"/>
      <c r="S3" s="1229"/>
      <c r="T3" s="1229"/>
      <c r="U3" s="1229"/>
      <c r="V3" s="2"/>
      <c r="W3" s="2"/>
      <c r="X3" s="2"/>
      <c r="Y3" s="5"/>
      <c r="AA3" s="5"/>
      <c r="AB3" s="1229"/>
      <c r="AC3" s="1229"/>
      <c r="AD3" s="1229"/>
      <c r="AE3" s="1229"/>
      <c r="AF3" s="2"/>
      <c r="AG3" s="5"/>
      <c r="AK3" s="1229"/>
      <c r="AL3" s="1229"/>
      <c r="AM3" s="1229"/>
      <c r="AN3" s="1229"/>
      <c r="AO3" s="1229"/>
      <c r="AS3" s="5"/>
      <c r="AU3" s="1229"/>
      <c r="AV3" s="1229"/>
      <c r="AW3" s="1229"/>
      <c r="AX3" s="1229"/>
      <c r="AY3" s="1229"/>
    </row>
    <row r="4" spans="1:51">
      <c r="E4" s="1229" t="s">
        <v>1573</v>
      </c>
      <c r="F4" s="1229"/>
      <c r="G4" s="1229"/>
      <c r="H4" s="1229"/>
      <c r="I4" s="1229"/>
      <c r="J4" s="1229"/>
      <c r="K4" s="1229"/>
      <c r="R4" s="1229" t="s">
        <v>1573</v>
      </c>
      <c r="S4" s="1229"/>
      <c r="T4" s="1229"/>
      <c r="U4" s="1229"/>
      <c r="V4" s="2"/>
      <c r="W4" s="2"/>
      <c r="X4" s="2"/>
      <c r="Y4" s="2"/>
      <c r="AB4" s="1229" t="s">
        <v>1573</v>
      </c>
      <c r="AC4" s="1229"/>
      <c r="AD4" s="1229"/>
      <c r="AE4" s="1229"/>
      <c r="AF4" s="2"/>
      <c r="AG4" s="2"/>
      <c r="AK4" s="1229" t="s">
        <v>1573</v>
      </c>
      <c r="AL4" s="1229"/>
      <c r="AM4" s="1229"/>
      <c r="AN4" s="1229"/>
      <c r="AO4" s="1229"/>
      <c r="AU4" s="1229" t="s">
        <v>1573</v>
      </c>
      <c r="AV4" s="1229"/>
      <c r="AW4" s="1229"/>
      <c r="AX4" s="1229"/>
      <c r="AY4" s="1229"/>
    </row>
    <row r="5" spans="1:51">
      <c r="F5" s="1229" t="s">
        <v>953</v>
      </c>
      <c r="G5" s="1229"/>
      <c r="H5" s="1229"/>
      <c r="I5" s="1229"/>
      <c r="J5" s="1229"/>
      <c r="R5" s="1229" t="s">
        <v>953</v>
      </c>
      <c r="S5" s="1229"/>
      <c r="T5" s="1229"/>
      <c r="U5" s="1229"/>
      <c r="V5" s="2"/>
      <c r="W5" s="2"/>
      <c r="X5" s="2"/>
      <c r="AB5" s="1229" t="s">
        <v>953</v>
      </c>
      <c r="AC5" s="1229"/>
      <c r="AD5" s="1229"/>
      <c r="AE5" s="1229"/>
      <c r="AF5" s="2"/>
      <c r="AK5" s="1229" t="s">
        <v>953</v>
      </c>
      <c r="AL5" s="1229"/>
      <c r="AM5" s="1229"/>
      <c r="AN5" s="1229"/>
      <c r="AO5" s="1229"/>
      <c r="AU5" s="1229" t="s">
        <v>953</v>
      </c>
      <c r="AV5" s="1229"/>
      <c r="AW5" s="1229"/>
      <c r="AX5" s="1229"/>
      <c r="AY5" s="1229"/>
    </row>
    <row r="8" spans="1:51" s="16" customFormat="1" ht="16.2" thickBot="1">
      <c r="A8" s="16" t="s">
        <v>883</v>
      </c>
      <c r="B8" s="16" t="s">
        <v>1272</v>
      </c>
      <c r="C8" s="16" t="s">
        <v>1270</v>
      </c>
      <c r="E8" s="16" t="s">
        <v>1271</v>
      </c>
      <c r="F8" s="16" t="s">
        <v>1274</v>
      </c>
      <c r="G8" s="16" t="s">
        <v>1275</v>
      </c>
      <c r="H8" s="16" t="s">
        <v>1276</v>
      </c>
      <c r="I8" s="16" t="s">
        <v>1277</v>
      </c>
      <c r="J8" s="16" t="s">
        <v>1278</v>
      </c>
      <c r="K8" s="16" t="s">
        <v>1279</v>
      </c>
      <c r="L8" s="16" t="s">
        <v>1280</v>
      </c>
      <c r="M8" s="16" t="s">
        <v>1281</v>
      </c>
      <c r="N8" s="16" t="s">
        <v>1464</v>
      </c>
      <c r="O8" s="16" t="s">
        <v>1283</v>
      </c>
      <c r="P8" s="16" t="s">
        <v>1284</v>
      </c>
      <c r="Q8" s="16" t="s">
        <v>1285</v>
      </c>
      <c r="R8" s="16" t="s">
        <v>1539</v>
      </c>
      <c r="S8" s="16" t="s">
        <v>1540</v>
      </c>
      <c r="T8" s="16" t="s">
        <v>1541</v>
      </c>
      <c r="U8" s="16" t="s">
        <v>1542</v>
      </c>
      <c r="V8" s="16" t="s">
        <v>1543</v>
      </c>
      <c r="W8" s="16" t="s">
        <v>1544</v>
      </c>
      <c r="X8" s="16" t="s">
        <v>1545</v>
      </c>
      <c r="Y8" s="16" t="s">
        <v>1546</v>
      </c>
      <c r="Z8" s="16" t="s">
        <v>1547</v>
      </c>
      <c r="AA8" s="16" t="s">
        <v>1548</v>
      </c>
      <c r="AB8" s="16" t="s">
        <v>1549</v>
      </c>
      <c r="AC8" s="16" t="s">
        <v>1059</v>
      </c>
      <c r="AD8" s="16" t="s">
        <v>1550</v>
      </c>
      <c r="AE8" s="16" t="s">
        <v>1551</v>
      </c>
      <c r="AF8" s="16" t="s">
        <v>1552</v>
      </c>
      <c r="AG8" s="16" t="s">
        <v>1553</v>
      </c>
      <c r="AH8" s="16" t="s">
        <v>1556</v>
      </c>
      <c r="AI8" s="16" t="s">
        <v>1557</v>
      </c>
      <c r="AJ8" s="16" t="s">
        <v>1558</v>
      </c>
      <c r="AK8" s="16" t="s">
        <v>1559</v>
      </c>
      <c r="AL8" s="16" t="s">
        <v>1560</v>
      </c>
      <c r="AM8" s="16" t="s">
        <v>1561</v>
      </c>
      <c r="AN8" s="16" t="s">
        <v>1562</v>
      </c>
      <c r="AO8" s="16" t="s">
        <v>1563</v>
      </c>
      <c r="AP8" s="16" t="s">
        <v>1564</v>
      </c>
      <c r="AQ8" s="16" t="s">
        <v>1565</v>
      </c>
      <c r="AR8" s="16" t="s">
        <v>1566</v>
      </c>
      <c r="AS8" s="16" t="s">
        <v>1567</v>
      </c>
      <c r="AT8" s="16" t="s">
        <v>1568</v>
      </c>
      <c r="AU8" s="16" t="s">
        <v>1399</v>
      </c>
      <c r="AV8" s="16" t="s">
        <v>1569</v>
      </c>
      <c r="AW8" s="16" t="s">
        <v>1570</v>
      </c>
      <c r="AX8" s="16" t="s">
        <v>1571</v>
      </c>
      <c r="AY8" s="16" t="s">
        <v>1572</v>
      </c>
    </row>
    <row r="9" spans="1:51">
      <c r="A9" s="16">
        <v>1</v>
      </c>
      <c r="B9" s="1246" t="s">
        <v>1622</v>
      </c>
      <c r="C9" s="1247"/>
      <c r="D9" s="1247"/>
      <c r="E9" s="1248"/>
      <c r="F9" s="1258" t="s">
        <v>387</v>
      </c>
      <c r="G9" s="1258"/>
      <c r="H9" s="1258"/>
      <c r="I9" s="1259"/>
      <c r="J9" s="340" t="s">
        <v>1059</v>
      </c>
      <c r="K9" s="341" t="s">
        <v>1460</v>
      </c>
      <c r="L9" s="342" t="s">
        <v>1461</v>
      </c>
      <c r="M9" s="340" t="s">
        <v>1059</v>
      </c>
      <c r="N9" s="341" t="s">
        <v>1460</v>
      </c>
      <c r="O9" s="342" t="s">
        <v>1461</v>
      </c>
      <c r="P9" s="340" t="s">
        <v>1059</v>
      </c>
      <c r="Q9" s="341" t="s">
        <v>1460</v>
      </c>
      <c r="R9" s="342" t="s">
        <v>1461</v>
      </c>
      <c r="S9" s="340" t="s">
        <v>1059</v>
      </c>
      <c r="T9" s="341" t="s">
        <v>1460</v>
      </c>
      <c r="U9" s="342" t="s">
        <v>1461</v>
      </c>
      <c r="V9" s="340" t="s">
        <v>1059</v>
      </c>
      <c r="W9" s="341" t="s">
        <v>1460</v>
      </c>
      <c r="X9" s="342" t="s">
        <v>1461</v>
      </c>
      <c r="Y9" s="340" t="s">
        <v>1059</v>
      </c>
      <c r="Z9" s="341" t="s">
        <v>1460</v>
      </c>
      <c r="AA9" s="342" t="s">
        <v>1461</v>
      </c>
      <c r="AB9" s="340" t="s">
        <v>1059</v>
      </c>
      <c r="AC9" s="341" t="s">
        <v>1460</v>
      </c>
      <c r="AD9" s="342" t="s">
        <v>1461</v>
      </c>
      <c r="AE9" s="340" t="s">
        <v>1059</v>
      </c>
      <c r="AF9" s="341" t="s">
        <v>1460</v>
      </c>
      <c r="AG9" s="342" t="s">
        <v>1461</v>
      </c>
      <c r="AH9" s="340" t="s">
        <v>1059</v>
      </c>
      <c r="AI9" s="341" t="s">
        <v>1460</v>
      </c>
      <c r="AJ9" s="342" t="s">
        <v>1461</v>
      </c>
      <c r="AK9" s="340" t="s">
        <v>1059</v>
      </c>
      <c r="AL9" s="341" t="s">
        <v>1460</v>
      </c>
      <c r="AM9" s="342" t="s">
        <v>1461</v>
      </c>
      <c r="AN9" s="340" t="s">
        <v>1059</v>
      </c>
      <c r="AO9" s="341" t="s">
        <v>1460</v>
      </c>
      <c r="AP9" s="342" t="s">
        <v>1461</v>
      </c>
      <c r="AQ9" s="340" t="s">
        <v>1059</v>
      </c>
      <c r="AR9" s="341" t="s">
        <v>1460</v>
      </c>
      <c r="AS9" s="342" t="s">
        <v>1461</v>
      </c>
      <c r="AT9" s="340" t="s">
        <v>1059</v>
      </c>
      <c r="AU9" s="341" t="s">
        <v>1460</v>
      </c>
      <c r="AV9" s="342" t="s">
        <v>1461</v>
      </c>
      <c r="AW9" s="343" t="s">
        <v>1502</v>
      </c>
      <c r="AX9" s="343" t="s">
        <v>104</v>
      </c>
      <c r="AY9" s="343" t="s">
        <v>78</v>
      </c>
    </row>
    <row r="10" spans="1:51">
      <c r="A10" s="16">
        <v>2</v>
      </c>
      <c r="B10" s="1249"/>
      <c r="C10" s="1250"/>
      <c r="D10" s="1250"/>
      <c r="E10" s="1251"/>
      <c r="F10" s="1244" t="s">
        <v>388</v>
      </c>
      <c r="G10" s="1244"/>
      <c r="H10" s="1244"/>
      <c r="I10" s="1245"/>
      <c r="J10" s="344" t="s">
        <v>1462</v>
      </c>
      <c r="K10" s="345" t="s">
        <v>1462</v>
      </c>
      <c r="L10" s="346" t="s">
        <v>1462</v>
      </c>
      <c r="M10" s="344" t="s">
        <v>1463</v>
      </c>
      <c r="N10" s="345" t="s">
        <v>1463</v>
      </c>
      <c r="O10" s="346" t="s">
        <v>1463</v>
      </c>
      <c r="P10" s="344" t="s">
        <v>1463</v>
      </c>
      <c r="Q10" s="345" t="s">
        <v>1463</v>
      </c>
      <c r="R10" s="346" t="s">
        <v>1463</v>
      </c>
      <c r="S10" s="344" t="s">
        <v>1463</v>
      </c>
      <c r="T10" s="345" t="s">
        <v>1463</v>
      </c>
      <c r="U10" s="346" t="s">
        <v>1463</v>
      </c>
      <c r="V10" s="344" t="s">
        <v>1463</v>
      </c>
      <c r="W10" s="345" t="s">
        <v>1463</v>
      </c>
      <c r="X10" s="346" t="s">
        <v>1463</v>
      </c>
      <c r="Y10" s="344" t="s">
        <v>1463</v>
      </c>
      <c r="Z10" s="345" t="s">
        <v>1463</v>
      </c>
      <c r="AA10" s="346" t="s">
        <v>1463</v>
      </c>
      <c r="AB10" s="344" t="s">
        <v>1463</v>
      </c>
      <c r="AC10" s="345" t="s">
        <v>1463</v>
      </c>
      <c r="AD10" s="346" t="s">
        <v>1463</v>
      </c>
      <c r="AE10" s="344" t="s">
        <v>1463</v>
      </c>
      <c r="AF10" s="345" t="s">
        <v>1463</v>
      </c>
      <c r="AG10" s="346" t="s">
        <v>1463</v>
      </c>
      <c r="AH10" s="344" t="s">
        <v>1463</v>
      </c>
      <c r="AI10" s="345" t="s">
        <v>1463</v>
      </c>
      <c r="AJ10" s="346" t="s">
        <v>1463</v>
      </c>
      <c r="AK10" s="344" t="s">
        <v>1463</v>
      </c>
      <c r="AL10" s="345" t="s">
        <v>1463</v>
      </c>
      <c r="AM10" s="346" t="s">
        <v>1463</v>
      </c>
      <c r="AN10" s="344" t="s">
        <v>1463</v>
      </c>
      <c r="AO10" s="345" t="s">
        <v>1463</v>
      </c>
      <c r="AP10" s="346" t="s">
        <v>1463</v>
      </c>
      <c r="AQ10" s="344" t="s">
        <v>1463</v>
      </c>
      <c r="AR10" s="345" t="s">
        <v>1463</v>
      </c>
      <c r="AS10" s="346" t="s">
        <v>1463</v>
      </c>
      <c r="AT10" s="344" t="s">
        <v>1463</v>
      </c>
      <c r="AU10" s="345" t="s">
        <v>1463</v>
      </c>
      <c r="AV10" s="346" t="s">
        <v>1463</v>
      </c>
    </row>
    <row r="11" spans="1:51">
      <c r="A11" s="16">
        <v>3</v>
      </c>
      <c r="B11" s="1249"/>
      <c r="C11" s="1250"/>
      <c r="D11" s="1250"/>
      <c r="E11" s="1251"/>
      <c r="F11" s="1244" t="s">
        <v>389</v>
      </c>
      <c r="G11" s="1244"/>
      <c r="H11" s="1244"/>
      <c r="I11" s="1245"/>
      <c r="J11" s="344" t="s">
        <v>1464</v>
      </c>
      <c r="K11" s="345" t="s">
        <v>1464</v>
      </c>
      <c r="L11" s="346" t="s">
        <v>1464</v>
      </c>
      <c r="M11" s="344" t="s">
        <v>1464</v>
      </c>
      <c r="N11" s="345" t="s">
        <v>1464</v>
      </c>
      <c r="O11" s="346" t="s">
        <v>1464</v>
      </c>
      <c r="P11" s="344" t="s">
        <v>1464</v>
      </c>
      <c r="Q11" s="345" t="s">
        <v>1464</v>
      </c>
      <c r="R11" s="346" t="s">
        <v>1464</v>
      </c>
      <c r="S11" s="344" t="s">
        <v>1464</v>
      </c>
      <c r="T11" s="345" t="s">
        <v>1464</v>
      </c>
      <c r="U11" s="346" t="s">
        <v>1464</v>
      </c>
      <c r="V11" s="344" t="s">
        <v>1464</v>
      </c>
      <c r="W11" s="345" t="s">
        <v>1464</v>
      </c>
      <c r="X11" s="346" t="s">
        <v>1464</v>
      </c>
      <c r="Y11" s="344" t="s">
        <v>1464</v>
      </c>
      <c r="Z11" s="345" t="s">
        <v>1464</v>
      </c>
      <c r="AA11" s="346" t="s">
        <v>1464</v>
      </c>
      <c r="AB11" s="344" t="s">
        <v>1464</v>
      </c>
      <c r="AC11" s="345" t="s">
        <v>1464</v>
      </c>
      <c r="AD11" s="346" t="s">
        <v>1464</v>
      </c>
      <c r="AE11" s="344" t="s">
        <v>1464</v>
      </c>
      <c r="AF11" s="345" t="s">
        <v>1464</v>
      </c>
      <c r="AG11" s="346" t="s">
        <v>1464</v>
      </c>
      <c r="AH11" s="344" t="s">
        <v>1464</v>
      </c>
      <c r="AI11" s="345" t="s">
        <v>1464</v>
      </c>
      <c r="AJ11" s="346" t="s">
        <v>1464</v>
      </c>
      <c r="AK11" s="344" t="s">
        <v>1464</v>
      </c>
      <c r="AL11" s="345" t="s">
        <v>1464</v>
      </c>
      <c r="AM11" s="346" t="s">
        <v>1464</v>
      </c>
      <c r="AN11" s="344" t="s">
        <v>1464</v>
      </c>
      <c r="AO11" s="345" t="s">
        <v>1464</v>
      </c>
      <c r="AP11" s="346" t="s">
        <v>1464</v>
      </c>
      <c r="AQ11" s="344" t="s">
        <v>1464</v>
      </c>
      <c r="AR11" s="345" t="s">
        <v>1464</v>
      </c>
      <c r="AS11" s="346" t="s">
        <v>1464</v>
      </c>
      <c r="AT11" s="344" t="s">
        <v>1464</v>
      </c>
      <c r="AU11" s="345" t="s">
        <v>1464</v>
      </c>
      <c r="AV11" s="346" t="s">
        <v>1464</v>
      </c>
      <c r="AX11" s="343" t="s">
        <v>369</v>
      </c>
    </row>
    <row r="12" spans="1:51">
      <c r="A12" s="228">
        <v>4</v>
      </c>
      <c r="B12" s="1249"/>
      <c r="C12" s="1250"/>
      <c r="D12" s="1250"/>
      <c r="E12" s="1251"/>
      <c r="F12" s="1244" t="s">
        <v>390</v>
      </c>
      <c r="G12" s="1244"/>
      <c r="H12" s="1244"/>
      <c r="I12" s="1245"/>
      <c r="J12" s="344" t="s">
        <v>533</v>
      </c>
      <c r="K12" s="345" t="s">
        <v>533</v>
      </c>
      <c r="L12" s="346" t="s">
        <v>533</v>
      </c>
      <c r="M12" s="344" t="s">
        <v>619</v>
      </c>
      <c r="N12" s="345" t="s">
        <v>619</v>
      </c>
      <c r="O12" s="346" t="s">
        <v>619</v>
      </c>
      <c r="P12" s="344" t="s">
        <v>673</v>
      </c>
      <c r="Q12" s="345" t="s">
        <v>673</v>
      </c>
      <c r="R12" s="346" t="s">
        <v>673</v>
      </c>
      <c r="S12" s="344" t="s">
        <v>675</v>
      </c>
      <c r="T12" s="345" t="s">
        <v>675</v>
      </c>
      <c r="U12" s="346" t="s">
        <v>675</v>
      </c>
      <c r="V12" s="344" t="s">
        <v>1465</v>
      </c>
      <c r="W12" s="345" t="s">
        <v>1465</v>
      </c>
      <c r="X12" s="346" t="s">
        <v>1465</v>
      </c>
      <c r="Y12" s="344" t="s">
        <v>1466</v>
      </c>
      <c r="Z12" s="345" t="s">
        <v>1466</v>
      </c>
      <c r="AA12" s="346" t="s">
        <v>1466</v>
      </c>
      <c r="AB12" s="344" t="s">
        <v>1467</v>
      </c>
      <c r="AC12" s="345" t="s">
        <v>1467</v>
      </c>
      <c r="AD12" s="346" t="s">
        <v>1467</v>
      </c>
      <c r="AE12" s="344" t="s">
        <v>1468</v>
      </c>
      <c r="AF12" s="345" t="s">
        <v>1468</v>
      </c>
      <c r="AG12" s="346" t="s">
        <v>1468</v>
      </c>
      <c r="AH12" s="344" t="s">
        <v>410</v>
      </c>
      <c r="AI12" s="345" t="s">
        <v>410</v>
      </c>
      <c r="AJ12" s="346" t="s">
        <v>410</v>
      </c>
      <c r="AK12" s="344" t="s">
        <v>1469</v>
      </c>
      <c r="AL12" s="345" t="s">
        <v>1469</v>
      </c>
      <c r="AM12" s="346" t="s">
        <v>1469</v>
      </c>
      <c r="AN12" s="344" t="s">
        <v>1470</v>
      </c>
      <c r="AO12" s="345" t="s">
        <v>1470</v>
      </c>
      <c r="AP12" s="346" t="s">
        <v>1470</v>
      </c>
      <c r="AQ12" s="344" t="s">
        <v>1471</v>
      </c>
      <c r="AR12" s="345" t="s">
        <v>1471</v>
      </c>
      <c r="AS12" s="346" t="s">
        <v>1471</v>
      </c>
      <c r="AT12" s="344" t="s">
        <v>533</v>
      </c>
      <c r="AU12" s="345" t="s">
        <v>533</v>
      </c>
      <c r="AV12" s="346" t="s">
        <v>533</v>
      </c>
    </row>
    <row r="13" spans="1:51" ht="16.2" thickBot="1">
      <c r="A13" s="228">
        <v>5</v>
      </c>
      <c r="B13" s="1252"/>
      <c r="C13" s="1253"/>
      <c r="D13" s="1253"/>
      <c r="E13" s="1254"/>
      <c r="F13" s="1244" t="s">
        <v>391</v>
      </c>
      <c r="G13" s="1244"/>
      <c r="H13" s="1244"/>
      <c r="I13" s="1245"/>
      <c r="J13" s="344" t="s">
        <v>959</v>
      </c>
      <c r="K13" s="345" t="s">
        <v>959</v>
      </c>
      <c r="L13" s="346" t="s">
        <v>959</v>
      </c>
      <c r="M13" s="344" t="s">
        <v>959</v>
      </c>
      <c r="N13" s="345" t="s">
        <v>959</v>
      </c>
      <c r="O13" s="346" t="s">
        <v>959</v>
      </c>
      <c r="P13" s="344" t="s">
        <v>959</v>
      </c>
      <c r="Q13" s="345" t="s">
        <v>959</v>
      </c>
      <c r="R13" s="346" t="s">
        <v>959</v>
      </c>
      <c r="S13" s="344" t="s">
        <v>959</v>
      </c>
      <c r="T13" s="345" t="s">
        <v>959</v>
      </c>
      <c r="U13" s="346" t="s">
        <v>959</v>
      </c>
      <c r="V13" s="344" t="s">
        <v>959</v>
      </c>
      <c r="W13" s="345" t="s">
        <v>959</v>
      </c>
      <c r="X13" s="346" t="s">
        <v>959</v>
      </c>
      <c r="Y13" s="344" t="s">
        <v>959</v>
      </c>
      <c r="Z13" s="345" t="s">
        <v>959</v>
      </c>
      <c r="AA13" s="346" t="s">
        <v>959</v>
      </c>
      <c r="AB13" s="344" t="s">
        <v>959</v>
      </c>
      <c r="AC13" s="345" t="s">
        <v>959</v>
      </c>
      <c r="AD13" s="346" t="s">
        <v>959</v>
      </c>
      <c r="AE13" s="344" t="s">
        <v>959</v>
      </c>
      <c r="AF13" s="345" t="s">
        <v>959</v>
      </c>
      <c r="AG13" s="346" t="s">
        <v>959</v>
      </c>
      <c r="AH13" s="344" t="s">
        <v>959</v>
      </c>
      <c r="AI13" s="345" t="s">
        <v>959</v>
      </c>
      <c r="AJ13" s="346" t="s">
        <v>959</v>
      </c>
      <c r="AK13" s="344" t="s">
        <v>959</v>
      </c>
      <c r="AL13" s="345" t="s">
        <v>959</v>
      </c>
      <c r="AM13" s="346" t="s">
        <v>959</v>
      </c>
      <c r="AN13" s="344" t="s">
        <v>959</v>
      </c>
      <c r="AO13" s="345" t="s">
        <v>959</v>
      </c>
      <c r="AP13" s="346" t="s">
        <v>959</v>
      </c>
      <c r="AQ13" s="344" t="s">
        <v>959</v>
      </c>
      <c r="AR13" s="345" t="s">
        <v>959</v>
      </c>
      <c r="AS13" s="346" t="s">
        <v>959</v>
      </c>
      <c r="AT13" s="344" t="s">
        <v>959</v>
      </c>
      <c r="AU13" s="345" t="s">
        <v>959</v>
      </c>
      <c r="AV13" s="346" t="s">
        <v>959</v>
      </c>
    </row>
    <row r="14" spans="1:51">
      <c r="A14" s="228">
        <v>6</v>
      </c>
      <c r="B14" s="347"/>
      <c r="C14" s="348"/>
      <c r="D14" s="348"/>
      <c r="E14" s="348"/>
      <c r="F14" s="348"/>
      <c r="G14" s="348"/>
      <c r="H14" s="348"/>
      <c r="I14" s="349"/>
      <c r="J14" s="347"/>
      <c r="K14" s="348"/>
      <c r="L14" s="349"/>
      <c r="M14" s="347"/>
      <c r="N14" s="348"/>
      <c r="O14" s="349"/>
      <c r="P14" s="347"/>
      <c r="Q14" s="348"/>
      <c r="R14" s="349"/>
      <c r="S14" s="347"/>
      <c r="T14" s="348"/>
      <c r="U14" s="349"/>
      <c r="V14" s="347"/>
      <c r="W14" s="348"/>
      <c r="X14" s="349"/>
      <c r="Y14" s="347"/>
      <c r="Z14" s="348"/>
      <c r="AA14" s="349"/>
      <c r="AB14" s="347"/>
      <c r="AC14" s="348"/>
      <c r="AD14" s="349"/>
      <c r="AE14" s="347"/>
      <c r="AF14" s="348"/>
      <c r="AG14" s="349"/>
      <c r="AH14" s="347"/>
      <c r="AI14" s="348"/>
      <c r="AJ14" s="349"/>
      <c r="AK14" s="347"/>
      <c r="AL14" s="348"/>
      <c r="AM14" s="349"/>
      <c r="AN14" s="347"/>
      <c r="AO14" s="348"/>
      <c r="AP14" s="349"/>
      <c r="AQ14" s="347"/>
      <c r="AR14" s="348"/>
      <c r="AS14" s="349"/>
      <c r="AT14" s="347"/>
      <c r="AU14" s="348"/>
      <c r="AV14" s="349"/>
      <c r="AW14" s="349"/>
      <c r="AX14" s="349"/>
      <c r="AY14" s="349"/>
    </row>
    <row r="15" spans="1:51" ht="31.2">
      <c r="A15" s="228">
        <v>7</v>
      </c>
      <c r="B15" s="352"/>
      <c r="C15" s="353" t="s">
        <v>1472</v>
      </c>
      <c r="D15" s="353"/>
      <c r="E15" s="353" t="s">
        <v>1473</v>
      </c>
      <c r="F15" s="353" t="s">
        <v>1474</v>
      </c>
      <c r="G15" s="353" t="s">
        <v>1475</v>
      </c>
      <c r="H15" s="353" t="s">
        <v>1476</v>
      </c>
      <c r="I15" s="354" t="s">
        <v>1477</v>
      </c>
      <c r="J15" s="352"/>
      <c r="K15" s="355"/>
      <c r="L15" s="356"/>
      <c r="M15" s="352"/>
      <c r="N15" s="355"/>
      <c r="O15" s="356"/>
      <c r="P15" s="352"/>
      <c r="Q15" s="355"/>
      <c r="R15" s="356"/>
      <c r="S15" s="352"/>
      <c r="T15" s="355"/>
      <c r="U15" s="356"/>
      <c r="V15" s="352"/>
      <c r="W15" s="355"/>
      <c r="X15" s="356"/>
      <c r="Y15" s="352"/>
      <c r="Z15" s="355"/>
      <c r="AA15" s="356"/>
      <c r="AB15" s="352"/>
      <c r="AC15" s="355"/>
      <c r="AD15" s="356"/>
      <c r="AE15" s="352"/>
      <c r="AF15" s="355"/>
      <c r="AG15" s="356"/>
      <c r="AH15" s="352"/>
      <c r="AI15" s="355"/>
      <c r="AJ15" s="356"/>
      <c r="AK15" s="352"/>
      <c r="AL15" s="355"/>
      <c r="AM15" s="356"/>
      <c r="AN15" s="352"/>
      <c r="AO15" s="355"/>
      <c r="AP15" s="356"/>
      <c r="AQ15" s="352"/>
      <c r="AR15" s="355"/>
      <c r="AS15" s="356"/>
      <c r="AT15" s="352"/>
      <c r="AU15" s="355"/>
      <c r="AV15" s="356"/>
    </row>
    <row r="16" spans="1:51" ht="16.2">
      <c r="A16" s="228">
        <v>8</v>
      </c>
      <c r="B16" s="1255" t="s">
        <v>1479</v>
      </c>
      <c r="C16" s="1256"/>
      <c r="D16" s="1256"/>
      <c r="E16" s="1256"/>
      <c r="F16" s="1256"/>
      <c r="G16" s="1256"/>
      <c r="H16" s="1256"/>
      <c r="I16" s="1257"/>
      <c r="J16" s="357"/>
      <c r="K16" s="358"/>
      <c r="L16" s="359"/>
      <c r="M16" s="357"/>
      <c r="N16" s="358"/>
      <c r="O16" s="359"/>
      <c r="P16" s="357"/>
      <c r="Q16" s="358"/>
      <c r="R16" s="359"/>
      <c r="S16" s="357"/>
      <c r="T16" s="358"/>
      <c r="U16" s="359"/>
      <c r="V16" s="357"/>
      <c r="W16" s="358"/>
      <c r="X16" s="359"/>
      <c r="Y16" s="357"/>
      <c r="Z16" s="358"/>
      <c r="AA16" s="359"/>
      <c r="AB16" s="357"/>
      <c r="AC16" s="358"/>
      <c r="AD16" s="359"/>
      <c r="AE16" s="357"/>
      <c r="AF16" s="358"/>
      <c r="AG16" s="359"/>
      <c r="AH16" s="357"/>
      <c r="AI16" s="358"/>
      <c r="AJ16" s="359"/>
      <c r="AK16" s="357"/>
      <c r="AL16" s="358"/>
      <c r="AM16" s="359"/>
      <c r="AN16" s="357"/>
      <c r="AO16" s="358"/>
      <c r="AP16" s="359"/>
      <c r="AQ16" s="357"/>
      <c r="AR16" s="358"/>
      <c r="AS16" s="359"/>
      <c r="AT16" s="357"/>
      <c r="AU16" s="358"/>
      <c r="AV16" s="359"/>
    </row>
    <row r="17" spans="1:56">
      <c r="A17" s="228">
        <v>9</v>
      </c>
      <c r="B17" s="350" t="s">
        <v>1480</v>
      </c>
      <c r="C17" s="345" t="s">
        <v>1062</v>
      </c>
      <c r="D17" s="345"/>
      <c r="E17" s="345" t="s">
        <v>1481</v>
      </c>
      <c r="F17" s="345" t="s">
        <v>821</v>
      </c>
      <c r="G17" s="345" t="s">
        <v>1482</v>
      </c>
      <c r="H17" s="345" t="s">
        <v>402</v>
      </c>
      <c r="I17" s="346" t="s">
        <v>402</v>
      </c>
      <c r="J17" s="357">
        <v>0</v>
      </c>
      <c r="K17" s="358">
        <v>0</v>
      </c>
      <c r="L17" s="359"/>
      <c r="M17" s="357">
        <v>0</v>
      </c>
      <c r="N17" s="358">
        <v>0</v>
      </c>
      <c r="O17" s="359"/>
      <c r="P17" s="357">
        <v>0</v>
      </c>
      <c r="Q17" s="358">
        <v>0</v>
      </c>
      <c r="R17" s="359"/>
      <c r="S17" s="357">
        <v>0</v>
      </c>
      <c r="T17" s="358">
        <v>0</v>
      </c>
      <c r="U17" s="359"/>
      <c r="V17" s="357">
        <v>0</v>
      </c>
      <c r="W17" s="358">
        <v>0</v>
      </c>
      <c r="X17" s="359"/>
      <c r="Y17" s="357">
        <v>0</v>
      </c>
      <c r="Z17" s="358">
        <v>0</v>
      </c>
      <c r="AA17" s="359"/>
      <c r="AB17" s="357">
        <v>0</v>
      </c>
      <c r="AC17" s="358">
        <v>0</v>
      </c>
      <c r="AD17" s="359"/>
      <c r="AE17" s="357">
        <v>0</v>
      </c>
      <c r="AF17" s="358">
        <v>0</v>
      </c>
      <c r="AG17" s="359"/>
      <c r="AH17" s="357">
        <v>0</v>
      </c>
      <c r="AI17" s="358">
        <v>0</v>
      </c>
      <c r="AJ17" s="359"/>
      <c r="AK17" s="357">
        <v>0</v>
      </c>
      <c r="AL17" s="358">
        <v>0</v>
      </c>
      <c r="AM17" s="359"/>
      <c r="AN17" s="357">
        <v>0</v>
      </c>
      <c r="AO17" s="358">
        <v>0</v>
      </c>
      <c r="AP17" s="359"/>
      <c r="AQ17" s="357">
        <v>0</v>
      </c>
      <c r="AR17" s="358">
        <v>0</v>
      </c>
      <c r="AS17" s="359"/>
      <c r="AT17" s="357">
        <v>0</v>
      </c>
      <c r="AU17" s="358">
        <v>0</v>
      </c>
      <c r="AV17" s="359"/>
    </row>
    <row r="18" spans="1:56">
      <c r="A18" s="16">
        <v>10</v>
      </c>
      <c r="B18" s="350" t="s">
        <v>1483</v>
      </c>
      <c r="C18" s="345" t="s">
        <v>1062</v>
      </c>
      <c r="D18" s="345"/>
      <c r="E18" s="345" t="s">
        <v>402</v>
      </c>
      <c r="F18" s="345" t="s">
        <v>821</v>
      </c>
      <c r="G18" s="345" t="s">
        <v>1484</v>
      </c>
      <c r="H18" s="345" t="s">
        <v>402</v>
      </c>
      <c r="I18" s="346" t="s">
        <v>402</v>
      </c>
      <c r="J18" s="357">
        <v>-2279109.5</v>
      </c>
      <c r="K18" s="360">
        <v>-2238048.0300000003</v>
      </c>
      <c r="L18" s="359">
        <v>-41061.47</v>
      </c>
      <c r="M18" s="357">
        <v>-2226742.2999999998</v>
      </c>
      <c r="N18" s="360">
        <v>-2177832.12</v>
      </c>
      <c r="O18" s="359">
        <v>-48910.18</v>
      </c>
      <c r="P18" s="357">
        <v>-2231648.46</v>
      </c>
      <c r="Q18" s="360">
        <v>-2182738.2800000003</v>
      </c>
      <c r="R18" s="359">
        <v>-48910.18</v>
      </c>
      <c r="S18" s="357">
        <v>-2244974.9500000002</v>
      </c>
      <c r="T18" s="360">
        <v>-2196064.77</v>
      </c>
      <c r="U18" s="359">
        <v>-48910.18</v>
      </c>
      <c r="V18" s="357">
        <v>-2238326.9700000002</v>
      </c>
      <c r="W18" s="360">
        <v>-2188576.84</v>
      </c>
      <c r="X18" s="359">
        <v>-49750.13</v>
      </c>
      <c r="Y18" s="357">
        <v>-2236733.9700000002</v>
      </c>
      <c r="Z18" s="360">
        <v>-2188576.84</v>
      </c>
      <c r="AA18" s="359">
        <v>-48157.13</v>
      </c>
      <c r="AB18" s="357">
        <v>-2236210.0699999998</v>
      </c>
      <c r="AC18" s="360">
        <v>-2186613.7000000002</v>
      </c>
      <c r="AD18" s="359">
        <v>-49596.37</v>
      </c>
      <c r="AE18" s="357">
        <v>-2902309.1</v>
      </c>
      <c r="AF18" s="360">
        <v>-2852426.2</v>
      </c>
      <c r="AG18" s="359">
        <v>-49882.9</v>
      </c>
      <c r="AH18" s="357">
        <v>-2962128.58</v>
      </c>
      <c r="AI18" s="360">
        <v>-2864501.58</v>
      </c>
      <c r="AJ18" s="359">
        <v>-97627</v>
      </c>
      <c r="AK18" s="357">
        <v>-2962128.58</v>
      </c>
      <c r="AL18" s="360">
        <v>-2864501.58</v>
      </c>
      <c r="AM18" s="359">
        <v>-97627</v>
      </c>
      <c r="AN18" s="357">
        <v>-2962128.58</v>
      </c>
      <c r="AO18" s="360">
        <v>-2864501.58</v>
      </c>
      <c r="AP18" s="359">
        <v>-97627</v>
      </c>
      <c r="AQ18" s="357">
        <v>-2960940.58</v>
      </c>
      <c r="AR18" s="360">
        <v>-2863313.58</v>
      </c>
      <c r="AS18" s="359">
        <v>-97627</v>
      </c>
      <c r="AT18" s="357">
        <v>-2978881.44</v>
      </c>
      <c r="AU18" s="360">
        <v>-2863313.58</v>
      </c>
      <c r="AV18" s="359">
        <v>-115567.86</v>
      </c>
      <c r="AW18" s="200">
        <f>+(AT18+J18+(M18+P18+S18+V18+Y18+AB18+AE18+AH18+AK18+AN18+AQ18)*2)/24</f>
        <v>-2566105.6341666658</v>
      </c>
      <c r="AX18" s="200">
        <f t="shared" ref="AX18:AY22" si="0">+(AU18+K18+(N18+Q18+T18+W18+Z18+AC18+AF18+AI18+AL18+AO18+AR18)*2)/24</f>
        <v>-2498360.6562499995</v>
      </c>
      <c r="AY18" s="200">
        <f t="shared" si="0"/>
        <v>-67744.97791666667</v>
      </c>
    </row>
    <row r="19" spans="1:56">
      <c r="A19" s="16">
        <v>11</v>
      </c>
      <c r="B19" s="350" t="s">
        <v>1485</v>
      </c>
      <c r="C19" s="345" t="s">
        <v>1062</v>
      </c>
      <c r="D19" s="345"/>
      <c r="E19" s="345" t="s">
        <v>1478</v>
      </c>
      <c r="F19" s="345" t="s">
        <v>821</v>
      </c>
      <c r="G19" s="345" t="s">
        <v>1486</v>
      </c>
      <c r="H19" s="345" t="s">
        <v>402</v>
      </c>
      <c r="I19" s="346" t="s">
        <v>402</v>
      </c>
      <c r="J19" s="357">
        <v>76970.94</v>
      </c>
      <c r="K19" s="358">
        <v>76970.94</v>
      </c>
      <c r="L19" s="359">
        <v>0</v>
      </c>
      <c r="M19" s="357">
        <v>0</v>
      </c>
      <c r="N19" s="358">
        <v>0</v>
      </c>
      <c r="O19" s="359">
        <v>0</v>
      </c>
      <c r="P19" s="357">
        <v>7662.17</v>
      </c>
      <c r="Q19" s="358">
        <v>7662.17</v>
      </c>
      <c r="R19" s="359">
        <v>0</v>
      </c>
      <c r="S19" s="357">
        <v>7662.17</v>
      </c>
      <c r="T19" s="358">
        <v>7662.17</v>
      </c>
      <c r="U19" s="359">
        <v>0</v>
      </c>
      <c r="V19" s="357">
        <v>16274.85</v>
      </c>
      <c r="W19" s="358">
        <v>16274.85</v>
      </c>
      <c r="X19" s="359">
        <v>0</v>
      </c>
      <c r="Y19" s="357">
        <v>46932.4</v>
      </c>
      <c r="Z19" s="358">
        <v>46932.4</v>
      </c>
      <c r="AA19" s="359">
        <v>0</v>
      </c>
      <c r="AB19" s="357">
        <v>111861.2</v>
      </c>
      <c r="AC19" s="358">
        <v>111861.2</v>
      </c>
      <c r="AD19" s="359">
        <v>0</v>
      </c>
      <c r="AE19" s="357">
        <v>111861.2</v>
      </c>
      <c r="AF19" s="358">
        <v>111861.2</v>
      </c>
      <c r="AG19" s="359">
        <v>0</v>
      </c>
      <c r="AH19" s="357">
        <v>111861.2</v>
      </c>
      <c r="AI19" s="358">
        <v>111861.2</v>
      </c>
      <c r="AJ19" s="359">
        <v>0</v>
      </c>
      <c r="AK19" s="357">
        <v>111861.2</v>
      </c>
      <c r="AL19" s="358">
        <v>111861.2</v>
      </c>
      <c r="AM19" s="359">
        <v>0</v>
      </c>
      <c r="AN19" s="357">
        <v>111861.2</v>
      </c>
      <c r="AO19" s="358">
        <v>111861.2</v>
      </c>
      <c r="AP19" s="359">
        <v>0</v>
      </c>
      <c r="AQ19" s="357">
        <v>168335.9</v>
      </c>
      <c r="AR19" s="358">
        <v>168335.9</v>
      </c>
      <c r="AS19" s="359">
        <v>0</v>
      </c>
      <c r="AT19" s="357">
        <v>168335.9</v>
      </c>
      <c r="AU19" s="358">
        <v>168335.9</v>
      </c>
      <c r="AV19" s="359">
        <v>0</v>
      </c>
      <c r="AW19" s="200">
        <f t="shared" ref="AW19:AW22" si="1">+(AT19+J19+(M19+P19+S19+V19+Y19+AB19+AE19+AH19+AK19+AN19+AQ19)*2)/24</f>
        <v>77402.242500000008</v>
      </c>
      <c r="AX19" s="200">
        <f t="shared" si="0"/>
        <v>77402.242500000008</v>
      </c>
      <c r="AY19" s="200">
        <f t="shared" si="0"/>
        <v>0</v>
      </c>
    </row>
    <row r="20" spans="1:56">
      <c r="A20" s="16">
        <v>12</v>
      </c>
      <c r="B20" s="350" t="s">
        <v>1487</v>
      </c>
      <c r="C20" s="345" t="s">
        <v>1062</v>
      </c>
      <c r="D20" s="345"/>
      <c r="E20" s="345" t="s">
        <v>1478</v>
      </c>
      <c r="F20" s="345" t="s">
        <v>821</v>
      </c>
      <c r="G20" s="345" t="s">
        <v>1488</v>
      </c>
      <c r="H20" s="345" t="s">
        <v>402</v>
      </c>
      <c r="I20" s="346" t="s">
        <v>402</v>
      </c>
      <c r="J20" s="361">
        <v>0</v>
      </c>
      <c r="K20" s="362">
        <v>0.01</v>
      </c>
      <c r="L20" s="363">
        <v>-0.01</v>
      </c>
      <c r="M20" s="361">
        <v>0</v>
      </c>
      <c r="N20" s="362">
        <v>0.01</v>
      </c>
      <c r="O20" s="363">
        <v>-0.01</v>
      </c>
      <c r="P20" s="361">
        <v>0</v>
      </c>
      <c r="Q20" s="362">
        <v>0.01</v>
      </c>
      <c r="R20" s="363">
        <v>-0.01</v>
      </c>
      <c r="S20" s="361">
        <v>0</v>
      </c>
      <c r="T20" s="362">
        <v>0.01</v>
      </c>
      <c r="U20" s="363">
        <v>-0.01</v>
      </c>
      <c r="V20" s="361">
        <v>0</v>
      </c>
      <c r="W20" s="362">
        <v>0.01</v>
      </c>
      <c r="X20" s="363">
        <v>-0.01</v>
      </c>
      <c r="Y20" s="361">
        <v>0</v>
      </c>
      <c r="Z20" s="362">
        <v>0.01</v>
      </c>
      <c r="AA20" s="363">
        <v>-0.01</v>
      </c>
      <c r="AB20" s="361">
        <v>0</v>
      </c>
      <c r="AC20" s="362">
        <v>0.01</v>
      </c>
      <c r="AD20" s="363">
        <v>-0.01</v>
      </c>
      <c r="AE20" s="361">
        <v>0</v>
      </c>
      <c r="AF20" s="362">
        <v>0.01</v>
      </c>
      <c r="AG20" s="363">
        <v>-0.01</v>
      </c>
      <c r="AH20" s="361">
        <v>0</v>
      </c>
      <c r="AI20" s="362">
        <v>0.01</v>
      </c>
      <c r="AJ20" s="363">
        <v>-0.01</v>
      </c>
      <c r="AK20" s="361">
        <v>0</v>
      </c>
      <c r="AL20" s="362">
        <v>0.01</v>
      </c>
      <c r="AM20" s="363">
        <v>-0.01</v>
      </c>
      <c r="AN20" s="361">
        <v>0</v>
      </c>
      <c r="AO20" s="362">
        <v>0.01</v>
      </c>
      <c r="AP20" s="363">
        <v>-0.01</v>
      </c>
      <c r="AQ20" s="361">
        <v>0</v>
      </c>
      <c r="AR20" s="362">
        <v>0.01</v>
      </c>
      <c r="AS20" s="363">
        <v>-0.01</v>
      </c>
      <c r="AT20" s="361">
        <v>0</v>
      </c>
      <c r="AU20" s="362">
        <v>0.01</v>
      </c>
      <c r="AV20" s="363">
        <v>-0.01</v>
      </c>
      <c r="AW20" s="200">
        <f t="shared" si="1"/>
        <v>0</v>
      </c>
      <c r="AX20" s="200">
        <f t="shared" si="0"/>
        <v>9.9999999999999985E-3</v>
      </c>
      <c r="AY20" s="200">
        <f t="shared" si="0"/>
        <v>-9.9999999999999985E-3</v>
      </c>
    </row>
    <row r="21" spans="1:56">
      <c r="A21" s="228">
        <v>13</v>
      </c>
      <c r="B21" s="350" t="s">
        <v>1489</v>
      </c>
      <c r="C21" s="345" t="s">
        <v>1062</v>
      </c>
      <c r="D21" s="345"/>
      <c r="E21" s="345" t="s">
        <v>1478</v>
      </c>
      <c r="F21" s="345" t="s">
        <v>821</v>
      </c>
      <c r="G21" s="345" t="s">
        <v>1490</v>
      </c>
      <c r="H21" s="345" t="s">
        <v>402</v>
      </c>
      <c r="I21" s="346" t="s">
        <v>402</v>
      </c>
      <c r="J21" s="361">
        <v>-1873090.42</v>
      </c>
      <c r="K21" s="362">
        <v>-1418589.59</v>
      </c>
      <c r="L21" s="363">
        <v>-454500.83</v>
      </c>
      <c r="M21" s="361">
        <v>-1871940.47</v>
      </c>
      <c r="N21" s="362">
        <v>-1408934.05</v>
      </c>
      <c r="O21" s="363">
        <v>-463006.42</v>
      </c>
      <c r="P21" s="361">
        <v>-1871424.42</v>
      </c>
      <c r="Q21" s="362">
        <v>-1408545.62</v>
      </c>
      <c r="R21" s="363">
        <v>-462878.8</v>
      </c>
      <c r="S21" s="361">
        <v>-1801886.81</v>
      </c>
      <c r="T21" s="362">
        <v>-1356204.66</v>
      </c>
      <c r="U21" s="363">
        <v>-445682.15</v>
      </c>
      <c r="V21" s="361">
        <v>-1811877.29</v>
      </c>
      <c r="W21" s="362">
        <v>-1363724.49</v>
      </c>
      <c r="X21" s="363">
        <v>-448152.8</v>
      </c>
      <c r="Y21" s="361">
        <v>-1835727.71</v>
      </c>
      <c r="Z21" s="362">
        <v>-1381676.7</v>
      </c>
      <c r="AA21" s="363">
        <v>-454051.01</v>
      </c>
      <c r="AB21" s="361">
        <v>-1810275.43</v>
      </c>
      <c r="AC21" s="362">
        <v>-1362518.77</v>
      </c>
      <c r="AD21" s="363">
        <v>-447756.66</v>
      </c>
      <c r="AE21" s="361">
        <v>-1806885.94</v>
      </c>
      <c r="AF21" s="362">
        <v>-1359967.5</v>
      </c>
      <c r="AG21" s="363">
        <v>-446918.44</v>
      </c>
      <c r="AH21" s="361">
        <v>-1807118.06</v>
      </c>
      <c r="AI21" s="362">
        <v>-1360142.22</v>
      </c>
      <c r="AJ21" s="363">
        <v>-446975.84</v>
      </c>
      <c r="AK21" s="361">
        <v>-1718242.87</v>
      </c>
      <c r="AL21" s="362">
        <v>-1293245.8600000001</v>
      </c>
      <c r="AM21" s="363">
        <v>-424997.01</v>
      </c>
      <c r="AN21" s="361">
        <v>-1714074.84</v>
      </c>
      <c r="AO21" s="362">
        <v>-1290108.58</v>
      </c>
      <c r="AP21" s="363">
        <v>-423966.26</v>
      </c>
      <c r="AQ21" s="361">
        <v>-1706168.66</v>
      </c>
      <c r="AR21" s="362">
        <v>-1284157.6000000001</v>
      </c>
      <c r="AS21" s="363">
        <v>-422011.06</v>
      </c>
      <c r="AT21" s="361">
        <v>-1671584.25</v>
      </c>
      <c r="AU21" s="362">
        <v>-1258125.9099999999</v>
      </c>
      <c r="AV21" s="363">
        <v>-413458.34</v>
      </c>
      <c r="AW21" s="200">
        <f t="shared" si="1"/>
        <v>-1793996.6529166668</v>
      </c>
      <c r="AX21" s="200">
        <f t="shared" si="0"/>
        <v>-1350631.9833333334</v>
      </c>
      <c r="AY21" s="200">
        <f t="shared" si="0"/>
        <v>-443364.66958333325</v>
      </c>
    </row>
    <row r="22" spans="1:56" ht="16.2" thickBot="1">
      <c r="A22" s="228">
        <v>14</v>
      </c>
      <c r="B22" s="350" t="s">
        <v>1491</v>
      </c>
      <c r="C22" s="345" t="s">
        <v>1062</v>
      </c>
      <c r="D22" s="345"/>
      <c r="E22" s="345" t="s">
        <v>1478</v>
      </c>
      <c r="F22" s="345" t="s">
        <v>821</v>
      </c>
      <c r="G22" s="345" t="s">
        <v>1492</v>
      </c>
      <c r="H22" s="345" t="s">
        <v>402</v>
      </c>
      <c r="I22" s="346" t="s">
        <v>402</v>
      </c>
      <c r="J22" s="361">
        <v>0</v>
      </c>
      <c r="K22" s="362">
        <v>0</v>
      </c>
      <c r="L22" s="363">
        <v>0</v>
      </c>
      <c r="M22" s="361">
        <v>0</v>
      </c>
      <c r="N22" s="362">
        <v>0</v>
      </c>
      <c r="O22" s="363">
        <v>0</v>
      </c>
      <c r="P22" s="361">
        <v>0</v>
      </c>
      <c r="Q22" s="362">
        <v>0</v>
      </c>
      <c r="R22" s="363">
        <v>0</v>
      </c>
      <c r="S22" s="361">
        <v>0</v>
      </c>
      <c r="T22" s="362">
        <v>0</v>
      </c>
      <c r="U22" s="363">
        <v>0</v>
      </c>
      <c r="V22" s="361">
        <v>0</v>
      </c>
      <c r="W22" s="362">
        <v>0</v>
      </c>
      <c r="X22" s="363">
        <v>0</v>
      </c>
      <c r="Y22" s="361">
        <v>0</v>
      </c>
      <c r="Z22" s="362">
        <v>0</v>
      </c>
      <c r="AA22" s="363">
        <v>0</v>
      </c>
      <c r="AB22" s="361">
        <v>0</v>
      </c>
      <c r="AC22" s="362">
        <v>0</v>
      </c>
      <c r="AD22" s="363">
        <v>0</v>
      </c>
      <c r="AE22" s="361">
        <v>0</v>
      </c>
      <c r="AF22" s="362">
        <v>0</v>
      </c>
      <c r="AG22" s="363">
        <v>0</v>
      </c>
      <c r="AH22" s="361">
        <v>0</v>
      </c>
      <c r="AI22" s="362">
        <v>0</v>
      </c>
      <c r="AJ22" s="363">
        <v>0</v>
      </c>
      <c r="AK22" s="361">
        <v>0</v>
      </c>
      <c r="AL22" s="362">
        <v>0</v>
      </c>
      <c r="AM22" s="363">
        <v>0</v>
      </c>
      <c r="AN22" s="361">
        <v>0</v>
      </c>
      <c r="AO22" s="362">
        <v>0</v>
      </c>
      <c r="AP22" s="363">
        <v>0</v>
      </c>
      <c r="AQ22" s="361">
        <v>0</v>
      </c>
      <c r="AR22" s="362">
        <v>0</v>
      </c>
      <c r="AS22" s="363">
        <v>0</v>
      </c>
      <c r="AT22" s="361">
        <v>0</v>
      </c>
      <c r="AU22" s="362">
        <v>0</v>
      </c>
      <c r="AV22" s="363">
        <v>0</v>
      </c>
      <c r="AW22" s="364">
        <f t="shared" si="1"/>
        <v>0</v>
      </c>
      <c r="AX22" s="364">
        <f t="shared" si="0"/>
        <v>0</v>
      </c>
      <c r="AY22" s="364">
        <f t="shared" si="0"/>
        <v>0</v>
      </c>
    </row>
    <row r="23" spans="1:56" ht="16.2" thickBot="1">
      <c r="A23" s="228">
        <v>15</v>
      </c>
      <c r="B23" s="350"/>
      <c r="C23" s="345"/>
      <c r="D23" s="345"/>
      <c r="E23" s="345"/>
      <c r="F23" s="345"/>
      <c r="G23" s="345"/>
      <c r="H23" s="345"/>
      <c r="I23" s="346"/>
      <c r="J23" s="365">
        <f>SUM(J18:J22)</f>
        <v>-4075228.98</v>
      </c>
      <c r="K23" s="366">
        <f>SUM(K17:K22)</f>
        <v>-3579666.6700000009</v>
      </c>
      <c r="L23" s="367">
        <f>SUM(L18:L22)</f>
        <v>-495562.31</v>
      </c>
      <c r="M23" s="365">
        <f>SUM(M17:M22)</f>
        <v>-4098682.7699999996</v>
      </c>
      <c r="N23" s="366">
        <f>SUM(N17:N22)</f>
        <v>-3586766.16</v>
      </c>
      <c r="O23" s="367">
        <f>SUM(O18:O22)</f>
        <v>-511916.61</v>
      </c>
      <c r="P23" s="365">
        <f>SUM(P17:P22)</f>
        <v>-4095410.71</v>
      </c>
      <c r="Q23" s="366">
        <f>SUM(Q17:Q22)</f>
        <v>-3583621.7200000007</v>
      </c>
      <c r="R23" s="367">
        <f>SUM(R18:R22)</f>
        <v>-511788.99</v>
      </c>
      <c r="S23" s="365">
        <f>SUM(S17:S22)</f>
        <v>-4039199.5900000003</v>
      </c>
      <c r="T23" s="366">
        <f>SUM(T17:T22)</f>
        <v>-3544607.25</v>
      </c>
      <c r="U23" s="367">
        <f>SUM(U18:U22)</f>
        <v>-494592.34</v>
      </c>
      <c r="V23" s="365">
        <f>SUM(V17:V22)</f>
        <v>-4033929.41</v>
      </c>
      <c r="W23" s="366">
        <f>SUM(W17:W22)</f>
        <v>-3536026.4699999997</v>
      </c>
      <c r="X23" s="367">
        <f>SUM(X18:X22)</f>
        <v>-497902.94</v>
      </c>
      <c r="Y23" s="365">
        <f>SUM(Y17:Y22)</f>
        <v>-4025529.2800000003</v>
      </c>
      <c r="Z23" s="366">
        <f>SUM(Z17:Z22)</f>
        <v>-3523321.13</v>
      </c>
      <c r="AA23" s="367">
        <f>SUM(AA18:AA22)</f>
        <v>-502208.15</v>
      </c>
      <c r="AB23" s="365">
        <f>SUM(AB17:AB22)</f>
        <v>-3934624.3</v>
      </c>
      <c r="AC23" s="366">
        <f>SUM(AC17:AC22)</f>
        <v>-3437271.2600000002</v>
      </c>
      <c r="AD23" s="367">
        <f>SUM(AD18:AD22)</f>
        <v>-497353.04</v>
      </c>
      <c r="AE23" s="365">
        <f>SUM(AE17:AE22)</f>
        <v>-4597333.84</v>
      </c>
      <c r="AF23" s="366">
        <f>SUM(AF17:AF22)</f>
        <v>-4100532.49</v>
      </c>
      <c r="AG23" s="367">
        <f>SUM(AG18:AG22)</f>
        <v>-496801.35</v>
      </c>
      <c r="AH23" s="365">
        <f>SUM(AH17:AH22)</f>
        <v>-4657385.4399999995</v>
      </c>
      <c r="AI23" s="366">
        <f>SUM(AI17:AI22)</f>
        <v>-4112782.59</v>
      </c>
      <c r="AJ23" s="367">
        <f>SUM(AJ18:AJ22)</f>
        <v>-544602.85</v>
      </c>
      <c r="AK23" s="365">
        <f>SUM(AK17:AK22)</f>
        <v>-4568510.25</v>
      </c>
      <c r="AL23" s="366">
        <f>SUM(AL17:AL22)</f>
        <v>-4045886.2300000004</v>
      </c>
      <c r="AM23" s="367">
        <f>SUM(AM18:AM22)</f>
        <v>-522624.02</v>
      </c>
      <c r="AN23" s="365">
        <f>SUM(AN17:AN22)</f>
        <v>-4564342.22</v>
      </c>
      <c r="AO23" s="366">
        <f>SUM(AO17:AO22)</f>
        <v>-4042748.95</v>
      </c>
      <c r="AP23" s="367">
        <f>SUM(AP18:AP22)</f>
        <v>-521593.27</v>
      </c>
      <c r="AQ23" s="365">
        <f>SUM(AQ17:AQ22)</f>
        <v>-4498773.34</v>
      </c>
      <c r="AR23" s="366">
        <f>SUM(AR17:AR22)</f>
        <v>-3979135.2700000005</v>
      </c>
      <c r="AS23" s="367">
        <f>SUM(AS18:AS22)</f>
        <v>-519638.07</v>
      </c>
      <c r="AT23" s="365">
        <f>SUM(AT17:AT22)</f>
        <v>-4482129.79</v>
      </c>
      <c r="AU23" s="366">
        <f>SUM(AU17:AU22)</f>
        <v>-3953103.58</v>
      </c>
      <c r="AV23" s="367">
        <f>SUM(AV18:AV22)</f>
        <v>-529026.21</v>
      </c>
      <c r="AW23" s="368">
        <f>SUM(AW18:AW22)</f>
        <v>-4282700.0445833327</v>
      </c>
      <c r="AX23" s="369">
        <f t="shared" ref="AX23:AY23" si="2">SUM(AX18:AX22)</f>
        <v>-3771590.387083333</v>
      </c>
      <c r="AY23" s="370">
        <f t="shared" si="2"/>
        <v>-511109.65749999991</v>
      </c>
    </row>
    <row r="24" spans="1:56" ht="16.2" thickTop="1">
      <c r="A24" s="228">
        <v>16</v>
      </c>
      <c r="B24" s="350"/>
      <c r="C24" s="345"/>
      <c r="D24" s="345"/>
      <c r="E24" s="345"/>
      <c r="F24" s="345"/>
      <c r="G24" s="345"/>
      <c r="H24" s="345"/>
      <c r="I24" s="346"/>
      <c r="J24" s="357"/>
      <c r="K24" s="358"/>
      <c r="L24" s="359">
        <v>8.7311491370201111E-10</v>
      </c>
      <c r="M24" s="357"/>
      <c r="N24" s="358"/>
      <c r="O24" s="359">
        <v>5.8207660913467407E-10</v>
      </c>
      <c r="P24" s="357"/>
      <c r="Q24" s="358"/>
      <c r="R24" s="359">
        <v>6.9849193096160889E-10</v>
      </c>
      <c r="S24" s="357"/>
      <c r="T24" s="358"/>
      <c r="U24" s="359">
        <v>0</v>
      </c>
      <c r="V24" s="357"/>
      <c r="W24" s="358"/>
      <c r="X24" s="359">
        <v>0</v>
      </c>
      <c r="Y24" s="357"/>
      <c r="Z24" s="358"/>
      <c r="AA24" s="359">
        <v>0</v>
      </c>
      <c r="AB24" s="357"/>
      <c r="AC24" s="358"/>
      <c r="AD24" s="359">
        <v>0</v>
      </c>
      <c r="AE24" s="357"/>
      <c r="AF24" s="358"/>
      <c r="AG24" s="359">
        <v>0</v>
      </c>
      <c r="AH24" s="357"/>
      <c r="AI24" s="358"/>
      <c r="AJ24" s="359">
        <v>0</v>
      </c>
      <c r="AK24" s="357"/>
      <c r="AL24" s="358"/>
      <c r="AM24" s="359">
        <v>4.6566128730773926E-10</v>
      </c>
      <c r="AN24" s="357"/>
      <c r="AO24" s="358"/>
      <c r="AP24" s="359">
        <v>4.6566128730773926E-10</v>
      </c>
      <c r="AQ24" s="357"/>
      <c r="AR24" s="358"/>
      <c r="AS24" s="359">
        <v>6.4028427004814148E-10</v>
      </c>
      <c r="AT24" s="357"/>
      <c r="AU24" s="358"/>
      <c r="AV24" s="359">
        <v>0</v>
      </c>
      <c r="AW24" s="371">
        <f>+'Working Capital Work Paper'!S301</f>
        <v>-4282700.0445833337</v>
      </c>
      <c r="AX24" s="1260" t="s">
        <v>1510</v>
      </c>
      <c r="AY24" s="1260"/>
      <c r="AZ24" s="1260"/>
      <c r="BA24" s="1260"/>
      <c r="BB24" s="1260"/>
      <c r="BC24" s="1260"/>
      <c r="BD24" s="1260"/>
    </row>
    <row r="25" spans="1:56" ht="16.2">
      <c r="A25" s="228">
        <v>17</v>
      </c>
      <c r="B25" s="1255" t="s">
        <v>1493</v>
      </c>
      <c r="C25" s="1256"/>
      <c r="D25" s="1256"/>
      <c r="E25" s="1256"/>
      <c r="F25" s="1256"/>
      <c r="G25" s="1256"/>
      <c r="H25" s="1256"/>
      <c r="I25" s="1257"/>
      <c r="J25" s="372"/>
      <c r="K25" s="373"/>
      <c r="L25" s="374"/>
      <c r="M25" s="372"/>
      <c r="N25" s="373"/>
      <c r="O25" s="374"/>
      <c r="P25" s="372"/>
      <c r="Q25" s="373"/>
      <c r="R25" s="374"/>
      <c r="S25" s="372"/>
      <c r="T25" s="373"/>
      <c r="U25" s="374"/>
      <c r="V25" s="372"/>
      <c r="W25" s="373"/>
      <c r="X25" s="374"/>
      <c r="Y25" s="372"/>
      <c r="Z25" s="373"/>
      <c r="AA25" s="374"/>
      <c r="AB25" s="372"/>
      <c r="AC25" s="373"/>
      <c r="AD25" s="374"/>
      <c r="AE25" s="372"/>
      <c r="AF25" s="373"/>
      <c r="AG25" s="374"/>
      <c r="AH25" s="372"/>
      <c r="AI25" s="373"/>
      <c r="AJ25" s="374"/>
      <c r="AK25" s="372"/>
      <c r="AL25" s="373"/>
      <c r="AM25" s="374"/>
      <c r="AN25" s="372"/>
      <c r="AO25" s="373"/>
      <c r="AP25" s="374"/>
      <c r="AQ25" s="372"/>
      <c r="AR25" s="373"/>
      <c r="AS25" s="374"/>
      <c r="AT25" s="372"/>
      <c r="AU25" s="373"/>
      <c r="AV25" s="374"/>
      <c r="AX25" s="1260"/>
      <c r="AY25" s="1260"/>
      <c r="AZ25" s="1260"/>
      <c r="BA25" s="1260"/>
      <c r="BB25" s="1260"/>
      <c r="BC25" s="1260"/>
      <c r="BD25" s="1260"/>
    </row>
    <row r="26" spans="1:56">
      <c r="A26" s="228">
        <v>18</v>
      </c>
      <c r="B26" s="375" t="s">
        <v>1494</v>
      </c>
      <c r="C26" s="345" t="s">
        <v>1062</v>
      </c>
      <c r="D26" s="345"/>
      <c r="E26" s="345" t="s">
        <v>1478</v>
      </c>
      <c r="F26" s="376" t="s">
        <v>843</v>
      </c>
      <c r="G26" s="376" t="s">
        <v>1495</v>
      </c>
      <c r="H26" s="376" t="s">
        <v>402</v>
      </c>
      <c r="I26" s="377" t="s">
        <v>402</v>
      </c>
      <c r="J26" s="378">
        <v>-95924439.430000007</v>
      </c>
      <c r="K26" s="379">
        <v>-73343826.390000001</v>
      </c>
      <c r="L26" s="380">
        <v>-22580613.039999999</v>
      </c>
      <c r="M26" s="378">
        <v>-95880284.769999996</v>
      </c>
      <c r="N26" s="379">
        <v>-73396357.989999995</v>
      </c>
      <c r="O26" s="380">
        <v>-22483926.780000001</v>
      </c>
      <c r="P26" s="378">
        <v>-95836130.090000004</v>
      </c>
      <c r="Q26" s="379">
        <v>-73362557.579999998</v>
      </c>
      <c r="R26" s="380">
        <v>-22473572.510000002</v>
      </c>
      <c r="S26" s="378">
        <v>-95477141.109999999</v>
      </c>
      <c r="T26" s="379">
        <v>-73087751.519999996</v>
      </c>
      <c r="U26" s="380">
        <v>-22389389.59</v>
      </c>
      <c r="V26" s="378">
        <v>-95326147.390000001</v>
      </c>
      <c r="W26" s="379">
        <v>-72972165.829999998</v>
      </c>
      <c r="X26" s="380">
        <v>-22353981.559999999</v>
      </c>
      <c r="Y26" s="378">
        <v>-95175153.719999999</v>
      </c>
      <c r="Z26" s="379">
        <v>-72856580.180000007</v>
      </c>
      <c r="AA26" s="380">
        <v>-22318573.539999999</v>
      </c>
      <c r="AB26" s="378">
        <v>-95342095.019999996</v>
      </c>
      <c r="AC26" s="379">
        <v>-72984373.75</v>
      </c>
      <c r="AD26" s="380">
        <v>-22357721.27</v>
      </c>
      <c r="AE26" s="378">
        <v>-95244090.469999999</v>
      </c>
      <c r="AF26" s="379">
        <v>-72909351.269999996</v>
      </c>
      <c r="AG26" s="380">
        <v>-22334739.199999999</v>
      </c>
      <c r="AH26" s="378">
        <v>-95146085.950000003</v>
      </c>
      <c r="AI26" s="379">
        <v>-72834328.810000002</v>
      </c>
      <c r="AJ26" s="380">
        <v>-22311757.140000001</v>
      </c>
      <c r="AK26" s="378">
        <v>-96377115.560000002</v>
      </c>
      <c r="AL26" s="379">
        <v>-73776681.980000004</v>
      </c>
      <c r="AM26" s="380">
        <v>-22600433.579999998</v>
      </c>
      <c r="AN26" s="378">
        <v>-96426781.480000004</v>
      </c>
      <c r="AO26" s="379">
        <v>-73814701.239999995</v>
      </c>
      <c r="AP26" s="380">
        <v>-22612080.239999998</v>
      </c>
      <c r="AQ26" s="378">
        <v>-98123078.379999995</v>
      </c>
      <c r="AR26" s="379">
        <v>-75113216.519999996</v>
      </c>
      <c r="AS26" s="380">
        <v>-23009861.859999999</v>
      </c>
      <c r="AT26" s="378">
        <v>-98089298.930000007</v>
      </c>
      <c r="AU26" s="379">
        <v>-75087358.349999994</v>
      </c>
      <c r="AV26" s="380">
        <v>-23001940.579999998</v>
      </c>
      <c r="AW26" s="200">
        <f t="shared" ref="AW26:AW29" si="3">+(AT26+J26+(M26+P26+S26+V26+Y26+AB26+AE26+AH26+AK26+AN26+AQ26)*2)/24</f>
        <v>-95946747.760000005</v>
      </c>
      <c r="AX26" s="200">
        <f t="shared" ref="AX26:AX29" si="4">+(AU26+K26+(N26+Q26+T26+W26+Z26+AC26+AF26+AI26+AL26+AO26+AR26)*2)/24</f>
        <v>-73443638.25333333</v>
      </c>
      <c r="AY26" s="200">
        <f t="shared" ref="AY26:AY29" si="5">+(AV26+L26+(O26+R26+U26+X26+AA26+AD26+AG26+AJ26+AM26+AP26+AS26)*2)/24</f>
        <v>-22503109.506666671</v>
      </c>
    </row>
    <row r="27" spans="1:56">
      <c r="A27" s="228">
        <v>19</v>
      </c>
      <c r="B27" s="375" t="s">
        <v>1496</v>
      </c>
      <c r="C27" s="345" t="s">
        <v>1062</v>
      </c>
      <c r="D27" s="345"/>
      <c r="E27" s="345" t="s">
        <v>1478</v>
      </c>
      <c r="F27" s="376" t="s">
        <v>845</v>
      </c>
      <c r="G27" s="376" t="s">
        <v>1497</v>
      </c>
      <c r="H27" s="376" t="s">
        <v>402</v>
      </c>
      <c r="I27" s="377" t="s">
        <v>402</v>
      </c>
      <c r="J27" s="378">
        <v>-298910.77</v>
      </c>
      <c r="K27" s="379">
        <v>-228547.15</v>
      </c>
      <c r="L27" s="380">
        <v>-70363.62</v>
      </c>
      <c r="M27" s="378">
        <v>-297733.95</v>
      </c>
      <c r="N27" s="379">
        <v>-227915.33</v>
      </c>
      <c r="O27" s="380">
        <v>-69818.62</v>
      </c>
      <c r="P27" s="378">
        <v>-296557.15000000002</v>
      </c>
      <c r="Q27" s="379">
        <v>-227014.49</v>
      </c>
      <c r="R27" s="380">
        <v>-69542.66</v>
      </c>
      <c r="S27" s="378">
        <v>-295380.34999999998</v>
      </c>
      <c r="T27" s="379">
        <v>-226113.65</v>
      </c>
      <c r="U27" s="380">
        <v>-69266.7</v>
      </c>
      <c r="V27" s="378">
        <v>-294203.53000000003</v>
      </c>
      <c r="W27" s="379">
        <v>-225212.79</v>
      </c>
      <c r="X27" s="380">
        <v>-68990.740000000005</v>
      </c>
      <c r="Y27" s="378">
        <v>-293026.71999999997</v>
      </c>
      <c r="Z27" s="379">
        <v>-224311.94</v>
      </c>
      <c r="AA27" s="380">
        <v>-68714.78</v>
      </c>
      <c r="AB27" s="378">
        <v>-291849.90999999997</v>
      </c>
      <c r="AC27" s="379">
        <v>-223411.09</v>
      </c>
      <c r="AD27" s="380">
        <v>-68438.820000000007</v>
      </c>
      <c r="AE27" s="378">
        <v>-290673.11</v>
      </c>
      <c r="AF27" s="379">
        <v>-222510.25</v>
      </c>
      <c r="AG27" s="380">
        <v>-68162.86</v>
      </c>
      <c r="AH27" s="378">
        <v>-289496.3</v>
      </c>
      <c r="AI27" s="379">
        <v>-221609.4</v>
      </c>
      <c r="AJ27" s="380">
        <v>-67886.899999999994</v>
      </c>
      <c r="AK27" s="378">
        <v>-288319.49</v>
      </c>
      <c r="AL27" s="379">
        <v>-220708.55</v>
      </c>
      <c r="AM27" s="380">
        <v>-67610.9399999999</v>
      </c>
      <c r="AN27" s="378">
        <v>-287142.69</v>
      </c>
      <c r="AO27" s="379">
        <v>-219807.71</v>
      </c>
      <c r="AP27" s="380">
        <v>-67334.979999999894</v>
      </c>
      <c r="AQ27" s="378">
        <v>-285965.88</v>
      </c>
      <c r="AR27" s="379">
        <v>-218906.86</v>
      </c>
      <c r="AS27" s="380">
        <v>-67059.019999999902</v>
      </c>
      <c r="AT27" s="378">
        <v>-284789.06</v>
      </c>
      <c r="AU27" s="379">
        <v>-218006</v>
      </c>
      <c r="AV27" s="380">
        <v>-66783.059999999896</v>
      </c>
      <c r="AW27" s="200">
        <f t="shared" si="3"/>
        <v>-291849.91624999995</v>
      </c>
      <c r="AX27" s="200">
        <f t="shared" si="4"/>
        <v>-223399.88625000001</v>
      </c>
      <c r="AY27" s="200">
        <f t="shared" si="5"/>
        <v>-68450.02999999997</v>
      </c>
    </row>
    <row r="28" spans="1:56">
      <c r="A28" s="228">
        <v>20</v>
      </c>
      <c r="B28" s="375" t="s">
        <v>1498</v>
      </c>
      <c r="C28" s="345" t="s">
        <v>1062</v>
      </c>
      <c r="D28" s="345"/>
      <c r="E28" s="345" t="s">
        <v>402</v>
      </c>
      <c r="F28" s="376" t="s">
        <v>843</v>
      </c>
      <c r="G28" s="376" t="s">
        <v>1499</v>
      </c>
      <c r="H28" s="376" t="s">
        <v>402</v>
      </c>
      <c r="I28" s="377" t="s">
        <v>402</v>
      </c>
      <c r="J28" s="381">
        <v>-3872422.04</v>
      </c>
      <c r="K28" s="381">
        <v>0</v>
      </c>
      <c r="L28" s="382">
        <v>-3872422.04</v>
      </c>
      <c r="M28" s="381">
        <v>-3872775.8</v>
      </c>
      <c r="N28" s="381">
        <v>0</v>
      </c>
      <c r="O28" s="382">
        <v>-3872775.8</v>
      </c>
      <c r="P28" s="381">
        <v>-3873129.56</v>
      </c>
      <c r="Q28" s="381">
        <v>0</v>
      </c>
      <c r="R28" s="382">
        <v>-3873129.56</v>
      </c>
      <c r="S28" s="381">
        <v>-3843445.26</v>
      </c>
      <c r="T28" s="381">
        <v>0</v>
      </c>
      <c r="U28" s="382">
        <v>-3843445.26</v>
      </c>
      <c r="V28" s="381">
        <v>-3839198.49</v>
      </c>
      <c r="W28" s="381">
        <v>0</v>
      </c>
      <c r="X28" s="382">
        <v>-3839198.49</v>
      </c>
      <c r="Y28" s="381">
        <v>-3834951.74</v>
      </c>
      <c r="Z28" s="381">
        <v>0</v>
      </c>
      <c r="AA28" s="382">
        <v>-3834951.74</v>
      </c>
      <c r="AB28" s="381">
        <v>-3847427.87</v>
      </c>
      <c r="AC28" s="381">
        <v>0</v>
      </c>
      <c r="AD28" s="382">
        <v>-3847427.87</v>
      </c>
      <c r="AE28" s="381">
        <v>-3845968.28</v>
      </c>
      <c r="AF28" s="381">
        <v>0</v>
      </c>
      <c r="AG28" s="382">
        <v>-3845968.28</v>
      </c>
      <c r="AH28" s="381">
        <v>-3844508.66</v>
      </c>
      <c r="AI28" s="381">
        <v>0</v>
      </c>
      <c r="AJ28" s="382">
        <v>-3844508.66</v>
      </c>
      <c r="AK28" s="381">
        <v>-3893025.52</v>
      </c>
      <c r="AL28" s="381">
        <v>0</v>
      </c>
      <c r="AM28" s="382">
        <v>-3893025.52</v>
      </c>
      <c r="AN28" s="381">
        <v>-3897118.86</v>
      </c>
      <c r="AO28" s="381">
        <v>0</v>
      </c>
      <c r="AP28" s="382">
        <v>-3897118.86</v>
      </c>
      <c r="AQ28" s="381">
        <v>-4047193.88</v>
      </c>
      <c r="AR28" s="381">
        <v>0</v>
      </c>
      <c r="AS28" s="382">
        <v>-4047193.88</v>
      </c>
      <c r="AT28" s="381">
        <v>-4085566.09</v>
      </c>
      <c r="AU28" s="381">
        <v>0</v>
      </c>
      <c r="AV28" s="382">
        <v>-4085566.09</v>
      </c>
      <c r="AW28" s="200">
        <f t="shared" si="3"/>
        <v>-3884811.4987500007</v>
      </c>
      <c r="AX28" s="200">
        <f t="shared" si="4"/>
        <v>0</v>
      </c>
      <c r="AY28" s="200">
        <f t="shared" si="5"/>
        <v>-3884811.4987500007</v>
      </c>
    </row>
    <row r="29" spans="1:56" ht="16.2" thickBot="1">
      <c r="A29" s="228">
        <v>21</v>
      </c>
      <c r="B29" s="375" t="s">
        <v>1500</v>
      </c>
      <c r="C29" s="345" t="s">
        <v>1062</v>
      </c>
      <c r="D29" s="345"/>
      <c r="E29" s="345" t="s">
        <v>402</v>
      </c>
      <c r="F29" s="376" t="s">
        <v>845</v>
      </c>
      <c r="G29" s="376" t="s">
        <v>1501</v>
      </c>
      <c r="H29" s="376" t="s">
        <v>402</v>
      </c>
      <c r="I29" s="377" t="s">
        <v>402</v>
      </c>
      <c r="J29" s="381">
        <v>-13181.63</v>
      </c>
      <c r="K29" s="381">
        <v>0</v>
      </c>
      <c r="L29" s="383">
        <v>-13181.63</v>
      </c>
      <c r="M29" s="381">
        <v>-13129.73</v>
      </c>
      <c r="N29" s="381">
        <v>0</v>
      </c>
      <c r="O29" s="383">
        <v>-13129.73</v>
      </c>
      <c r="P29" s="381">
        <v>-13077.84</v>
      </c>
      <c r="Q29" s="381">
        <v>0</v>
      </c>
      <c r="R29" s="383">
        <v>-13077.84</v>
      </c>
      <c r="S29" s="381">
        <v>-15536.55</v>
      </c>
      <c r="T29" s="381">
        <v>0</v>
      </c>
      <c r="U29" s="383">
        <v>-15536.55</v>
      </c>
      <c r="V29" s="381">
        <v>-15474.65</v>
      </c>
      <c r="W29" s="381">
        <v>0</v>
      </c>
      <c r="X29" s="383">
        <v>-15474.65</v>
      </c>
      <c r="Y29" s="381">
        <v>-15412.75</v>
      </c>
      <c r="Z29" s="381">
        <v>0</v>
      </c>
      <c r="AA29" s="383">
        <v>-15412.75</v>
      </c>
      <c r="AB29" s="381">
        <v>-15350.85</v>
      </c>
      <c r="AC29" s="381">
        <v>0</v>
      </c>
      <c r="AD29" s="383">
        <v>-15350.85</v>
      </c>
      <c r="AE29" s="381">
        <v>-15288.96</v>
      </c>
      <c r="AF29" s="381">
        <v>0</v>
      </c>
      <c r="AG29" s="383">
        <v>-15288.96</v>
      </c>
      <c r="AH29" s="381">
        <v>-15227.06</v>
      </c>
      <c r="AI29" s="381">
        <v>0</v>
      </c>
      <c r="AJ29" s="383">
        <v>-15227.06</v>
      </c>
      <c r="AK29" s="381">
        <v>-15165.16</v>
      </c>
      <c r="AL29" s="381">
        <v>0</v>
      </c>
      <c r="AM29" s="383">
        <v>-15165.16</v>
      </c>
      <c r="AN29" s="381">
        <v>-15103.26</v>
      </c>
      <c r="AO29" s="381">
        <v>0</v>
      </c>
      <c r="AP29" s="383">
        <v>-15103.26</v>
      </c>
      <c r="AQ29" s="381">
        <v>-15041.37</v>
      </c>
      <c r="AR29" s="381">
        <v>0</v>
      </c>
      <c r="AS29" s="383">
        <v>-15041.37</v>
      </c>
      <c r="AT29" s="381">
        <v>-14979.47</v>
      </c>
      <c r="AU29" s="381">
        <v>0</v>
      </c>
      <c r="AV29" s="383">
        <v>-14979.47</v>
      </c>
      <c r="AW29" s="364">
        <f t="shared" si="3"/>
        <v>-14824.060833333331</v>
      </c>
      <c r="AX29" s="364">
        <f t="shared" si="4"/>
        <v>0</v>
      </c>
      <c r="AY29" s="364">
        <f t="shared" si="5"/>
        <v>-14824.060833333331</v>
      </c>
    </row>
    <row r="30" spans="1:56" ht="16.2" thickBot="1">
      <c r="A30" s="228">
        <v>22</v>
      </c>
      <c r="B30" s="350"/>
      <c r="C30" s="345"/>
      <c r="D30" s="345"/>
      <c r="E30" s="345"/>
      <c r="F30" s="345"/>
      <c r="G30" s="345"/>
      <c r="H30" s="345"/>
      <c r="I30" s="346"/>
      <c r="J30" s="365">
        <f t="shared" ref="J30:AV30" si="6">SUM(J26:J29)</f>
        <v>-100108953.87</v>
      </c>
      <c r="K30" s="366">
        <f t="shared" si="6"/>
        <v>-73572373.540000007</v>
      </c>
      <c r="L30" s="367">
        <f t="shared" si="6"/>
        <v>-26536580.329999998</v>
      </c>
      <c r="M30" s="365">
        <f t="shared" si="6"/>
        <v>-100063924.25</v>
      </c>
      <c r="N30" s="366">
        <f t="shared" si="6"/>
        <v>-73624273.319999993</v>
      </c>
      <c r="O30" s="367">
        <f t="shared" si="6"/>
        <v>-26439650.930000003</v>
      </c>
      <c r="P30" s="365">
        <f t="shared" si="6"/>
        <v>-100018894.64000002</v>
      </c>
      <c r="Q30" s="366">
        <f t="shared" si="6"/>
        <v>-73589572.069999993</v>
      </c>
      <c r="R30" s="367">
        <f t="shared" si="6"/>
        <v>-26429322.57</v>
      </c>
      <c r="S30" s="365">
        <f t="shared" si="6"/>
        <v>-99631503.269999996</v>
      </c>
      <c r="T30" s="366">
        <f t="shared" si="6"/>
        <v>-73313865.170000002</v>
      </c>
      <c r="U30" s="367">
        <f t="shared" si="6"/>
        <v>-26317638.099999998</v>
      </c>
      <c r="V30" s="365">
        <f t="shared" si="6"/>
        <v>-99475024.060000002</v>
      </c>
      <c r="W30" s="366">
        <f t="shared" si="6"/>
        <v>-73197378.620000005</v>
      </c>
      <c r="X30" s="367">
        <f t="shared" si="6"/>
        <v>-26277645.439999998</v>
      </c>
      <c r="Y30" s="365">
        <f t="shared" si="6"/>
        <v>-99318544.929999992</v>
      </c>
      <c r="Z30" s="366">
        <f t="shared" si="6"/>
        <v>-73080892.120000005</v>
      </c>
      <c r="AA30" s="367">
        <f t="shared" si="6"/>
        <v>-26237652.810000002</v>
      </c>
      <c r="AB30" s="365">
        <f t="shared" si="6"/>
        <v>-99496723.649999991</v>
      </c>
      <c r="AC30" s="366">
        <f t="shared" si="6"/>
        <v>-73207784.840000004</v>
      </c>
      <c r="AD30" s="367">
        <f t="shared" si="6"/>
        <v>-26288938.810000002</v>
      </c>
      <c r="AE30" s="365">
        <f t="shared" si="6"/>
        <v>-99396020.819999993</v>
      </c>
      <c r="AF30" s="366">
        <f t="shared" si="6"/>
        <v>-73131861.519999996</v>
      </c>
      <c r="AG30" s="367">
        <f t="shared" si="6"/>
        <v>-26264159.300000001</v>
      </c>
      <c r="AH30" s="365">
        <f t="shared" si="6"/>
        <v>-99295317.969999999</v>
      </c>
      <c r="AI30" s="366">
        <f t="shared" si="6"/>
        <v>-73055938.210000008</v>
      </c>
      <c r="AJ30" s="367">
        <f t="shared" si="6"/>
        <v>-26239379.759999998</v>
      </c>
      <c r="AK30" s="365">
        <f t="shared" si="6"/>
        <v>-100573625.72999999</v>
      </c>
      <c r="AL30" s="366">
        <f t="shared" si="6"/>
        <v>-73997390.530000001</v>
      </c>
      <c r="AM30" s="367">
        <f t="shared" si="6"/>
        <v>-26576235.199999999</v>
      </c>
      <c r="AN30" s="365">
        <f t="shared" si="6"/>
        <v>-100626146.29000001</v>
      </c>
      <c r="AO30" s="366">
        <f t="shared" si="6"/>
        <v>-74034508.949999988</v>
      </c>
      <c r="AP30" s="367">
        <f t="shared" si="6"/>
        <v>-26591637.34</v>
      </c>
      <c r="AQ30" s="365">
        <f t="shared" si="6"/>
        <v>-102471279.50999999</v>
      </c>
      <c r="AR30" s="366">
        <f t="shared" si="6"/>
        <v>-75332123.379999995</v>
      </c>
      <c r="AS30" s="367">
        <f t="shared" si="6"/>
        <v>-27139156.129999999</v>
      </c>
      <c r="AT30" s="365">
        <f t="shared" si="6"/>
        <v>-102474633.55000001</v>
      </c>
      <c r="AU30" s="366">
        <f t="shared" si="6"/>
        <v>-75305364.349999994</v>
      </c>
      <c r="AV30" s="367">
        <f t="shared" si="6"/>
        <v>-27169269.199999996</v>
      </c>
      <c r="AW30" s="368">
        <f>SUM(AW25:AW29)</f>
        <v>-100138233.23583335</v>
      </c>
      <c r="AX30" s="369">
        <f t="shared" ref="AX30" si="7">SUM(AX25:AX29)</f>
        <v>-73667038.139583334</v>
      </c>
      <c r="AY30" s="370">
        <f t="shared" ref="AY30" si="8">SUM(AY25:AY29)</f>
        <v>-26471195.096250009</v>
      </c>
    </row>
    <row r="31" spans="1:56" ht="17.399999999999999" thickTop="1" thickBot="1">
      <c r="A31" s="228">
        <v>23</v>
      </c>
      <c r="B31" s="384" t="s">
        <v>1524</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6">
      <c r="A32" s="16">
        <v>24</v>
      </c>
      <c r="C32" s="67" t="s">
        <v>1062</v>
      </c>
      <c r="E32" s="67" t="s">
        <v>1515</v>
      </c>
      <c r="F32" s="67" t="s">
        <v>843</v>
      </c>
      <c r="G32" s="67" t="s">
        <v>1516</v>
      </c>
      <c r="H32" s="67"/>
      <c r="I32" s="67"/>
      <c r="J32" s="385">
        <v>38942.18</v>
      </c>
      <c r="K32" s="386"/>
      <c r="L32" s="387"/>
      <c r="M32" s="386">
        <v>38536.93</v>
      </c>
      <c r="N32" s="386"/>
      <c r="O32" s="387"/>
      <c r="P32" s="386">
        <v>38131.699999999997</v>
      </c>
      <c r="Q32" s="386"/>
      <c r="R32" s="387"/>
      <c r="S32" s="386">
        <v>30325.16</v>
      </c>
      <c r="T32" s="386"/>
      <c r="U32" s="387"/>
      <c r="V32" s="386">
        <v>29796.79</v>
      </c>
      <c r="W32" s="386"/>
      <c r="X32" s="387"/>
      <c r="Y32" s="386">
        <v>29268.42</v>
      </c>
      <c r="Z32" s="386"/>
      <c r="AA32" s="387"/>
      <c r="AB32" s="386">
        <v>28716.29</v>
      </c>
      <c r="AC32" s="386"/>
      <c r="AD32" s="387"/>
      <c r="AE32" s="386">
        <v>28183.94</v>
      </c>
      <c r="AF32" s="386"/>
      <c r="AG32" s="387"/>
      <c r="AH32" s="386">
        <v>27651.63</v>
      </c>
      <c r="AI32" s="386"/>
      <c r="AJ32" s="387"/>
      <c r="AK32" s="386">
        <v>28514.799999999999</v>
      </c>
      <c r="AL32" s="386"/>
      <c r="AM32" s="387"/>
      <c r="AN32" s="386">
        <v>28137.52</v>
      </c>
      <c r="AO32" s="386"/>
      <c r="AP32" s="387"/>
      <c r="AQ32" s="386">
        <v>29498.17</v>
      </c>
      <c r="AR32" s="386"/>
      <c r="AS32" s="387"/>
      <c r="AT32" s="386">
        <v>31017.37</v>
      </c>
      <c r="AU32" s="386"/>
      <c r="AV32" s="387"/>
      <c r="AW32" s="200">
        <f t="shared" ref="AW32:AW37" si="9">+(AT32+J32+(M32+P32+S32+V32+Y32+AB32+AE32+AH32+AK32+AN32+AQ32)*2)/24</f>
        <v>30978.427083333339</v>
      </c>
      <c r="AX32" s="67"/>
      <c r="AY32" s="67"/>
    </row>
    <row r="33" spans="1:51">
      <c r="A33" s="16">
        <v>25</v>
      </c>
      <c r="C33" s="67" t="s">
        <v>1062</v>
      </c>
      <c r="E33" s="67" t="s">
        <v>1515</v>
      </c>
      <c r="F33" s="67" t="s">
        <v>843</v>
      </c>
      <c r="G33" s="67" t="s">
        <v>1517</v>
      </c>
      <c r="H33" s="67"/>
      <c r="I33" s="67"/>
      <c r="J33" s="388">
        <v>-214358.06</v>
      </c>
      <c r="K33" s="389"/>
      <c r="L33" s="390"/>
      <c r="M33" s="389">
        <v>-213529.1</v>
      </c>
      <c r="N33" s="389"/>
      <c r="O33" s="390"/>
      <c r="P33" s="389">
        <v>-212700.13</v>
      </c>
      <c r="Q33" s="389"/>
      <c r="R33" s="390"/>
      <c r="S33" s="389">
        <v>-998639.19</v>
      </c>
      <c r="T33" s="389"/>
      <c r="U33" s="390"/>
      <c r="V33" s="389">
        <v>-996839.2</v>
      </c>
      <c r="W33" s="389"/>
      <c r="X33" s="390"/>
      <c r="Y33" s="389">
        <v>-995039.19</v>
      </c>
      <c r="Z33" s="389"/>
      <c r="AA33" s="390"/>
      <c r="AB33" s="389">
        <v>-993281.09</v>
      </c>
      <c r="AC33" s="389"/>
      <c r="AD33" s="390"/>
      <c r="AE33" s="389">
        <v>-991488.07</v>
      </c>
      <c r="AF33" s="389"/>
      <c r="AG33" s="390"/>
      <c r="AH33" s="389">
        <v>-989695.05</v>
      </c>
      <c r="AI33" s="389"/>
      <c r="AJ33" s="390"/>
      <c r="AK33" s="389">
        <v>-1003601.37</v>
      </c>
      <c r="AL33" s="389"/>
      <c r="AM33" s="390"/>
      <c r="AN33" s="389">
        <v>-1003552.74</v>
      </c>
      <c r="AO33" s="389"/>
      <c r="AP33" s="390"/>
      <c r="AQ33" s="389">
        <v>-944033.17</v>
      </c>
      <c r="AR33" s="389"/>
      <c r="AS33" s="390"/>
      <c r="AT33" s="389">
        <v>-903902.86</v>
      </c>
      <c r="AU33" s="389"/>
      <c r="AV33" s="390"/>
      <c r="AW33" s="200">
        <f t="shared" si="9"/>
        <v>-825127.39666666684</v>
      </c>
      <c r="AX33" s="67"/>
      <c r="AY33" s="67"/>
    </row>
    <row r="34" spans="1:51">
      <c r="A34" s="16">
        <v>26</v>
      </c>
      <c r="C34" s="67" t="s">
        <v>1062</v>
      </c>
      <c r="E34" s="67" t="s">
        <v>1515</v>
      </c>
      <c r="F34" s="67" t="s">
        <v>843</v>
      </c>
      <c r="G34" s="67" t="s">
        <v>1518</v>
      </c>
      <c r="H34" s="67"/>
      <c r="I34" s="67"/>
      <c r="J34" s="388">
        <v>581511.75</v>
      </c>
      <c r="K34" s="389"/>
      <c r="L34" s="390"/>
      <c r="M34" s="389">
        <v>581511.75</v>
      </c>
      <c r="N34" s="389"/>
      <c r="O34" s="390"/>
      <c r="P34" s="389">
        <v>581511.75</v>
      </c>
      <c r="Q34" s="389"/>
      <c r="R34" s="390"/>
      <c r="S34" s="389">
        <v>581511.75</v>
      </c>
      <c r="T34" s="389"/>
      <c r="U34" s="390"/>
      <c r="V34" s="389">
        <v>581511.75</v>
      </c>
      <c r="W34" s="389"/>
      <c r="X34" s="390"/>
      <c r="Y34" s="389">
        <v>581511.75</v>
      </c>
      <c r="Z34" s="389"/>
      <c r="AA34" s="390"/>
      <c r="AB34" s="389">
        <v>581511.75</v>
      </c>
      <c r="AC34" s="389"/>
      <c r="AD34" s="390"/>
      <c r="AE34" s="389">
        <v>581511.75</v>
      </c>
      <c r="AF34" s="389"/>
      <c r="AG34" s="390"/>
      <c r="AH34" s="389">
        <v>581511.75</v>
      </c>
      <c r="AI34" s="389"/>
      <c r="AJ34" s="390"/>
      <c r="AK34" s="389">
        <v>581511.75</v>
      </c>
      <c r="AL34" s="389"/>
      <c r="AM34" s="390"/>
      <c r="AN34" s="389">
        <v>581511.75</v>
      </c>
      <c r="AO34" s="389"/>
      <c r="AP34" s="390"/>
      <c r="AQ34" s="389">
        <v>581511.75</v>
      </c>
      <c r="AR34" s="389"/>
      <c r="AS34" s="390"/>
      <c r="AT34" s="389">
        <v>542744.30000000005</v>
      </c>
      <c r="AU34" s="389"/>
      <c r="AV34" s="390"/>
      <c r="AW34" s="200">
        <f t="shared" si="9"/>
        <v>579896.43958333333</v>
      </c>
      <c r="AX34" s="67"/>
      <c r="AY34" s="67"/>
    </row>
    <row r="35" spans="1:51">
      <c r="A35" s="228">
        <v>27</v>
      </c>
      <c r="C35" s="67" t="s">
        <v>1062</v>
      </c>
      <c r="E35" s="67" t="s">
        <v>1478</v>
      </c>
      <c r="F35" s="67" t="s">
        <v>843</v>
      </c>
      <c r="G35" s="67" t="s">
        <v>1519</v>
      </c>
      <c r="H35" s="67"/>
      <c r="I35" s="67"/>
      <c r="J35" s="388">
        <v>883065.23</v>
      </c>
      <c r="K35" s="389"/>
      <c r="L35" s="390"/>
      <c r="M35" s="389">
        <v>873875.83</v>
      </c>
      <c r="N35" s="389"/>
      <c r="O35" s="390"/>
      <c r="P35" s="389">
        <v>864686.41</v>
      </c>
      <c r="Q35" s="389"/>
      <c r="R35" s="390"/>
      <c r="S35" s="389">
        <v>576540.86</v>
      </c>
      <c r="T35" s="389"/>
      <c r="U35" s="390"/>
      <c r="V35" s="389">
        <v>566495.44999999995</v>
      </c>
      <c r="W35" s="389"/>
      <c r="X35" s="390"/>
      <c r="Y35" s="389">
        <v>556450.04</v>
      </c>
      <c r="Z35" s="389"/>
      <c r="AA35" s="390"/>
      <c r="AB35" s="389">
        <v>545952.99</v>
      </c>
      <c r="AC35" s="389"/>
      <c r="AD35" s="390"/>
      <c r="AE35" s="389">
        <v>535832.31999999995</v>
      </c>
      <c r="AF35" s="389"/>
      <c r="AG35" s="390"/>
      <c r="AH35" s="389">
        <v>525711.64</v>
      </c>
      <c r="AI35" s="389"/>
      <c r="AJ35" s="390"/>
      <c r="AK35" s="389">
        <v>542122.19999999995</v>
      </c>
      <c r="AL35" s="389"/>
      <c r="AM35" s="390"/>
      <c r="AN35" s="389">
        <v>534949.46</v>
      </c>
      <c r="AO35" s="389"/>
      <c r="AP35" s="390"/>
      <c r="AQ35" s="389">
        <v>560818.09</v>
      </c>
      <c r="AR35" s="389"/>
      <c r="AS35" s="390"/>
      <c r="AT35" s="389">
        <v>589700.96</v>
      </c>
      <c r="AU35" s="389"/>
      <c r="AV35" s="390"/>
      <c r="AW35" s="200">
        <f t="shared" si="9"/>
        <v>618318.19874999998</v>
      </c>
      <c r="AX35" s="67"/>
      <c r="AY35" s="67"/>
    </row>
    <row r="36" spans="1:51">
      <c r="A36" s="228">
        <v>28</v>
      </c>
      <c r="C36" s="67" t="s">
        <v>1062</v>
      </c>
      <c r="E36" s="67" t="s">
        <v>1478</v>
      </c>
      <c r="F36" s="67" t="s">
        <v>843</v>
      </c>
      <c r="G36" s="67" t="s">
        <v>1520</v>
      </c>
      <c r="H36" s="67"/>
      <c r="I36" s="67"/>
      <c r="J36" s="388">
        <v>1854336.33</v>
      </c>
      <c r="K36" s="389"/>
      <c r="L36" s="390"/>
      <c r="M36" s="389">
        <v>1836441.33</v>
      </c>
      <c r="N36" s="389"/>
      <c r="O36" s="390"/>
      <c r="P36" s="389">
        <v>1818546.33</v>
      </c>
      <c r="Q36" s="389"/>
      <c r="R36" s="390"/>
      <c r="S36" s="389">
        <v>2069357.94</v>
      </c>
      <c r="T36" s="389"/>
      <c r="U36" s="390"/>
      <c r="V36" s="389">
        <v>2048902.18</v>
      </c>
      <c r="W36" s="389"/>
      <c r="X36" s="390"/>
      <c r="Y36" s="389">
        <v>2028446.39</v>
      </c>
      <c r="Z36" s="389"/>
      <c r="AA36" s="390"/>
      <c r="AB36" s="389">
        <v>2007193.81</v>
      </c>
      <c r="AC36" s="389"/>
      <c r="AD36" s="390"/>
      <c r="AE36" s="389">
        <v>1986605.22</v>
      </c>
      <c r="AF36" s="389"/>
      <c r="AG36" s="390"/>
      <c r="AH36" s="389">
        <v>1966016.64</v>
      </c>
      <c r="AI36" s="389"/>
      <c r="AJ36" s="390"/>
      <c r="AK36" s="389">
        <v>2010399.81</v>
      </c>
      <c r="AL36" s="389"/>
      <c r="AM36" s="390"/>
      <c r="AN36" s="389">
        <v>1997030.29</v>
      </c>
      <c r="AO36" s="389"/>
      <c r="AP36" s="390"/>
      <c r="AQ36" s="389">
        <v>1985552.47</v>
      </c>
      <c r="AR36" s="389"/>
      <c r="AS36" s="390"/>
      <c r="AT36" s="389">
        <v>1999061.83</v>
      </c>
      <c r="AU36" s="389"/>
      <c r="AV36" s="390"/>
      <c r="AW36" s="200">
        <f t="shared" si="9"/>
        <v>1973432.6241666668</v>
      </c>
      <c r="AX36" s="67"/>
      <c r="AY36" s="67"/>
    </row>
    <row r="37" spans="1:51">
      <c r="A37" s="228">
        <v>29</v>
      </c>
      <c r="C37" s="67" t="s">
        <v>1062</v>
      </c>
      <c r="E37" s="67" t="s">
        <v>1478</v>
      </c>
      <c r="F37" s="67" t="s">
        <v>843</v>
      </c>
      <c r="G37" s="67" t="s">
        <v>1521</v>
      </c>
      <c r="H37" s="67"/>
      <c r="I37" s="67"/>
      <c r="J37" s="391">
        <v>-161895.75</v>
      </c>
      <c r="K37" s="389"/>
      <c r="L37" s="390"/>
      <c r="M37" s="389">
        <v>-161895.75</v>
      </c>
      <c r="N37" s="389"/>
      <c r="O37" s="390"/>
      <c r="P37" s="389">
        <v>-161895.75</v>
      </c>
      <c r="Q37" s="389"/>
      <c r="R37" s="390"/>
      <c r="S37" s="389">
        <v>-161895.75</v>
      </c>
      <c r="T37" s="389"/>
      <c r="U37" s="390"/>
      <c r="V37" s="389">
        <v>-161895.75</v>
      </c>
      <c r="W37" s="389"/>
      <c r="X37" s="390"/>
      <c r="Y37" s="389">
        <v>-161895.75</v>
      </c>
      <c r="Z37" s="389"/>
      <c r="AA37" s="390"/>
      <c r="AB37" s="389">
        <v>-161895.75</v>
      </c>
      <c r="AC37" s="389"/>
      <c r="AD37" s="390"/>
      <c r="AE37" s="389">
        <v>-161895.75</v>
      </c>
      <c r="AF37" s="389"/>
      <c r="AG37" s="390"/>
      <c r="AH37" s="389">
        <v>-161895.75</v>
      </c>
      <c r="AI37" s="389"/>
      <c r="AJ37" s="390"/>
      <c r="AK37" s="389">
        <v>-161895.75</v>
      </c>
      <c r="AL37" s="389"/>
      <c r="AM37" s="390"/>
      <c r="AN37" s="389">
        <v>-161895.75</v>
      </c>
      <c r="AO37" s="389"/>
      <c r="AP37" s="390"/>
      <c r="AQ37" s="389">
        <v>-161895.75</v>
      </c>
      <c r="AR37" s="389"/>
      <c r="AS37" s="390"/>
      <c r="AT37" s="389">
        <v>-151102.70000000001</v>
      </c>
      <c r="AU37" s="389"/>
      <c r="AV37" s="390"/>
      <c r="AW37" s="200">
        <f t="shared" si="9"/>
        <v>-161446.03958333333</v>
      </c>
      <c r="AX37" s="67"/>
      <c r="AY37" s="67"/>
    </row>
    <row r="38" spans="1:51">
      <c r="A38" s="228">
        <v>30</v>
      </c>
      <c r="C38" s="67"/>
      <c r="E38" s="67"/>
      <c r="F38" s="67"/>
      <c r="G38" s="67"/>
      <c r="H38" s="67"/>
      <c r="I38" s="67"/>
      <c r="J38" s="392">
        <f>SUM(J32:J37)</f>
        <v>2981601.68</v>
      </c>
      <c r="K38" s="389"/>
      <c r="L38" s="390"/>
      <c r="M38" s="392">
        <f>SUM(M32:M37)</f>
        <v>2954940.99</v>
      </c>
      <c r="N38" s="389"/>
      <c r="O38" s="390"/>
      <c r="P38" s="392">
        <f>SUM(P32:P37)</f>
        <v>2928280.31</v>
      </c>
      <c r="Q38" s="389"/>
      <c r="R38" s="390"/>
      <c r="S38" s="392">
        <f>SUM(S32:S37)</f>
        <v>2097200.77</v>
      </c>
      <c r="T38" s="389"/>
      <c r="U38" s="390"/>
      <c r="V38" s="392">
        <f>SUM(V32:V37)</f>
        <v>2067971.2199999997</v>
      </c>
      <c r="W38" s="389"/>
      <c r="X38" s="390"/>
      <c r="Y38" s="392">
        <f>SUM(Y32:Y37)</f>
        <v>2038741.6600000001</v>
      </c>
      <c r="Z38" s="389"/>
      <c r="AA38" s="390"/>
      <c r="AB38" s="392">
        <f>SUM(AB32:AB37)</f>
        <v>2008198</v>
      </c>
      <c r="AC38" s="389"/>
      <c r="AD38" s="390"/>
      <c r="AE38" s="392">
        <f>SUM(AE32:AE37)</f>
        <v>1978749.4100000001</v>
      </c>
      <c r="AF38" s="389"/>
      <c r="AG38" s="390"/>
      <c r="AH38" s="392">
        <f>SUM(AH32:AH37)</f>
        <v>1949300.8599999999</v>
      </c>
      <c r="AI38" s="389"/>
      <c r="AJ38" s="390"/>
      <c r="AK38" s="392">
        <f>SUM(AK32:AK37)</f>
        <v>1997051.44</v>
      </c>
      <c r="AL38" s="389"/>
      <c r="AM38" s="390"/>
      <c r="AN38" s="392">
        <f>SUM(AN32:AN37)</f>
        <v>1976180.5300000003</v>
      </c>
      <c r="AO38" s="389"/>
      <c r="AP38" s="390"/>
      <c r="AQ38" s="392">
        <f>SUM(AQ32:AQ37)</f>
        <v>2051451.56</v>
      </c>
      <c r="AR38" s="389"/>
      <c r="AS38" s="390"/>
      <c r="AT38" s="392">
        <f>SUM(AT32:AT37)</f>
        <v>2107518.9</v>
      </c>
      <c r="AU38" s="389"/>
      <c r="AV38" s="390"/>
      <c r="AW38" s="392">
        <f>SUM(AW32:AW37)</f>
        <v>2216052.2533333334</v>
      </c>
      <c r="AX38" s="67"/>
      <c r="AY38" s="67"/>
    </row>
    <row r="39" spans="1:51">
      <c r="A39" s="228">
        <v>31</v>
      </c>
      <c r="C39" s="67"/>
      <c r="E39" s="67"/>
      <c r="F39" s="67"/>
      <c r="G39" s="67"/>
      <c r="H39" s="67"/>
      <c r="I39" s="67"/>
      <c r="J39" s="388"/>
      <c r="K39" s="389"/>
      <c r="L39" s="390"/>
      <c r="M39" s="389"/>
      <c r="N39" s="389"/>
      <c r="O39" s="390"/>
      <c r="P39" s="389"/>
      <c r="Q39" s="389"/>
      <c r="R39" s="390"/>
      <c r="S39" s="389"/>
      <c r="T39" s="389"/>
      <c r="U39" s="390"/>
      <c r="V39" s="389"/>
      <c r="W39" s="389"/>
      <c r="X39" s="390"/>
      <c r="Y39" s="389"/>
      <c r="Z39" s="389"/>
      <c r="AA39" s="390"/>
      <c r="AB39" s="389"/>
      <c r="AC39" s="389"/>
      <c r="AD39" s="390"/>
      <c r="AE39" s="389"/>
      <c r="AF39" s="389"/>
      <c r="AG39" s="390"/>
      <c r="AH39" s="389"/>
      <c r="AI39" s="389"/>
      <c r="AJ39" s="390"/>
      <c r="AK39" s="389"/>
      <c r="AL39" s="389"/>
      <c r="AM39" s="390"/>
      <c r="AN39" s="389"/>
      <c r="AO39" s="389"/>
      <c r="AP39" s="390"/>
      <c r="AQ39" s="389"/>
      <c r="AR39" s="389"/>
      <c r="AS39" s="390"/>
      <c r="AT39" s="389"/>
      <c r="AU39" s="389"/>
      <c r="AV39" s="390"/>
      <c r="AW39" s="67"/>
      <c r="AX39" s="67"/>
      <c r="AY39" s="67"/>
    </row>
    <row r="40" spans="1:51">
      <c r="A40" s="228">
        <v>32</v>
      </c>
      <c r="C40" s="67" t="s">
        <v>1062</v>
      </c>
      <c r="E40" s="67" t="s">
        <v>1515</v>
      </c>
      <c r="F40" s="67" t="s">
        <v>845</v>
      </c>
      <c r="G40" s="67" t="s">
        <v>1518</v>
      </c>
      <c r="H40" s="67"/>
      <c r="I40" s="67"/>
      <c r="J40" s="388">
        <v>-1866272.87</v>
      </c>
      <c r="K40" s="389"/>
      <c r="L40" s="390"/>
      <c r="M40" s="389">
        <v>-1866801.81</v>
      </c>
      <c r="N40" s="389"/>
      <c r="O40" s="390"/>
      <c r="P40" s="389">
        <v>-1867330.76</v>
      </c>
      <c r="Q40" s="389"/>
      <c r="R40" s="390"/>
      <c r="S40" s="389">
        <v>-2160511.04</v>
      </c>
      <c r="T40" s="389"/>
      <c r="U40" s="390"/>
      <c r="V40" s="389">
        <v>-2161140.1</v>
      </c>
      <c r="W40" s="389"/>
      <c r="X40" s="390"/>
      <c r="Y40" s="389">
        <v>-2161769.15</v>
      </c>
      <c r="Z40" s="389"/>
      <c r="AA40" s="390"/>
      <c r="AB40" s="389">
        <v>-2161571.6</v>
      </c>
      <c r="AC40" s="389"/>
      <c r="AD40" s="390"/>
      <c r="AE40" s="389">
        <v>-2162063.12</v>
      </c>
      <c r="AF40" s="389"/>
      <c r="AG40" s="390"/>
      <c r="AH40" s="389">
        <v>-2162554.64</v>
      </c>
      <c r="AI40" s="389"/>
      <c r="AJ40" s="390"/>
      <c r="AK40" s="389">
        <v>-2157345.3199999998</v>
      </c>
      <c r="AL40" s="389"/>
      <c r="AM40" s="390"/>
      <c r="AN40" s="389">
        <v>-2157203.5499999998</v>
      </c>
      <c r="AO40" s="389"/>
      <c r="AP40" s="390"/>
      <c r="AQ40" s="389">
        <v>-2157061.7999999998</v>
      </c>
      <c r="AR40" s="389"/>
      <c r="AS40" s="390"/>
      <c r="AT40" s="389">
        <v>-2094061.52</v>
      </c>
      <c r="AU40" s="389"/>
      <c r="AV40" s="390"/>
      <c r="AW40" s="200">
        <f t="shared" ref="AW40:AW41" si="10">+(AT40+J40+(M40+P40+S40+V40+Y40+AB40+AE40+AH40+AK40+AN40+AQ40)*2)/24</f>
        <v>-2096293.3404166671</v>
      </c>
      <c r="AX40" s="67"/>
      <c r="AY40" s="67"/>
    </row>
    <row r="41" spans="1:51">
      <c r="A41" s="228">
        <v>33</v>
      </c>
      <c r="C41" s="67" t="s">
        <v>1062</v>
      </c>
      <c r="E41" s="67" t="s">
        <v>1478</v>
      </c>
      <c r="F41" s="67" t="s">
        <v>845</v>
      </c>
      <c r="G41" s="67" t="s">
        <v>1521</v>
      </c>
      <c r="H41" s="67"/>
      <c r="I41" s="67"/>
      <c r="J41" s="391">
        <v>-34608022.850000001</v>
      </c>
      <c r="K41" s="389"/>
      <c r="L41" s="390"/>
      <c r="M41" s="389">
        <v>-34620017.43</v>
      </c>
      <c r="N41" s="389"/>
      <c r="O41" s="390"/>
      <c r="P41" s="389">
        <v>-34632012.07</v>
      </c>
      <c r="Q41" s="389"/>
      <c r="R41" s="390"/>
      <c r="S41" s="389">
        <v>-34594533.43</v>
      </c>
      <c r="T41" s="389"/>
      <c r="U41" s="390"/>
      <c r="V41" s="389">
        <v>-34606492.979999997</v>
      </c>
      <c r="W41" s="389"/>
      <c r="X41" s="390"/>
      <c r="Y41" s="389">
        <v>-34618452.57</v>
      </c>
      <c r="Z41" s="389"/>
      <c r="AA41" s="390"/>
      <c r="AB41" s="389">
        <v>-34614696.380000003</v>
      </c>
      <c r="AC41" s="389"/>
      <c r="AD41" s="390"/>
      <c r="AE41" s="389">
        <v>-34624041.229999997</v>
      </c>
      <c r="AF41" s="389"/>
      <c r="AG41" s="390"/>
      <c r="AH41" s="389">
        <v>-34633386.079999998</v>
      </c>
      <c r="AI41" s="389"/>
      <c r="AJ41" s="390"/>
      <c r="AK41" s="389">
        <v>-34534346.850000001</v>
      </c>
      <c r="AL41" s="389"/>
      <c r="AM41" s="390"/>
      <c r="AN41" s="389">
        <v>-34531651.57</v>
      </c>
      <c r="AO41" s="389"/>
      <c r="AP41" s="390"/>
      <c r="AQ41" s="389">
        <v>-34528956.350000001</v>
      </c>
      <c r="AR41" s="389"/>
      <c r="AS41" s="390"/>
      <c r="AT41" s="389">
        <v>-33763265.57</v>
      </c>
      <c r="AU41" s="389"/>
      <c r="AV41" s="390"/>
      <c r="AW41" s="200">
        <f t="shared" si="10"/>
        <v>-34560352.595833331</v>
      </c>
      <c r="AX41" s="67"/>
      <c r="AY41" s="67"/>
    </row>
    <row r="42" spans="1:51">
      <c r="A42" s="228">
        <v>34</v>
      </c>
      <c r="B42" s="67"/>
      <c r="C42" s="67"/>
      <c r="D42" s="67"/>
      <c r="E42" s="67"/>
      <c r="F42" s="67"/>
      <c r="G42" s="67"/>
      <c r="H42" s="67"/>
      <c r="I42" s="67"/>
      <c r="J42" s="388">
        <f>+J40+J41</f>
        <v>-36474295.719999999</v>
      </c>
      <c r="K42" s="389"/>
      <c r="L42" s="390"/>
      <c r="M42" s="388">
        <f>+M40+M41</f>
        <v>-36486819.240000002</v>
      </c>
      <c r="N42" s="389"/>
      <c r="O42" s="390"/>
      <c r="P42" s="388">
        <f>+P40+P41</f>
        <v>-36499342.829999998</v>
      </c>
      <c r="Q42" s="389"/>
      <c r="R42" s="390"/>
      <c r="S42" s="388">
        <f>+S40+S41</f>
        <v>-36755044.469999999</v>
      </c>
      <c r="T42" s="389"/>
      <c r="U42" s="390"/>
      <c r="V42" s="388">
        <f>+V40+V41</f>
        <v>-36767633.079999998</v>
      </c>
      <c r="W42" s="389"/>
      <c r="X42" s="390"/>
      <c r="Y42" s="388">
        <f>+Y40+Y41</f>
        <v>-36780221.719999999</v>
      </c>
      <c r="Z42" s="389"/>
      <c r="AA42" s="390"/>
      <c r="AB42" s="388">
        <f>+AB40+AB41</f>
        <v>-36776267.980000004</v>
      </c>
      <c r="AC42" s="389"/>
      <c r="AD42" s="390"/>
      <c r="AE42" s="388">
        <f>+AE40+AE41</f>
        <v>-36786104.349999994</v>
      </c>
      <c r="AF42" s="389"/>
      <c r="AG42" s="390"/>
      <c r="AH42" s="388">
        <f>+AH40+AH41</f>
        <v>-36795940.719999999</v>
      </c>
      <c r="AI42" s="389"/>
      <c r="AJ42" s="390"/>
      <c r="AK42" s="388">
        <f>+AK40+AK41</f>
        <v>-36691692.170000002</v>
      </c>
      <c r="AL42" s="389"/>
      <c r="AM42" s="390"/>
      <c r="AN42" s="388">
        <f>+AN40+AN41</f>
        <v>-36688855.119999997</v>
      </c>
      <c r="AO42" s="389"/>
      <c r="AP42" s="390"/>
      <c r="AQ42" s="388">
        <f>+AQ40+AQ41</f>
        <v>-36686018.149999999</v>
      </c>
      <c r="AR42" s="389"/>
      <c r="AS42" s="390"/>
      <c r="AT42" s="388">
        <f>+AT40+AT41</f>
        <v>-35857327.090000004</v>
      </c>
      <c r="AU42" s="389"/>
      <c r="AV42" s="390"/>
      <c r="AW42" s="388">
        <f>+AW40+AW41</f>
        <v>-36656645.936250001</v>
      </c>
      <c r="AX42" s="67"/>
      <c r="AY42" s="67"/>
    </row>
    <row r="43" spans="1:51">
      <c r="A43" s="228">
        <v>35</v>
      </c>
      <c r="B43" s="67"/>
      <c r="C43" s="67"/>
      <c r="D43" s="67"/>
      <c r="E43" s="67"/>
      <c r="F43" s="67"/>
      <c r="G43" s="67"/>
      <c r="H43" s="67"/>
      <c r="I43" s="67"/>
      <c r="J43" s="388"/>
      <c r="K43" s="389"/>
      <c r="L43" s="390"/>
      <c r="M43" s="388"/>
      <c r="N43" s="389"/>
      <c r="O43" s="390"/>
      <c r="P43" s="388"/>
      <c r="Q43" s="389"/>
      <c r="R43" s="390"/>
      <c r="S43" s="388"/>
      <c r="T43" s="389"/>
      <c r="U43" s="390"/>
      <c r="V43" s="388"/>
      <c r="W43" s="389"/>
      <c r="X43" s="390"/>
      <c r="Y43" s="388"/>
      <c r="Z43" s="389"/>
      <c r="AA43" s="390"/>
      <c r="AB43" s="388"/>
      <c r="AC43" s="389"/>
      <c r="AD43" s="390"/>
      <c r="AE43" s="388"/>
      <c r="AF43" s="389"/>
      <c r="AG43" s="390"/>
      <c r="AH43" s="388"/>
      <c r="AI43" s="389"/>
      <c r="AJ43" s="390"/>
      <c r="AK43" s="388"/>
      <c r="AL43" s="389"/>
      <c r="AM43" s="390"/>
      <c r="AN43" s="388"/>
      <c r="AO43" s="389"/>
      <c r="AP43" s="390"/>
      <c r="AQ43" s="388"/>
      <c r="AR43" s="389"/>
      <c r="AS43" s="390"/>
      <c r="AT43" s="388"/>
      <c r="AU43" s="389"/>
      <c r="AV43" s="390"/>
      <c r="AW43" s="388"/>
      <c r="AX43" s="67"/>
      <c r="AY43" s="67"/>
    </row>
    <row r="44" spans="1:51">
      <c r="A44" s="228">
        <v>36</v>
      </c>
      <c r="B44" s="67"/>
      <c r="C44" s="67"/>
      <c r="D44" s="67"/>
      <c r="E44" s="67"/>
      <c r="F44" s="67"/>
      <c r="G44" s="67"/>
      <c r="H44" s="67"/>
      <c r="I44" s="67"/>
      <c r="J44" s="393">
        <f>+J30+J38+J42</f>
        <v>-133601647.91</v>
      </c>
      <c r="K44" s="389"/>
      <c r="L44" s="390"/>
      <c r="M44" s="393">
        <f>+M30+M38+M42</f>
        <v>-133595802.5</v>
      </c>
      <c r="N44" s="389"/>
      <c r="O44" s="390"/>
      <c r="P44" s="393">
        <f>+P30+P38+P42</f>
        <v>-133589957.16000001</v>
      </c>
      <c r="Q44" s="389"/>
      <c r="R44" s="390"/>
      <c r="S44" s="393">
        <f>+S30+S38+S42</f>
        <v>-134289346.97</v>
      </c>
      <c r="T44" s="389"/>
      <c r="U44" s="390"/>
      <c r="V44" s="393">
        <f>+V30+V38+V42</f>
        <v>-134174685.92</v>
      </c>
      <c r="W44" s="389"/>
      <c r="X44" s="390"/>
      <c r="Y44" s="393">
        <f>+Y30+Y38+Y42</f>
        <v>-134060024.98999999</v>
      </c>
      <c r="Z44" s="389"/>
      <c r="AA44" s="390"/>
      <c r="AB44" s="393">
        <f>+AB30+AB38+AB42</f>
        <v>-134264793.63</v>
      </c>
      <c r="AC44" s="389"/>
      <c r="AD44" s="390"/>
      <c r="AE44" s="393">
        <f>+AE30+AE38+AE42</f>
        <v>-134203375.75999999</v>
      </c>
      <c r="AF44" s="389"/>
      <c r="AG44" s="390"/>
      <c r="AH44" s="393">
        <f>+AH30+AH38+AH42</f>
        <v>-134141957.83</v>
      </c>
      <c r="AI44" s="389"/>
      <c r="AJ44" s="390"/>
      <c r="AK44" s="393">
        <f>+AK30+AK38+AK42</f>
        <v>-135268266.45999998</v>
      </c>
      <c r="AL44" s="389"/>
      <c r="AM44" s="390"/>
      <c r="AN44" s="393">
        <f>+AN30+AN38+AN42</f>
        <v>-135338820.88</v>
      </c>
      <c r="AO44" s="389"/>
      <c r="AP44" s="390"/>
      <c r="AQ44" s="393">
        <f>+AQ30+AQ38+AQ42</f>
        <v>-137105846.09999999</v>
      </c>
      <c r="AR44" s="389"/>
      <c r="AS44" s="390"/>
      <c r="AT44" s="393">
        <f>+AT30+AT38+AT42</f>
        <v>-136224441.74000001</v>
      </c>
      <c r="AU44" s="389"/>
      <c r="AV44" s="390"/>
      <c r="AW44" s="393">
        <f>+AW30+AW38+AW42</f>
        <v>-134578826.91875002</v>
      </c>
      <c r="AX44" s="67"/>
      <c r="AY44" s="67"/>
    </row>
    <row r="45" spans="1:51" ht="16.2" thickBot="1">
      <c r="A45" s="228">
        <v>37</v>
      </c>
      <c r="B45" s="67"/>
      <c r="C45" s="67"/>
      <c r="D45" s="67"/>
      <c r="E45" s="67"/>
      <c r="F45" s="67"/>
      <c r="G45" s="67"/>
      <c r="H45" s="67"/>
      <c r="I45" s="67"/>
      <c r="J45" s="388"/>
      <c r="K45" s="389"/>
      <c r="L45" s="390"/>
      <c r="M45" s="388"/>
      <c r="N45" s="389"/>
      <c r="O45" s="390"/>
      <c r="P45" s="388"/>
      <c r="Q45" s="389"/>
      <c r="R45" s="390"/>
      <c r="S45" s="388"/>
      <c r="T45" s="389"/>
      <c r="U45" s="390"/>
      <c r="V45" s="388"/>
      <c r="W45" s="389"/>
      <c r="X45" s="390"/>
      <c r="Y45" s="388"/>
      <c r="Z45" s="389"/>
      <c r="AA45" s="390"/>
      <c r="AB45" s="388"/>
      <c r="AC45" s="389"/>
      <c r="AD45" s="390"/>
      <c r="AE45" s="388"/>
      <c r="AF45" s="389"/>
      <c r="AG45" s="390"/>
      <c r="AH45" s="388"/>
      <c r="AI45" s="389"/>
      <c r="AJ45" s="390"/>
      <c r="AK45" s="388"/>
      <c r="AL45" s="389"/>
      <c r="AM45" s="390"/>
      <c r="AN45" s="388"/>
      <c r="AO45" s="389"/>
      <c r="AP45" s="390"/>
      <c r="AQ45" s="388"/>
      <c r="AR45" s="389"/>
      <c r="AS45" s="390"/>
      <c r="AT45" s="388"/>
      <c r="AU45" s="389"/>
      <c r="AV45" s="390"/>
      <c r="AW45" s="388"/>
      <c r="AX45" s="67"/>
      <c r="AY45" s="67"/>
    </row>
    <row r="46" spans="1:51">
      <c r="A46" s="16">
        <v>38</v>
      </c>
      <c r="B46" s="1246" t="s">
        <v>1622</v>
      </c>
      <c r="C46" s="1247"/>
      <c r="D46" s="1247"/>
      <c r="E46" s="1248"/>
      <c r="F46" s="67"/>
      <c r="G46" s="67"/>
      <c r="H46" s="67"/>
      <c r="I46" s="67"/>
      <c r="J46" s="388"/>
      <c r="K46" s="389"/>
      <c r="L46" s="390"/>
      <c r="M46" s="388"/>
      <c r="N46" s="389"/>
      <c r="O46" s="390"/>
      <c r="P46" s="388"/>
      <c r="Q46" s="389"/>
      <c r="R46" s="390"/>
      <c r="S46" s="388"/>
      <c r="T46" s="389"/>
      <c r="U46" s="390"/>
      <c r="V46" s="388"/>
      <c r="W46" s="389"/>
      <c r="X46" s="390"/>
      <c r="Y46" s="388"/>
      <c r="Z46" s="389"/>
      <c r="AA46" s="390"/>
      <c r="AB46" s="388"/>
      <c r="AC46" s="389"/>
      <c r="AD46" s="390"/>
      <c r="AE46" s="388"/>
      <c r="AF46" s="389"/>
      <c r="AG46" s="390"/>
      <c r="AH46" s="388"/>
      <c r="AI46" s="389"/>
      <c r="AJ46" s="390"/>
      <c r="AK46" s="388"/>
      <c r="AL46" s="389"/>
      <c r="AM46" s="390"/>
      <c r="AN46" s="388"/>
      <c r="AO46" s="389"/>
      <c r="AP46" s="390"/>
      <c r="AQ46" s="388"/>
      <c r="AR46" s="389"/>
      <c r="AS46" s="390"/>
      <c r="AT46" s="388"/>
      <c r="AU46" s="389"/>
      <c r="AV46" s="390"/>
      <c r="AW46" s="388"/>
      <c r="AX46" s="67"/>
      <c r="AY46" s="67"/>
    </row>
    <row r="47" spans="1:51">
      <c r="A47" s="16">
        <v>39</v>
      </c>
      <c r="B47" s="1249"/>
      <c r="C47" s="1250"/>
      <c r="D47" s="1250"/>
      <c r="E47" s="1251"/>
      <c r="F47" s="67"/>
      <c r="G47" s="67" t="s">
        <v>1522</v>
      </c>
      <c r="H47" s="67"/>
      <c r="I47" s="67"/>
      <c r="J47" s="388">
        <f>+J26+J38+J28</f>
        <v>-96815259.790000007</v>
      </c>
      <c r="K47" s="389"/>
      <c r="L47" s="390"/>
      <c r="M47" s="388">
        <f>+M26+M38+M28</f>
        <v>-96798119.579999998</v>
      </c>
      <c r="N47" s="389"/>
      <c r="O47" s="390"/>
      <c r="P47" s="388">
        <f>+P26+P38+P28</f>
        <v>-96780979.340000004</v>
      </c>
      <c r="Q47" s="389"/>
      <c r="R47" s="390"/>
      <c r="S47" s="388">
        <f>+S26+S38+S28</f>
        <v>-97223385.600000009</v>
      </c>
      <c r="T47" s="389"/>
      <c r="U47" s="390"/>
      <c r="V47" s="388">
        <f>+V26+V38+V28</f>
        <v>-97097374.659999996</v>
      </c>
      <c r="W47" s="389"/>
      <c r="X47" s="390"/>
      <c r="Y47" s="388">
        <f>+Y26+Y38+Y28</f>
        <v>-96971363.799999997</v>
      </c>
      <c r="Z47" s="389"/>
      <c r="AA47" s="390"/>
      <c r="AB47" s="388">
        <f>+AB26+AB38+AB28</f>
        <v>-97181324.890000001</v>
      </c>
      <c r="AC47" s="389"/>
      <c r="AD47" s="390"/>
      <c r="AE47" s="388">
        <f>+AE26+AE38+AE28</f>
        <v>-97111309.340000004</v>
      </c>
      <c r="AF47" s="389"/>
      <c r="AG47" s="390"/>
      <c r="AH47" s="388">
        <f>+AH26+AH38+AH28</f>
        <v>-97041293.75</v>
      </c>
      <c r="AI47" s="389"/>
      <c r="AJ47" s="390"/>
      <c r="AK47" s="388">
        <f>+AK26+AK38+AK28</f>
        <v>-98273089.640000001</v>
      </c>
      <c r="AL47" s="389"/>
      <c r="AM47" s="390"/>
      <c r="AN47" s="388">
        <f>+AN26+AN38+AN28</f>
        <v>-98347719.810000002</v>
      </c>
      <c r="AO47" s="389"/>
      <c r="AP47" s="390"/>
      <c r="AQ47" s="388">
        <f>+AQ26+AQ38+AQ28</f>
        <v>-100118820.69999999</v>
      </c>
      <c r="AR47" s="389"/>
      <c r="AS47" s="390"/>
      <c r="AT47" s="388">
        <f>+AT26+AT38+AT28</f>
        <v>-100067346.12</v>
      </c>
      <c r="AU47" s="389"/>
      <c r="AV47" s="390"/>
      <c r="AW47" s="388">
        <f>+AW26+AW38+AW28</f>
        <v>-97615507.005416676</v>
      </c>
      <c r="AX47" s="67"/>
      <c r="AY47" s="67"/>
    </row>
    <row r="48" spans="1:51">
      <c r="A48" s="16">
        <v>40</v>
      </c>
      <c r="B48" s="1249"/>
      <c r="C48" s="1250"/>
      <c r="D48" s="1250"/>
      <c r="E48" s="1251"/>
      <c r="F48" s="67"/>
      <c r="G48" s="67" t="s">
        <v>1523</v>
      </c>
      <c r="H48" s="67"/>
      <c r="I48" s="67"/>
      <c r="J48" s="391">
        <f>+J27+J29+J42</f>
        <v>-36786388.119999997</v>
      </c>
      <c r="K48" s="389"/>
      <c r="L48" s="390"/>
      <c r="M48" s="391">
        <f>+M27+M29+M42</f>
        <v>-36797682.920000002</v>
      </c>
      <c r="N48" s="389"/>
      <c r="O48" s="390"/>
      <c r="P48" s="391">
        <f>+P27+P29+P42</f>
        <v>-36808977.82</v>
      </c>
      <c r="Q48" s="389"/>
      <c r="R48" s="390"/>
      <c r="S48" s="391">
        <f>+S27+S29+S42</f>
        <v>-37065961.369999997</v>
      </c>
      <c r="T48" s="389"/>
      <c r="U48" s="390"/>
      <c r="V48" s="391">
        <f>+V27+V29+V42</f>
        <v>-37077311.259999998</v>
      </c>
      <c r="W48" s="389"/>
      <c r="X48" s="390"/>
      <c r="Y48" s="391">
        <f>+Y27+Y29+Y42</f>
        <v>-37088661.189999998</v>
      </c>
      <c r="Z48" s="389"/>
      <c r="AA48" s="390"/>
      <c r="AB48" s="391">
        <f>+AB27+AB29+AB42</f>
        <v>-37083468.740000002</v>
      </c>
      <c r="AC48" s="389"/>
      <c r="AD48" s="390"/>
      <c r="AE48" s="391">
        <f>+AE27+AE29+AE42</f>
        <v>-37092066.419999994</v>
      </c>
      <c r="AF48" s="389"/>
      <c r="AG48" s="390"/>
      <c r="AH48" s="391">
        <f>+AH27+AH29+AH42</f>
        <v>-37100664.079999998</v>
      </c>
      <c r="AI48" s="389"/>
      <c r="AJ48" s="390"/>
      <c r="AK48" s="391">
        <f>+AK27+AK29+AK42</f>
        <v>-36995176.82</v>
      </c>
      <c r="AL48" s="389"/>
      <c r="AM48" s="390"/>
      <c r="AN48" s="391">
        <f>+AN27+AN29+AN42</f>
        <v>-36991101.07</v>
      </c>
      <c r="AO48" s="389"/>
      <c r="AP48" s="390"/>
      <c r="AQ48" s="391">
        <f>+AQ27+AQ29+AQ42</f>
        <v>-36987025.399999999</v>
      </c>
      <c r="AR48" s="389"/>
      <c r="AS48" s="390"/>
      <c r="AT48" s="391">
        <f>+AT27+AT29+AT42</f>
        <v>-36157095.620000005</v>
      </c>
      <c r="AU48" s="389"/>
      <c r="AV48" s="390"/>
      <c r="AW48" s="391">
        <f>+AW27+AW29+AW42</f>
        <v>-36963319.913333334</v>
      </c>
      <c r="AX48" s="67"/>
      <c r="AY48" s="67"/>
    </row>
    <row r="49" spans="1:51" ht="16.2" thickBot="1">
      <c r="A49" s="228">
        <v>41</v>
      </c>
      <c r="B49" s="1249"/>
      <c r="C49" s="1250"/>
      <c r="D49" s="1250"/>
      <c r="E49" s="1251"/>
      <c r="F49" s="67"/>
      <c r="G49" s="67"/>
      <c r="H49" s="67"/>
      <c r="I49" s="67"/>
      <c r="J49" s="394">
        <f>+J47+J48</f>
        <v>-133601647.91</v>
      </c>
      <c r="K49" s="395"/>
      <c r="L49" s="396"/>
      <c r="M49" s="394">
        <f>+M47+M48</f>
        <v>-133595802.5</v>
      </c>
      <c r="N49" s="395"/>
      <c r="O49" s="396"/>
      <c r="P49" s="394">
        <f>+P47+P48</f>
        <v>-133589957.16</v>
      </c>
      <c r="Q49" s="395"/>
      <c r="R49" s="396"/>
      <c r="S49" s="394">
        <f>+S47+S48</f>
        <v>-134289346.97</v>
      </c>
      <c r="T49" s="395"/>
      <c r="U49" s="396"/>
      <c r="V49" s="394">
        <f>+V47+V48</f>
        <v>-134174685.91999999</v>
      </c>
      <c r="W49" s="395"/>
      <c r="X49" s="396"/>
      <c r="Y49" s="394">
        <f>+Y47+Y48</f>
        <v>-134060024.98999999</v>
      </c>
      <c r="Z49" s="395"/>
      <c r="AA49" s="396"/>
      <c r="AB49" s="394">
        <f>+AB47+AB48</f>
        <v>-134264793.63</v>
      </c>
      <c r="AC49" s="395"/>
      <c r="AD49" s="396"/>
      <c r="AE49" s="394">
        <f>+AE47+AE48</f>
        <v>-134203375.75999999</v>
      </c>
      <c r="AF49" s="395"/>
      <c r="AG49" s="396"/>
      <c r="AH49" s="394">
        <f>+AH47+AH48</f>
        <v>-134141957.83</v>
      </c>
      <c r="AI49" s="395"/>
      <c r="AJ49" s="396"/>
      <c r="AK49" s="394">
        <f>+AK47+AK48</f>
        <v>-135268266.46000001</v>
      </c>
      <c r="AL49" s="395"/>
      <c r="AM49" s="396"/>
      <c r="AN49" s="394">
        <f>+AN47+AN48</f>
        <v>-135338820.88</v>
      </c>
      <c r="AO49" s="395"/>
      <c r="AP49" s="396"/>
      <c r="AQ49" s="394">
        <f>+AQ47+AQ48</f>
        <v>-137105846.09999999</v>
      </c>
      <c r="AR49" s="395"/>
      <c r="AS49" s="396"/>
      <c r="AT49" s="394">
        <f>+AT47+AT48</f>
        <v>-136224441.74000001</v>
      </c>
      <c r="AU49" s="395"/>
      <c r="AV49" s="396"/>
      <c r="AW49" s="394">
        <f>+AW47+AW48</f>
        <v>-134578826.91875002</v>
      </c>
      <c r="AX49" s="67"/>
      <c r="AY49" s="67"/>
    </row>
    <row r="50" spans="1:51" ht="16.2" thickBot="1">
      <c r="A50" s="228">
        <v>42</v>
      </c>
      <c r="B50" s="1252"/>
      <c r="C50" s="1253"/>
      <c r="D50" s="1253"/>
      <c r="E50" s="1254"/>
      <c r="F50" s="67" t="s">
        <v>1525</v>
      </c>
      <c r="G50" s="67"/>
      <c r="H50" s="67"/>
      <c r="I50" s="67"/>
      <c r="J50" s="67">
        <f>+'Working Capital Work Paper'!F315</f>
        <v>-96815259.790000007</v>
      </c>
      <c r="M50" s="67">
        <f>+'Working Capital Work Paper'!G315</f>
        <v>-96798119.579999998</v>
      </c>
      <c r="P50" s="67">
        <f>+'Working Capital Work Paper'!H315</f>
        <v>-96780979.340000004</v>
      </c>
      <c r="S50" s="67">
        <f>+'Working Capital Work Paper'!I315</f>
        <v>-97223385.599999994</v>
      </c>
      <c r="V50" s="67">
        <f>+'Working Capital Work Paper'!J315</f>
        <v>-97097374.659999996</v>
      </c>
      <c r="W50" s="67"/>
      <c r="X50" s="67"/>
      <c r="Y50" s="67">
        <f>+'Working Capital Work Paper'!K315</f>
        <v>-96971363.799999997</v>
      </c>
      <c r="Z50" s="67"/>
      <c r="AA50" s="67"/>
      <c r="AB50" s="67">
        <f>+'Working Capital Work Paper'!L315</f>
        <v>-97181324.890000001</v>
      </c>
      <c r="AC50" s="67"/>
      <c r="AD50" s="67"/>
      <c r="AE50" s="67">
        <f>+'Working Capital Work Paper'!M315</f>
        <v>-97111309.340000004</v>
      </c>
      <c r="AF50" s="67"/>
      <c r="AG50" s="67"/>
      <c r="AH50" s="67">
        <f>+'Working Capital Work Paper'!N315</f>
        <v>-97041293.75</v>
      </c>
      <c r="AI50" s="67"/>
      <c r="AJ50" s="67"/>
      <c r="AK50" s="67">
        <f>+'Working Capital Work Paper'!O315</f>
        <v>-98273089.640000001</v>
      </c>
      <c r="AL50" s="67"/>
      <c r="AM50" s="67"/>
      <c r="AN50" s="67">
        <f>+'Working Capital Work Paper'!P315</f>
        <v>-98347719.810000002</v>
      </c>
      <c r="AO50" s="67"/>
      <c r="AP50" s="67"/>
      <c r="AQ50" s="67">
        <f>+'Working Capital Work Paper'!Q315</f>
        <v>-100118820.7</v>
      </c>
      <c r="AR50" s="67"/>
      <c r="AS50" s="67"/>
      <c r="AT50" s="67">
        <f>+'Working Capital Work Paper'!R315</f>
        <v>-100067346.12</v>
      </c>
      <c r="AV50" s="67"/>
      <c r="AW50" s="67">
        <f>+'Working Capital Work Paper'!S315</f>
        <v>-97615507.005416676</v>
      </c>
      <c r="AX50" s="67"/>
      <c r="AY50" s="67"/>
    </row>
    <row r="51" spans="1:51">
      <c r="A51" s="228">
        <v>43</v>
      </c>
      <c r="B51" s="67"/>
      <c r="C51" s="67"/>
      <c r="D51" s="67"/>
      <c r="E51" s="67"/>
      <c r="F51" s="67" t="s">
        <v>1526</v>
      </c>
      <c r="G51" s="67"/>
      <c r="H51" s="67"/>
      <c r="I51" s="67"/>
      <c r="J51" s="67">
        <f>+'Working Capital Work Paper'!F316</f>
        <v>-36786388.119999997</v>
      </c>
      <c r="M51" s="67">
        <f>+'Working Capital Work Paper'!G316</f>
        <v>-36797682.920000002</v>
      </c>
      <c r="P51" s="67">
        <f>+'Working Capital Work Paper'!H316</f>
        <v>-36808977.82</v>
      </c>
      <c r="S51" s="67">
        <f>+'Working Capital Work Paper'!I316</f>
        <v>-37065961.369999997</v>
      </c>
      <c r="V51" s="67">
        <f>+'Working Capital Work Paper'!J316</f>
        <v>-37077311.259999998</v>
      </c>
      <c r="W51" s="67"/>
      <c r="X51" s="67"/>
      <c r="Y51" s="67">
        <f>+'Working Capital Work Paper'!K316</f>
        <v>-37088661.189999998</v>
      </c>
      <c r="Z51" s="67"/>
      <c r="AA51" s="67"/>
      <c r="AB51" s="67">
        <f>+'Working Capital Work Paper'!L316</f>
        <v>-37083468.740000002</v>
      </c>
      <c r="AC51" s="67"/>
      <c r="AD51" s="67"/>
      <c r="AE51" s="67">
        <f>+'Working Capital Work Paper'!M316</f>
        <v>-37092066.420000002</v>
      </c>
      <c r="AF51" s="67"/>
      <c r="AG51" s="67"/>
      <c r="AH51" s="67">
        <f>+'Working Capital Work Paper'!N316</f>
        <v>-37100664.079999998</v>
      </c>
      <c r="AI51" s="67"/>
      <c r="AJ51" s="67"/>
      <c r="AK51" s="67">
        <f>+'Working Capital Work Paper'!O316</f>
        <v>-36995176.82</v>
      </c>
      <c r="AL51" s="67"/>
      <c r="AM51" s="67"/>
      <c r="AN51" s="67">
        <f>+'Working Capital Work Paper'!P316</f>
        <v>-36991101.07</v>
      </c>
      <c r="AO51" s="67"/>
      <c r="AP51" s="67"/>
      <c r="AQ51" s="67">
        <f>+'Working Capital Work Paper'!Q316</f>
        <v>-36987025.399999999</v>
      </c>
      <c r="AR51" s="67"/>
      <c r="AS51" s="67"/>
      <c r="AT51" s="67">
        <f>+'Working Capital Work Paper'!R316</f>
        <v>-36157095.619999997</v>
      </c>
      <c r="AV51" s="67"/>
      <c r="AW51" s="67">
        <f>+'Working Capital Work Paper'!S316</f>
        <v>-36963319.913333334</v>
      </c>
      <c r="AX51" s="67"/>
      <c r="AY51" s="67"/>
    </row>
    <row r="52" spans="1:51">
      <c r="A52" s="228">
        <v>44</v>
      </c>
      <c r="B52" s="67"/>
      <c r="C52" s="67"/>
      <c r="D52" s="67"/>
      <c r="E52" s="67"/>
      <c r="F52" s="67" t="s">
        <v>1527</v>
      </c>
      <c r="G52" s="67"/>
      <c r="H52" s="67"/>
      <c r="I52" s="67"/>
      <c r="J52" s="67">
        <f>+J47-J50</f>
        <v>0</v>
      </c>
      <c r="K52" s="67"/>
      <c r="L52" s="67"/>
      <c r="M52" s="67">
        <f>+M47-M50</f>
        <v>0</v>
      </c>
      <c r="N52" s="67"/>
      <c r="O52" s="67"/>
      <c r="P52" s="67">
        <f>+P47-P50</f>
        <v>0</v>
      </c>
      <c r="Q52" s="67"/>
      <c r="R52" s="67"/>
      <c r="S52" s="67">
        <f>+S47-S50</f>
        <v>0</v>
      </c>
      <c r="T52" s="67"/>
      <c r="U52" s="67"/>
      <c r="V52" s="67">
        <f>+V47-V50</f>
        <v>0</v>
      </c>
      <c r="W52" s="67"/>
      <c r="X52" s="67"/>
      <c r="Y52" s="67">
        <f>+Y47-Y50</f>
        <v>0</v>
      </c>
      <c r="Z52" s="67"/>
      <c r="AA52" s="67"/>
      <c r="AB52" s="67">
        <f>+AB47-AB50</f>
        <v>0</v>
      </c>
      <c r="AC52" s="67"/>
      <c r="AD52" s="67"/>
      <c r="AE52" s="67">
        <f>+AE47-AE50</f>
        <v>0</v>
      </c>
      <c r="AF52" s="67"/>
      <c r="AG52" s="67"/>
      <c r="AH52" s="67">
        <f>+AH47-AH50</f>
        <v>0</v>
      </c>
      <c r="AI52" s="67"/>
      <c r="AJ52" s="67"/>
      <c r="AK52" s="67">
        <f>+AK47-AK50</f>
        <v>0</v>
      </c>
      <c r="AL52" s="67"/>
      <c r="AM52" s="67"/>
      <c r="AN52" s="67">
        <f>+AN47-AN50</f>
        <v>0</v>
      </c>
      <c r="AO52" s="67"/>
      <c r="AP52" s="67"/>
      <c r="AQ52" s="67">
        <f>+AQ47-AQ50</f>
        <v>0</v>
      </c>
      <c r="AR52" s="67"/>
      <c r="AS52" s="67"/>
      <c r="AT52" s="67">
        <f>+AT47-AT50</f>
        <v>0</v>
      </c>
      <c r="AU52" s="67"/>
      <c r="AV52" s="67"/>
      <c r="AW52" s="67">
        <f>+AW47-AW50</f>
        <v>0</v>
      </c>
      <c r="AX52" s="67"/>
      <c r="AY52" s="67"/>
    </row>
    <row r="53" spans="1:51">
      <c r="A53" s="228">
        <v>45</v>
      </c>
      <c r="B53" s="67"/>
      <c r="C53" s="67"/>
      <c r="D53" s="67"/>
      <c r="E53" s="67"/>
      <c r="F53" s="67" t="s">
        <v>1527</v>
      </c>
      <c r="G53" s="67"/>
      <c r="H53" s="67"/>
      <c r="I53" s="67"/>
      <c r="J53" s="67">
        <f>+J48-J51</f>
        <v>0</v>
      </c>
      <c r="K53" s="67"/>
      <c r="L53" s="67"/>
      <c r="M53" s="67">
        <f>+M48-M51</f>
        <v>0</v>
      </c>
      <c r="N53" s="67"/>
      <c r="O53" s="67"/>
      <c r="P53" s="67">
        <f>+P48-P51</f>
        <v>0</v>
      </c>
      <c r="Q53" s="67"/>
      <c r="R53" s="67"/>
      <c r="S53" s="67">
        <f>+S48-S51</f>
        <v>0</v>
      </c>
      <c r="T53" s="67"/>
      <c r="U53" s="67"/>
      <c r="V53" s="67">
        <f>+V48-V51</f>
        <v>0</v>
      </c>
      <c r="W53" s="67"/>
      <c r="X53" s="67"/>
      <c r="Y53" s="67">
        <f>+Y48-Y51</f>
        <v>0</v>
      </c>
      <c r="Z53" s="67"/>
      <c r="AA53" s="67"/>
      <c r="AB53" s="67">
        <f>+AB48-AB51</f>
        <v>0</v>
      </c>
      <c r="AC53" s="67"/>
      <c r="AD53" s="67"/>
      <c r="AE53" s="67">
        <f>+AE48-AE51</f>
        <v>0</v>
      </c>
      <c r="AF53" s="67"/>
      <c r="AG53" s="67"/>
      <c r="AH53" s="67">
        <f>+AH48-AH51</f>
        <v>0</v>
      </c>
      <c r="AI53" s="67"/>
      <c r="AJ53" s="67"/>
      <c r="AK53" s="67">
        <f>+AK48-AK51</f>
        <v>0</v>
      </c>
      <c r="AL53" s="67"/>
      <c r="AM53" s="67"/>
      <c r="AN53" s="67">
        <f>+AN48-AN51</f>
        <v>0</v>
      </c>
      <c r="AO53" s="67"/>
      <c r="AP53" s="67"/>
      <c r="AQ53" s="67">
        <f>+AQ48-AQ51</f>
        <v>0</v>
      </c>
      <c r="AR53" s="67"/>
      <c r="AS53" s="67"/>
      <c r="AT53" s="67">
        <f>+AT48-AT51</f>
        <v>0</v>
      </c>
      <c r="AU53" s="67"/>
      <c r="AV53" s="67"/>
      <c r="AW53" s="67">
        <f>+AW48-AW51</f>
        <v>0</v>
      </c>
      <c r="AX53" s="67"/>
      <c r="AY53" s="67"/>
    </row>
    <row r="54" spans="1:5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row>
    <row r="55" spans="1:51">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1:51">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row>
    <row r="57" spans="1:51">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row>
    <row r="58" spans="1:51">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row>
    <row r="59" spans="1:51">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row>
    <row r="60" spans="1:51">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row>
    <row r="61" spans="1:51">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1" workbookViewId="0">
      <selection activeCell="A3" sqref="A3:H3"/>
    </sheetView>
  </sheetViews>
  <sheetFormatPr defaultColWidth="9.109375" defaultRowHeight="15.6"/>
  <cols>
    <col min="1" max="1" width="1.44140625" style="3" bestFit="1" customWidth="1"/>
    <col min="2" max="2" width="4.88671875" style="3" bestFit="1" customWidth="1"/>
    <col min="3" max="3" width="9.109375" style="3"/>
    <col min="4" max="4" width="54.109375" style="3" bestFit="1" customWidth="1"/>
    <col min="5" max="5" width="16.88671875" style="3" bestFit="1" customWidth="1"/>
    <col min="6" max="16384" width="9.109375" style="3"/>
  </cols>
  <sheetData>
    <row r="1" spans="2:8">
      <c r="D1" s="2"/>
      <c r="E1" s="2"/>
      <c r="F1" s="2"/>
      <c r="G1" s="2"/>
      <c r="H1" s="2"/>
    </row>
    <row r="2" spans="2:8">
      <c r="C2" s="1229" t="s">
        <v>54</v>
      </c>
      <c r="D2" s="1229"/>
      <c r="E2" s="1229"/>
      <c r="F2" s="2"/>
      <c r="G2" s="2"/>
      <c r="H2" s="2"/>
    </row>
    <row r="3" spans="2:8">
      <c r="C3" s="1229" t="s">
        <v>1261</v>
      </c>
      <c r="D3" s="1229"/>
      <c r="E3" s="1229"/>
      <c r="F3" s="2"/>
      <c r="G3" s="2"/>
      <c r="H3" s="2"/>
    </row>
    <row r="4" spans="2:8">
      <c r="C4" s="1229" t="s">
        <v>1263</v>
      </c>
      <c r="D4" s="1229"/>
      <c r="E4" s="1229"/>
      <c r="F4" s="2"/>
      <c r="G4" s="2"/>
      <c r="H4" s="2"/>
    </row>
    <row r="5" spans="2:8">
      <c r="C5" s="1229" t="s">
        <v>1255</v>
      </c>
      <c r="D5" s="1229"/>
      <c r="E5" s="1229"/>
      <c r="F5" s="2"/>
      <c r="G5" s="2"/>
      <c r="H5" s="2"/>
    </row>
    <row r="6" spans="2:8">
      <c r="C6" s="1229" t="s">
        <v>953</v>
      </c>
      <c r="D6" s="1229"/>
      <c r="E6" s="1229"/>
      <c r="F6" s="2"/>
      <c r="G6" s="2"/>
      <c r="H6" s="2"/>
    </row>
    <row r="9" spans="2:8">
      <c r="B9" s="398"/>
      <c r="C9" s="399"/>
      <c r="D9" s="400" t="s">
        <v>54</v>
      </c>
      <c r="E9" s="401"/>
    </row>
    <row r="10" spans="2:8">
      <c r="B10" s="402"/>
      <c r="C10" s="11"/>
      <c r="D10" s="403" t="s">
        <v>1255</v>
      </c>
      <c r="E10" s="404"/>
    </row>
    <row r="11" spans="2:8">
      <c r="B11" s="405"/>
      <c r="C11" s="406"/>
      <c r="D11" s="407" t="s">
        <v>371</v>
      </c>
      <c r="E11" s="408"/>
    </row>
    <row r="12" spans="2:8">
      <c r="B12" s="409"/>
      <c r="C12" s="11"/>
      <c r="D12" s="11"/>
      <c r="E12" s="409"/>
    </row>
    <row r="13" spans="2:8">
      <c r="B13" s="410" t="s">
        <v>372</v>
      </c>
      <c r="C13" s="10"/>
      <c r="D13" s="10"/>
      <c r="E13" s="410" t="s">
        <v>52</v>
      </c>
    </row>
    <row r="14" spans="2:8">
      <c r="B14" s="411" t="s">
        <v>373</v>
      </c>
      <c r="C14" s="407"/>
      <c r="D14" s="407" t="s">
        <v>374</v>
      </c>
      <c r="E14" s="411" t="s">
        <v>371</v>
      </c>
    </row>
    <row r="15" spans="2:8">
      <c r="B15" s="412"/>
      <c r="C15" s="413"/>
      <c r="D15" s="413" t="s">
        <v>108</v>
      </c>
      <c r="E15" s="412" t="s">
        <v>109</v>
      </c>
    </row>
    <row r="16" spans="2:8">
      <c r="B16" s="414"/>
      <c r="C16" s="11"/>
      <c r="D16" s="11"/>
      <c r="E16" s="414"/>
    </row>
    <row r="17" spans="1:7">
      <c r="B17" s="410">
        <v>1</v>
      </c>
      <c r="C17" s="11"/>
      <c r="D17" s="11" t="s">
        <v>375</v>
      </c>
      <c r="E17" s="415">
        <f>-'Working Capital Work Paper'!U342</f>
        <v>401629941.89166671</v>
      </c>
      <c r="G17" s="11"/>
    </row>
    <row r="18" spans="1:7">
      <c r="B18" s="410"/>
      <c r="C18" s="11"/>
      <c r="D18" s="11"/>
      <c r="E18" s="416"/>
    </row>
    <row r="19" spans="1:7">
      <c r="B19" s="410">
        <v>2</v>
      </c>
      <c r="C19" s="11"/>
      <c r="D19" s="11" t="s">
        <v>376</v>
      </c>
      <c r="E19" s="417">
        <f>+'Working Capital Work Paper'!V342</f>
        <v>333641208.78666663</v>
      </c>
    </row>
    <row r="20" spans="1:7">
      <c r="B20" s="410">
        <v>3</v>
      </c>
      <c r="C20" s="11"/>
      <c r="D20" s="11" t="s">
        <v>377</v>
      </c>
      <c r="E20" s="417">
        <f>+'Working Capital Work Paper'!W342</f>
        <v>31260829.359166674</v>
      </c>
    </row>
    <row r="21" spans="1:7">
      <c r="B21" s="410">
        <v>4</v>
      </c>
      <c r="C21" s="11"/>
      <c r="D21" s="11" t="s">
        <v>378</v>
      </c>
      <c r="E21" s="418">
        <f>+E19+E20</f>
        <v>364902038.14583331</v>
      </c>
    </row>
    <row r="22" spans="1:7">
      <c r="B22" s="410"/>
      <c r="C22" s="11"/>
      <c r="D22" s="11"/>
      <c r="E22" s="416"/>
    </row>
    <row r="23" spans="1:7" ht="16.2" thickBot="1">
      <c r="B23" s="410">
        <v>5</v>
      </c>
      <c r="C23" s="11"/>
      <c r="D23" s="11" t="s">
        <v>379</v>
      </c>
      <c r="E23" s="419">
        <f>+E17-E21</f>
        <v>36727903.745833397</v>
      </c>
    </row>
    <row r="24" spans="1:7" ht="16.2" thickTop="1">
      <c r="B24" s="410"/>
      <c r="C24" s="11"/>
      <c r="D24" s="11"/>
      <c r="E24" s="414"/>
    </row>
    <row r="25" spans="1:7" ht="16.2" thickBot="1">
      <c r="B25" s="410">
        <v>6</v>
      </c>
      <c r="C25" s="11"/>
      <c r="D25" s="11" t="s">
        <v>380</v>
      </c>
      <c r="E25" s="420">
        <f>+E23/E21</f>
        <v>0.1006514075187354</v>
      </c>
    </row>
    <row r="26" spans="1:7" ht="16.2" thickTop="1">
      <c r="B26" s="411"/>
      <c r="C26" s="406"/>
      <c r="D26" s="406"/>
      <c r="E26" s="421"/>
    </row>
    <row r="27" spans="1:7">
      <c r="B27" s="422"/>
      <c r="C27" s="11"/>
      <c r="D27" s="10" t="s">
        <v>54</v>
      </c>
      <c r="E27" s="404"/>
    </row>
    <row r="28" spans="1:7">
      <c r="B28" s="422"/>
      <c r="C28" s="11"/>
      <c r="D28" s="403" t="s">
        <v>1255</v>
      </c>
      <c r="E28" s="404"/>
    </row>
    <row r="29" spans="1:7">
      <c r="B29" s="423"/>
      <c r="C29" s="406"/>
      <c r="D29" s="407" t="s">
        <v>381</v>
      </c>
      <c r="E29" s="408"/>
    </row>
    <row r="30" spans="1:7">
      <c r="A30" s="3" t="s">
        <v>50</v>
      </c>
      <c r="B30" s="424"/>
      <c r="C30" s="11"/>
      <c r="D30" s="11"/>
      <c r="E30" s="409"/>
    </row>
    <row r="31" spans="1:7">
      <c r="B31" s="410" t="s">
        <v>372</v>
      </c>
      <c r="C31" s="10"/>
      <c r="D31" s="10"/>
      <c r="E31" s="410"/>
    </row>
    <row r="32" spans="1:7">
      <c r="B32" s="411" t="s">
        <v>373</v>
      </c>
      <c r="C32" s="407"/>
      <c r="D32" s="407" t="s">
        <v>374</v>
      </c>
      <c r="E32" s="411" t="s">
        <v>382</v>
      </c>
    </row>
    <row r="33" spans="2:5">
      <c r="B33" s="412"/>
      <c r="C33" s="413"/>
      <c r="D33" s="413" t="s">
        <v>108</v>
      </c>
      <c r="E33" s="412" t="s">
        <v>109</v>
      </c>
    </row>
    <row r="34" spans="2:5">
      <c r="B34" s="410"/>
      <c r="C34" s="11"/>
      <c r="D34" s="11"/>
      <c r="E34" s="414"/>
    </row>
    <row r="35" spans="2:5">
      <c r="B35" s="410">
        <v>7</v>
      </c>
      <c r="C35" s="11"/>
      <c r="D35" s="11" t="s">
        <v>383</v>
      </c>
      <c r="E35" s="416">
        <f>+'Rate Base'!D13</f>
        <v>677314165.18981874</v>
      </c>
    </row>
    <row r="36" spans="2:5">
      <c r="B36" s="410">
        <v>8</v>
      </c>
      <c r="C36" s="11"/>
      <c r="D36" s="12" t="s">
        <v>384</v>
      </c>
      <c r="E36" s="416">
        <f>+'Rate Base'!D14</f>
        <v>-345424354.83661753</v>
      </c>
    </row>
    <row r="37" spans="2:5">
      <c r="B37" s="410">
        <v>9</v>
      </c>
      <c r="C37" s="11"/>
      <c r="D37" s="12" t="s">
        <v>367</v>
      </c>
      <c r="E37" s="416">
        <f>+'Rate Base'!D16</f>
        <v>-3771590.387083333</v>
      </c>
    </row>
    <row r="38" spans="2:5">
      <c r="B38" s="410">
        <v>10</v>
      </c>
      <c r="C38" s="11"/>
      <c r="D38" s="12" t="s">
        <v>385</v>
      </c>
      <c r="E38" s="425">
        <f>+'Rate Base'!D17</f>
        <v>-73667038.139583334</v>
      </c>
    </row>
    <row r="39" spans="2:5">
      <c r="B39" s="410"/>
      <c r="C39" s="11"/>
      <c r="D39" s="12"/>
      <c r="E39" s="416"/>
    </row>
    <row r="40" spans="2:5">
      <c r="B40" s="410">
        <v>11</v>
      </c>
      <c r="C40" s="11"/>
      <c r="D40" s="12" t="s">
        <v>386</v>
      </c>
      <c r="E40" s="416">
        <f>SUM(E35:E38)</f>
        <v>254451181.82653451</v>
      </c>
    </row>
    <row r="41" spans="2:5">
      <c r="B41" s="410"/>
      <c r="C41" s="11"/>
      <c r="D41" s="12"/>
      <c r="E41" s="416"/>
    </row>
    <row r="42" spans="2:5">
      <c r="B42" s="410">
        <v>12</v>
      </c>
      <c r="C42" s="11"/>
      <c r="D42" s="12" t="s">
        <v>1506</v>
      </c>
      <c r="E42" s="426">
        <f>+E25</f>
        <v>0.1006514075187354</v>
      </c>
    </row>
    <row r="43" spans="2:5">
      <c r="B43" s="410"/>
      <c r="C43" s="11"/>
      <c r="D43" s="12"/>
      <c r="E43" s="416"/>
    </row>
    <row r="44" spans="2:5" ht="16.2" thickBot="1">
      <c r="B44" s="410">
        <v>13</v>
      </c>
      <c r="C44" s="11"/>
      <c r="D44" s="12" t="s">
        <v>1507</v>
      </c>
      <c r="E44" s="427">
        <f>+E40*E42</f>
        <v>25610869.595646363</v>
      </c>
    </row>
    <row r="45" spans="2:5" ht="16.2" thickTop="1">
      <c r="B45" s="411"/>
      <c r="C45" s="406"/>
      <c r="D45" s="428"/>
      <c r="E45" s="425"/>
    </row>
    <row r="46" spans="2:5">
      <c r="B46" s="5"/>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view="pageBreakPreview" topLeftCell="I42" zoomScaleNormal="75" zoomScaleSheetLayoutView="100" workbookViewId="0">
      <selection activeCell="L62" sqref="L62"/>
    </sheetView>
  </sheetViews>
  <sheetFormatPr defaultColWidth="17.88671875" defaultRowHeight="13.2"/>
  <cols>
    <col min="1" max="1" width="7.88671875" style="839" bestFit="1" customWidth="1"/>
    <col min="2" max="2" width="17.6640625" style="748" customWidth="1"/>
    <col min="3" max="3" width="11.33203125" style="748" bestFit="1" customWidth="1"/>
    <col min="4" max="4" width="8.6640625" style="748" customWidth="1"/>
    <col min="5" max="5" width="10.44140625" style="748" customWidth="1"/>
    <col min="6" max="6" width="22.44140625" style="748" customWidth="1"/>
    <col min="7" max="7" width="15.109375" style="748" customWidth="1"/>
    <col min="8" max="9" width="15.44140625" style="748" bestFit="1" customWidth="1"/>
    <col min="10" max="10" width="8.33203125" style="748" bestFit="1" customWidth="1"/>
    <col min="11" max="11" width="15.5546875" style="748" bestFit="1" customWidth="1"/>
    <col min="12" max="13" width="11.6640625" style="748" bestFit="1" customWidth="1"/>
    <col min="14" max="14" width="12.33203125" style="748" bestFit="1" customWidth="1"/>
    <col min="15" max="15" width="10.88671875" style="748" bestFit="1" customWidth="1"/>
    <col min="16" max="16" width="12" style="748" bestFit="1" customWidth="1"/>
    <col min="17" max="17" width="10.44140625" style="748" bestFit="1" customWidth="1"/>
    <col min="18" max="18" width="13.44140625" style="748" customWidth="1"/>
    <col min="19" max="19" width="15.109375" style="748" customWidth="1"/>
    <col min="20" max="20" width="26.5546875" style="748" customWidth="1"/>
    <col min="21" max="16384" width="17.88671875" style="748"/>
  </cols>
  <sheetData>
    <row r="1" spans="1:20" ht="15.6">
      <c r="H1" s="1229" t="s">
        <v>54</v>
      </c>
      <c r="I1" s="1229"/>
      <c r="J1" s="1229"/>
      <c r="K1" s="1229"/>
      <c r="L1" s="1229"/>
      <c r="M1" s="1229"/>
      <c r="N1" s="1229"/>
      <c r="O1" s="1229"/>
      <c r="P1" s="1229"/>
    </row>
    <row r="2" spans="1:20" ht="15.6">
      <c r="H2" s="1229" t="s">
        <v>1261</v>
      </c>
      <c r="I2" s="1229"/>
      <c r="J2" s="1229"/>
      <c r="K2" s="1229"/>
      <c r="L2" s="1229"/>
      <c r="M2" s="1229"/>
      <c r="N2" s="1229"/>
      <c r="O2" s="1229"/>
      <c r="P2" s="1229"/>
    </row>
    <row r="3" spans="1:20" ht="15.6">
      <c r="B3" s="827"/>
      <c r="H3" s="1229" t="s">
        <v>1264</v>
      </c>
      <c r="I3" s="1229"/>
      <c r="J3" s="1229"/>
      <c r="K3" s="1229"/>
      <c r="L3" s="1229"/>
      <c r="M3" s="1229"/>
      <c r="N3" s="1229"/>
      <c r="O3" s="1229"/>
      <c r="P3" s="1229"/>
    </row>
    <row r="4" spans="1:20" ht="15.6">
      <c r="H4" s="1229" t="s">
        <v>1642</v>
      </c>
      <c r="I4" s="1229"/>
      <c r="J4" s="1229"/>
      <c r="K4" s="1229"/>
      <c r="L4" s="1229"/>
      <c r="M4" s="1229"/>
      <c r="N4" s="1229"/>
      <c r="O4" s="1229"/>
      <c r="P4" s="1229"/>
    </row>
    <row r="5" spans="1:20" ht="15.6">
      <c r="B5" s="826"/>
      <c r="H5" s="1229" t="s">
        <v>953</v>
      </c>
      <c r="I5" s="1229"/>
      <c r="J5" s="1229"/>
      <c r="K5" s="1229"/>
      <c r="L5" s="1229"/>
      <c r="M5" s="1229"/>
      <c r="N5" s="1229"/>
      <c r="O5" s="1229"/>
      <c r="P5" s="1229"/>
    </row>
    <row r="6" spans="1:20" s="839" customFormat="1" ht="15.6">
      <c r="B6" s="840" t="s">
        <v>1272</v>
      </c>
      <c r="C6" s="839" t="s">
        <v>1270</v>
      </c>
      <c r="D6" s="839" t="s">
        <v>1271</v>
      </c>
      <c r="E6" s="839" t="s">
        <v>1274</v>
      </c>
      <c r="F6" s="839" t="s">
        <v>1275</v>
      </c>
      <c r="G6" s="839" t="s">
        <v>1276</v>
      </c>
      <c r="H6" s="841" t="s">
        <v>1277</v>
      </c>
      <c r="I6" s="841" t="s">
        <v>1278</v>
      </c>
      <c r="J6" s="841" t="s">
        <v>1279</v>
      </c>
      <c r="K6" s="841" t="s">
        <v>1280</v>
      </c>
      <c r="L6" s="841" t="s">
        <v>1281</v>
      </c>
      <c r="M6" s="841" t="s">
        <v>1282</v>
      </c>
      <c r="N6" s="841" t="s">
        <v>1283</v>
      </c>
      <c r="O6" s="841" t="s">
        <v>1284</v>
      </c>
      <c r="P6" s="841" t="s">
        <v>1285</v>
      </c>
      <c r="Q6" s="839" t="s">
        <v>1539</v>
      </c>
      <c r="R6" s="839" t="s">
        <v>1540</v>
      </c>
      <c r="S6" s="839" t="s">
        <v>1541</v>
      </c>
      <c r="T6" s="839" t="s">
        <v>1542</v>
      </c>
    </row>
    <row r="7" spans="1:20" ht="14.4" thickBot="1">
      <c r="B7" s="826" t="s">
        <v>1620</v>
      </c>
    </row>
    <row r="8" spans="1:20">
      <c r="A8" s="839" t="s">
        <v>883</v>
      </c>
      <c r="B8" s="825"/>
      <c r="C8" s="824"/>
      <c r="D8" s="824"/>
      <c r="E8" s="823"/>
      <c r="F8" s="819"/>
      <c r="G8" s="819"/>
      <c r="H8" s="822"/>
      <c r="I8" s="822"/>
      <c r="J8" s="821"/>
      <c r="K8" s="820"/>
      <c r="L8" s="819"/>
      <c r="M8" s="819"/>
      <c r="N8" s="818"/>
      <c r="O8" s="820"/>
      <c r="P8" s="819"/>
      <c r="Q8" s="818"/>
      <c r="R8" s="820"/>
      <c r="S8" s="819"/>
      <c r="T8" s="818"/>
    </row>
    <row r="9" spans="1:20">
      <c r="A9" s="839">
        <v>1</v>
      </c>
      <c r="B9" s="817" t="s">
        <v>54</v>
      </c>
      <c r="C9" s="813"/>
      <c r="D9" s="813"/>
      <c r="E9" s="812"/>
      <c r="F9" s="816" t="s">
        <v>54</v>
      </c>
      <c r="G9" s="807"/>
      <c r="H9" s="810"/>
      <c r="I9" s="810"/>
      <c r="J9" s="809"/>
      <c r="K9" s="815" t="s">
        <v>54</v>
      </c>
      <c r="L9" s="807"/>
      <c r="M9" s="807"/>
      <c r="N9" s="806"/>
      <c r="O9" s="815" t="s">
        <v>54</v>
      </c>
      <c r="P9" s="807"/>
      <c r="Q9" s="806"/>
      <c r="R9" s="815" t="s">
        <v>54</v>
      </c>
      <c r="S9" s="807"/>
      <c r="T9" s="806"/>
    </row>
    <row r="10" spans="1:20" ht="15.6">
      <c r="A10" s="839">
        <v>2</v>
      </c>
      <c r="B10" s="817" t="s">
        <v>1619</v>
      </c>
      <c r="C10" s="813"/>
      <c r="D10" s="813"/>
      <c r="E10" s="812"/>
      <c r="F10" s="816" t="s">
        <v>1618</v>
      </c>
      <c r="G10" s="807"/>
      <c r="H10" s="810"/>
      <c r="I10" s="810"/>
      <c r="J10" s="809"/>
      <c r="K10" s="815" t="s">
        <v>1617</v>
      </c>
      <c r="L10" s="807"/>
      <c r="M10" s="807"/>
      <c r="N10" s="806"/>
      <c r="O10" s="815" t="s">
        <v>1616</v>
      </c>
      <c r="P10" s="807"/>
      <c r="Q10" s="806"/>
      <c r="R10" s="815" t="s">
        <v>115</v>
      </c>
      <c r="S10" s="807"/>
      <c r="T10" s="806"/>
    </row>
    <row r="11" spans="1:20">
      <c r="A11" s="839">
        <v>3</v>
      </c>
      <c r="B11" s="814">
        <v>2015</v>
      </c>
      <c r="C11" s="813"/>
      <c r="D11" s="813"/>
      <c r="E11" s="812"/>
      <c r="F11" s="811">
        <f>+B11</f>
        <v>2015</v>
      </c>
      <c r="G11" s="807"/>
      <c r="H11" s="810"/>
      <c r="I11" s="810"/>
      <c r="J11" s="809"/>
      <c r="K11" s="808">
        <f>+B11</f>
        <v>2015</v>
      </c>
      <c r="L11" s="807"/>
      <c r="M11" s="807"/>
      <c r="N11" s="806"/>
      <c r="O11" s="808">
        <f>B11</f>
        <v>2015</v>
      </c>
      <c r="P11" s="807"/>
      <c r="Q11" s="806"/>
      <c r="R11" s="808">
        <f>B11</f>
        <v>2015</v>
      </c>
      <c r="S11" s="807"/>
      <c r="T11" s="806"/>
    </row>
    <row r="12" spans="1:20">
      <c r="B12" s="767"/>
      <c r="C12" s="766"/>
      <c r="D12" s="766"/>
      <c r="E12" s="765"/>
      <c r="F12" s="762"/>
      <c r="G12" s="762"/>
      <c r="H12" s="777"/>
      <c r="I12" s="777"/>
      <c r="J12" s="776"/>
      <c r="K12" s="763"/>
      <c r="L12" s="762"/>
      <c r="M12" s="762"/>
      <c r="N12" s="761"/>
      <c r="O12" s="763"/>
      <c r="P12" s="762"/>
      <c r="Q12" s="761"/>
      <c r="R12" s="763"/>
      <c r="S12" s="762"/>
      <c r="T12" s="761"/>
    </row>
    <row r="13" spans="1:20">
      <c r="A13" s="839">
        <v>4</v>
      </c>
      <c r="B13" s="767"/>
      <c r="C13" s="766"/>
      <c r="D13" s="766"/>
      <c r="E13" s="765"/>
      <c r="F13" s="764" t="s">
        <v>1615</v>
      </c>
      <c r="G13" s="762"/>
      <c r="H13" s="802" t="s">
        <v>382</v>
      </c>
      <c r="I13" s="802" t="s">
        <v>985</v>
      </c>
      <c r="J13" s="776"/>
      <c r="K13" s="763"/>
      <c r="L13" s="762"/>
      <c r="M13" s="762"/>
      <c r="N13" s="761"/>
      <c r="O13" s="763"/>
      <c r="P13" s="762"/>
      <c r="Q13" s="761"/>
      <c r="R13" s="763"/>
      <c r="S13" s="762"/>
      <c r="T13" s="761"/>
    </row>
    <row r="14" spans="1:20">
      <c r="A14" s="839">
        <v>5</v>
      </c>
      <c r="B14" s="767"/>
      <c r="C14" s="805" t="s">
        <v>382</v>
      </c>
      <c r="D14" s="805" t="s">
        <v>985</v>
      </c>
      <c r="E14" s="804" t="s">
        <v>52</v>
      </c>
      <c r="F14" s="762"/>
      <c r="G14" s="803"/>
      <c r="H14" s="802" t="s">
        <v>1067</v>
      </c>
      <c r="I14" s="802" t="s">
        <v>1067</v>
      </c>
      <c r="J14" s="776"/>
      <c r="K14" s="763"/>
      <c r="L14" s="762"/>
      <c r="M14" s="762"/>
      <c r="N14" s="761"/>
      <c r="O14" s="763"/>
      <c r="P14" s="797" t="s">
        <v>1614</v>
      </c>
      <c r="Q14" s="799"/>
      <c r="R14" s="784" t="s">
        <v>1613</v>
      </c>
      <c r="S14" s="762"/>
      <c r="T14" s="761"/>
    </row>
    <row r="15" spans="1:20">
      <c r="A15" s="839">
        <v>6</v>
      </c>
      <c r="B15" s="767"/>
      <c r="C15" s="775"/>
      <c r="D15" s="775"/>
      <c r="E15" s="774"/>
      <c r="F15" s="762"/>
      <c r="G15" s="795" t="s">
        <v>1612</v>
      </c>
      <c r="H15" s="801" t="s">
        <v>1611</v>
      </c>
      <c r="I15" s="801" t="s">
        <v>1611</v>
      </c>
      <c r="J15" s="776"/>
      <c r="K15" s="763"/>
      <c r="L15" s="797" t="s">
        <v>382</v>
      </c>
      <c r="M15" s="797" t="s">
        <v>985</v>
      </c>
      <c r="N15" s="799"/>
      <c r="O15" s="763"/>
      <c r="P15" s="795" t="s">
        <v>1610</v>
      </c>
      <c r="Q15" s="794" t="s">
        <v>1603</v>
      </c>
      <c r="R15" s="763"/>
      <c r="S15" s="762"/>
      <c r="T15" s="761"/>
    </row>
    <row r="16" spans="1:20">
      <c r="A16" s="839">
        <v>7</v>
      </c>
      <c r="B16" s="781" t="s">
        <v>1609</v>
      </c>
      <c r="C16" s="779">
        <f>Q17</f>
        <v>0.74880000000000002</v>
      </c>
      <c r="D16" s="779">
        <f>E16-C16</f>
        <v>0.25119999999999998</v>
      </c>
      <c r="E16" s="778">
        <v>1</v>
      </c>
      <c r="F16" s="762"/>
      <c r="G16" s="769"/>
      <c r="H16" s="783"/>
      <c r="I16" s="783"/>
      <c r="J16" s="776"/>
      <c r="K16" s="763"/>
      <c r="L16" s="795" t="s">
        <v>1608</v>
      </c>
      <c r="M16" s="795" t="s">
        <v>1608</v>
      </c>
      <c r="N16" s="794" t="s">
        <v>52</v>
      </c>
      <c r="O16" s="763"/>
      <c r="P16" s="769"/>
      <c r="Q16" s="768"/>
      <c r="R16" s="763"/>
      <c r="S16" s="762"/>
      <c r="T16" s="761"/>
    </row>
    <row r="17" spans="1:21">
      <c r="A17" s="839">
        <v>8</v>
      </c>
      <c r="B17" s="781" t="s">
        <v>1607</v>
      </c>
      <c r="C17" s="779">
        <f>H39</f>
        <v>0.73719999999999997</v>
      </c>
      <c r="D17" s="779">
        <f>E17-C17</f>
        <v>0.26280000000000003</v>
      </c>
      <c r="E17" s="778">
        <v>1</v>
      </c>
      <c r="F17" s="762"/>
      <c r="G17" s="786">
        <v>42004</v>
      </c>
      <c r="H17" s="790">
        <v>169</v>
      </c>
      <c r="I17" s="790">
        <v>55</v>
      </c>
      <c r="J17" s="776"/>
      <c r="K17" s="763"/>
      <c r="L17" s="769"/>
      <c r="M17" s="769"/>
      <c r="N17" s="768"/>
      <c r="O17" s="784" t="s">
        <v>382</v>
      </c>
      <c r="P17" s="790">
        <f>+P62</f>
        <v>204867.66666666666</v>
      </c>
      <c r="Q17" s="792">
        <f>ROUND(P17/P21,4)</f>
        <v>0.74880000000000002</v>
      </c>
      <c r="R17" s="763"/>
      <c r="S17" s="800">
        <f>R11</f>
        <v>2015</v>
      </c>
      <c r="T17" s="799"/>
    </row>
    <row r="18" spans="1:21">
      <c r="A18" s="839">
        <v>9</v>
      </c>
      <c r="B18" s="781" t="s">
        <v>1606</v>
      </c>
      <c r="C18" s="788">
        <f>L25</f>
        <v>0.77239999999999998</v>
      </c>
      <c r="D18" s="788">
        <f>E18-C18</f>
        <v>0.22760000000000002</v>
      </c>
      <c r="E18" s="787">
        <v>1</v>
      </c>
      <c r="F18" s="762"/>
      <c r="G18" s="786">
        <f>G17+30</f>
        <v>42034</v>
      </c>
      <c r="H18" s="790">
        <v>169</v>
      </c>
      <c r="I18" s="790">
        <v>60</v>
      </c>
      <c r="J18" s="776"/>
      <c r="K18" s="784" t="s">
        <v>1605</v>
      </c>
      <c r="L18" s="749">
        <v>632616854</v>
      </c>
      <c r="M18" s="749">
        <v>186360173</v>
      </c>
      <c r="N18" s="798">
        <f>SUM(L18:M18)</f>
        <v>818977027</v>
      </c>
      <c r="O18" s="784" t="s">
        <v>985</v>
      </c>
      <c r="P18" s="785">
        <f>+Q62</f>
        <v>68732.416666666672</v>
      </c>
      <c r="Q18" s="770">
        <f>Q21-Q17</f>
        <v>0.25119999999999998</v>
      </c>
      <c r="R18" s="763"/>
      <c r="S18" s="797" t="s">
        <v>1582</v>
      </c>
      <c r="T18" s="796" t="s">
        <v>944</v>
      </c>
    </row>
    <row r="19" spans="1:21">
      <c r="A19" s="839">
        <v>10</v>
      </c>
      <c r="B19" s="767"/>
      <c r="C19" s="775"/>
      <c r="D19" s="775"/>
      <c r="E19" s="774"/>
      <c r="F19" s="762"/>
      <c r="G19" s="786">
        <f>G18+28</f>
        <v>42062</v>
      </c>
      <c r="H19" s="790">
        <v>168</v>
      </c>
      <c r="I19" s="790">
        <v>60</v>
      </c>
      <c r="J19" s="776"/>
      <c r="K19" s="763"/>
      <c r="L19" s="777"/>
      <c r="M19" s="777"/>
      <c r="N19" s="776"/>
      <c r="O19" s="763"/>
      <c r="P19" s="783"/>
      <c r="Q19" s="768"/>
      <c r="R19" s="763"/>
      <c r="S19" s="795" t="s">
        <v>35</v>
      </c>
      <c r="T19" s="794" t="s">
        <v>1604</v>
      </c>
    </row>
    <row r="20" spans="1:21">
      <c r="A20" s="839">
        <v>11</v>
      </c>
      <c r="B20" s="767"/>
      <c r="C20" s="766"/>
      <c r="D20" s="766"/>
      <c r="E20" s="765"/>
      <c r="F20" s="762"/>
      <c r="G20" s="786">
        <f t="shared" ref="G20:G29" si="0">G19+30</f>
        <v>42092</v>
      </c>
      <c r="H20" s="790">
        <v>170</v>
      </c>
      <c r="I20" s="790">
        <v>57</v>
      </c>
      <c r="J20" s="776"/>
      <c r="K20" s="763"/>
      <c r="L20" s="783"/>
      <c r="M20" s="783"/>
      <c r="N20" s="793"/>
      <c r="O20" s="763"/>
      <c r="P20" s="777"/>
      <c r="Q20" s="761"/>
      <c r="R20" s="763"/>
      <c r="S20" s="783"/>
      <c r="T20" s="796"/>
    </row>
    <row r="21" spans="1:21">
      <c r="A21" s="839">
        <v>12</v>
      </c>
      <c r="B21" s="828" t="s">
        <v>113</v>
      </c>
      <c r="C21" s="829">
        <f>AVERAGE(C16:C18)</f>
        <v>0.75280000000000002</v>
      </c>
      <c r="D21" s="829">
        <f>AVERAGE(D16:D18)</f>
        <v>0.2472</v>
      </c>
      <c r="E21" s="830">
        <f>AVERAGE(E16:E18)</f>
        <v>1</v>
      </c>
      <c r="F21" s="762"/>
      <c r="G21" s="786">
        <f t="shared" si="0"/>
        <v>42122</v>
      </c>
      <c r="H21" s="790">
        <v>173</v>
      </c>
      <c r="I21" s="790">
        <v>61</v>
      </c>
      <c r="J21" s="776"/>
      <c r="K21" s="763"/>
      <c r="L21" s="777"/>
      <c r="M21" s="777"/>
      <c r="N21" s="776"/>
      <c r="O21" s="784" t="s">
        <v>52</v>
      </c>
      <c r="P21" s="773">
        <f>SUM(P16:P19)</f>
        <v>273600.08333333331</v>
      </c>
      <c r="Q21" s="770">
        <v>1</v>
      </c>
      <c r="R21" s="784" t="s">
        <v>382</v>
      </c>
      <c r="S21" s="790">
        <v>239600696</v>
      </c>
      <c r="T21" s="796">
        <f>ROUND(S21/S25,4)</f>
        <v>0.76549999999999996</v>
      </c>
      <c r="U21" s="791"/>
    </row>
    <row r="22" spans="1:21">
      <c r="A22" s="839">
        <v>13</v>
      </c>
      <c r="B22" s="767"/>
      <c r="C22" s="775"/>
      <c r="D22" s="775"/>
      <c r="E22" s="774"/>
      <c r="F22" s="762"/>
      <c r="G22" s="786">
        <f t="shared" si="0"/>
        <v>42152</v>
      </c>
      <c r="H22" s="790">
        <v>168</v>
      </c>
      <c r="I22" s="790">
        <v>61</v>
      </c>
      <c r="J22" s="776"/>
      <c r="K22" s="763"/>
      <c r="L22" s="769"/>
      <c r="M22" s="769"/>
      <c r="N22" s="768"/>
      <c r="O22" s="763"/>
      <c r="P22" s="783"/>
      <c r="Q22" s="768"/>
      <c r="R22" s="784" t="s">
        <v>985</v>
      </c>
      <c r="S22" s="790">
        <v>73387620</v>
      </c>
      <c r="T22" s="794">
        <f>T25-T21</f>
        <v>0.23450000000000004</v>
      </c>
      <c r="U22" s="791"/>
    </row>
    <row r="23" spans="1:21">
      <c r="A23" s="839">
        <v>14</v>
      </c>
      <c r="B23" s="767"/>
      <c r="C23" s="832"/>
      <c r="D23" s="766"/>
      <c r="E23" s="765"/>
      <c r="F23" s="762"/>
      <c r="G23" s="786">
        <f t="shared" si="0"/>
        <v>42182</v>
      </c>
      <c r="H23" s="790">
        <v>168</v>
      </c>
      <c r="I23" s="790">
        <v>61</v>
      </c>
      <c r="J23" s="776"/>
      <c r="K23" s="763"/>
      <c r="L23" s="762"/>
      <c r="M23" s="762"/>
      <c r="N23" s="761"/>
      <c r="O23" s="763"/>
      <c r="P23" s="762"/>
      <c r="Q23" s="761"/>
      <c r="R23" s="763"/>
      <c r="S23" s="783"/>
      <c r="T23" s="796"/>
    </row>
    <row r="24" spans="1:21">
      <c r="A24" s="839">
        <v>15</v>
      </c>
      <c r="B24" s="767"/>
      <c r="C24" s="766"/>
      <c r="D24" s="766"/>
      <c r="E24" s="765"/>
      <c r="F24" s="762"/>
      <c r="G24" s="786">
        <f t="shared" si="0"/>
        <v>42212</v>
      </c>
      <c r="H24" s="790">
        <v>181</v>
      </c>
      <c r="I24" s="790">
        <v>64</v>
      </c>
      <c r="J24" s="776"/>
      <c r="K24" s="763"/>
      <c r="L24" s="762"/>
      <c r="M24" s="762"/>
      <c r="N24" s="761"/>
      <c r="O24" s="763"/>
      <c r="P24" s="762"/>
      <c r="Q24" s="761"/>
      <c r="R24" s="763"/>
      <c r="S24" s="777"/>
      <c r="T24" s="799"/>
    </row>
    <row r="25" spans="1:21">
      <c r="A25" s="839">
        <v>16</v>
      </c>
      <c r="B25" s="767"/>
      <c r="C25" s="766"/>
      <c r="D25" s="766"/>
      <c r="E25" s="765"/>
      <c r="F25" s="762"/>
      <c r="G25" s="786">
        <f t="shared" si="0"/>
        <v>42242</v>
      </c>
      <c r="H25" s="790">
        <v>181</v>
      </c>
      <c r="I25" s="790">
        <v>65</v>
      </c>
      <c r="J25" s="776"/>
      <c r="K25" s="784" t="s">
        <v>1603</v>
      </c>
      <c r="L25" s="771">
        <f>ROUND(L18/N18,4)</f>
        <v>0.77239999999999998</v>
      </c>
      <c r="M25" s="771">
        <f>N25-L25</f>
        <v>0.22760000000000002</v>
      </c>
      <c r="N25" s="770">
        <v>1</v>
      </c>
      <c r="O25" s="763"/>
      <c r="P25" s="762"/>
      <c r="Q25" s="761"/>
      <c r="R25" s="763"/>
      <c r="S25" s="773">
        <f>SUM(S20:S23)</f>
        <v>312988316</v>
      </c>
      <c r="T25" s="794">
        <v>1</v>
      </c>
    </row>
    <row r="26" spans="1:21">
      <c r="A26" s="839">
        <v>17</v>
      </c>
      <c r="B26" s="767"/>
      <c r="C26" s="766"/>
      <c r="D26" s="766"/>
      <c r="E26" s="765"/>
      <c r="F26" s="762"/>
      <c r="G26" s="786">
        <f t="shared" si="0"/>
        <v>42272</v>
      </c>
      <c r="H26" s="790">
        <v>181</v>
      </c>
      <c r="I26" s="790">
        <v>65</v>
      </c>
      <c r="J26" s="776"/>
      <c r="K26" s="763"/>
      <c r="L26" s="769"/>
      <c r="M26" s="769"/>
      <c r="N26" s="768"/>
      <c r="O26" s="763"/>
      <c r="P26" s="762"/>
      <c r="Q26" s="761"/>
      <c r="R26" s="763"/>
      <c r="S26" s="783"/>
      <c r="T26" s="768"/>
    </row>
    <row r="27" spans="1:21">
      <c r="A27" s="839">
        <v>18</v>
      </c>
      <c r="B27" s="767"/>
      <c r="C27" s="766"/>
      <c r="D27" s="766"/>
      <c r="E27" s="765"/>
      <c r="F27" s="762"/>
      <c r="G27" s="786">
        <f t="shared" si="0"/>
        <v>42302</v>
      </c>
      <c r="H27" s="790">
        <v>178</v>
      </c>
      <c r="I27" s="790">
        <v>67</v>
      </c>
      <c r="J27" s="776"/>
      <c r="K27" s="763"/>
      <c r="L27" s="762"/>
      <c r="M27" s="762"/>
      <c r="N27" s="761"/>
      <c r="O27" s="763"/>
      <c r="P27" s="762"/>
      <c r="Q27" s="761"/>
      <c r="R27" s="763"/>
      <c r="S27" s="777"/>
      <c r="T27" s="761"/>
    </row>
    <row r="28" spans="1:21">
      <c r="A28" s="839">
        <v>19</v>
      </c>
      <c r="B28" s="767"/>
      <c r="C28" s="766"/>
      <c r="D28" s="766"/>
      <c r="E28" s="765"/>
      <c r="F28" s="762"/>
      <c r="G28" s="786">
        <f t="shared" si="0"/>
        <v>42332</v>
      </c>
      <c r="H28" s="790">
        <v>176</v>
      </c>
      <c r="I28" s="790">
        <v>63</v>
      </c>
      <c r="J28" s="776"/>
      <c r="K28" s="763"/>
      <c r="L28" s="789"/>
      <c r="M28" s="789"/>
      <c r="N28" s="761"/>
      <c r="O28" s="763"/>
      <c r="P28" s="762"/>
      <c r="Q28" s="761"/>
      <c r="R28" s="763"/>
      <c r="S28" s="762"/>
      <c r="T28" s="761"/>
    </row>
    <row r="29" spans="1:21">
      <c r="A29" s="839">
        <v>20</v>
      </c>
      <c r="B29" s="781" t="s">
        <v>115</v>
      </c>
      <c r="C29" s="788">
        <f>T21</f>
        <v>0.76549999999999996</v>
      </c>
      <c r="D29" s="788">
        <f>E29-C29</f>
        <v>0.23450000000000004</v>
      </c>
      <c r="E29" s="787">
        <v>1</v>
      </c>
      <c r="F29" s="762"/>
      <c r="G29" s="786">
        <f t="shared" si="0"/>
        <v>42362</v>
      </c>
      <c r="H29" s="785">
        <v>171</v>
      </c>
      <c r="I29" s="785">
        <v>62</v>
      </c>
      <c r="J29" s="776"/>
      <c r="K29" s="784"/>
      <c r="L29" s="762"/>
      <c r="M29" s="762"/>
      <c r="N29" s="761"/>
      <c r="O29" s="763"/>
      <c r="P29" s="762"/>
      <c r="Q29" s="761"/>
      <c r="R29" s="763"/>
      <c r="S29" s="762"/>
      <c r="T29" s="761"/>
    </row>
    <row r="30" spans="1:21">
      <c r="A30" s="839">
        <v>21</v>
      </c>
      <c r="B30" s="767"/>
      <c r="C30" s="775"/>
      <c r="D30" s="775"/>
      <c r="E30" s="774"/>
      <c r="F30" s="762"/>
      <c r="G30" s="762"/>
      <c r="H30" s="783"/>
      <c r="I30" s="783" t="s">
        <v>50</v>
      </c>
      <c r="J30" s="776"/>
      <c r="K30" s="763"/>
      <c r="L30" s="762"/>
      <c r="M30" s="762"/>
      <c r="N30" s="761"/>
      <c r="O30" s="763"/>
      <c r="P30" s="762"/>
      <c r="Q30" s="761"/>
      <c r="R30" s="763"/>
      <c r="S30" s="762"/>
      <c r="T30" s="761"/>
    </row>
    <row r="31" spans="1:21">
      <c r="A31" s="839">
        <v>22</v>
      </c>
      <c r="B31" s="767"/>
      <c r="C31" s="766"/>
      <c r="D31" s="766"/>
      <c r="E31" s="765"/>
      <c r="F31" s="762"/>
      <c r="G31" s="762"/>
      <c r="H31" s="777"/>
      <c r="I31" s="777"/>
      <c r="J31" s="776"/>
      <c r="K31" s="763"/>
      <c r="L31" s="762"/>
      <c r="M31" s="762"/>
      <c r="N31" s="761"/>
      <c r="O31" s="763"/>
      <c r="P31" s="762"/>
      <c r="Q31" s="761"/>
      <c r="R31" s="763"/>
      <c r="S31" s="762"/>
      <c r="T31" s="761"/>
    </row>
    <row r="32" spans="1:21">
      <c r="A32" s="839">
        <v>23</v>
      </c>
      <c r="B32" s="767"/>
      <c r="C32" s="766"/>
      <c r="D32" s="766"/>
      <c r="E32" s="765"/>
      <c r="F32" s="762"/>
      <c r="G32" s="762"/>
      <c r="H32" s="782">
        <f>SUM(H16:H30)</f>
        <v>2253</v>
      </c>
      <c r="I32" s="782">
        <f>SUM(I16:I30)</f>
        <v>801</v>
      </c>
      <c r="J32" s="776"/>
      <c r="K32" s="763"/>
      <c r="L32" s="762"/>
      <c r="M32" s="762"/>
      <c r="N32" s="761"/>
      <c r="O32" s="763"/>
      <c r="P32" s="762"/>
      <c r="Q32" s="761"/>
      <c r="R32" s="763"/>
      <c r="S32" s="762"/>
      <c r="T32" s="761"/>
    </row>
    <row r="33" spans="1:20">
      <c r="A33" s="839">
        <v>24</v>
      </c>
      <c r="B33" s="767"/>
      <c r="C33" s="766"/>
      <c r="D33" s="766"/>
      <c r="E33" s="765"/>
      <c r="F33" s="762"/>
      <c r="G33" s="762"/>
      <c r="H33" s="777" t="s">
        <v>50</v>
      </c>
      <c r="I33" s="777" t="s">
        <v>50</v>
      </c>
      <c r="J33" s="776"/>
      <c r="K33" s="763"/>
      <c r="L33" s="762"/>
      <c r="M33" s="762"/>
      <c r="N33" s="761"/>
      <c r="O33" s="763"/>
      <c r="P33" s="762"/>
      <c r="Q33" s="761"/>
      <c r="R33" s="763"/>
      <c r="S33" s="762"/>
      <c r="T33" s="761"/>
    </row>
    <row r="34" spans="1:20">
      <c r="A34" s="839">
        <v>25</v>
      </c>
      <c r="B34" s="781"/>
      <c r="C34" s="780"/>
      <c r="D34" s="779"/>
      <c r="E34" s="778"/>
      <c r="F34" s="762"/>
      <c r="G34" s="762"/>
      <c r="H34" s="777"/>
      <c r="I34" s="777" t="s">
        <v>50</v>
      </c>
      <c r="J34" s="776"/>
      <c r="K34" s="763"/>
      <c r="L34" s="749"/>
      <c r="M34" s="762"/>
      <c r="N34" s="761"/>
      <c r="O34" s="763"/>
      <c r="P34" s="762"/>
      <c r="Q34" s="761"/>
      <c r="R34" s="763"/>
      <c r="S34" s="762"/>
      <c r="T34" s="761"/>
    </row>
    <row r="35" spans="1:20">
      <c r="A35" s="839">
        <v>26</v>
      </c>
      <c r="B35" s="767"/>
      <c r="C35" s="775"/>
      <c r="D35" s="775"/>
      <c r="E35" s="774"/>
      <c r="F35" s="764" t="s">
        <v>1602</v>
      </c>
      <c r="G35" s="762"/>
      <c r="H35" s="773">
        <f>ROUND((SUM(H18:H28)*2+H17+H29)/24,2)</f>
        <v>173.58</v>
      </c>
      <c r="I35" s="773">
        <f>ROUND((SUM(I18:I28)*2+I17+I29)/24,2)</f>
        <v>61.88</v>
      </c>
      <c r="J35" s="772">
        <f>H35+I35</f>
        <v>235.46</v>
      </c>
      <c r="K35" s="763"/>
      <c r="L35" s="762"/>
      <c r="M35" s="762"/>
      <c r="N35" s="761"/>
      <c r="O35" s="763"/>
      <c r="P35" s="762"/>
      <c r="Q35" s="761"/>
      <c r="R35" s="763"/>
      <c r="S35" s="762"/>
      <c r="T35" s="761"/>
    </row>
    <row r="36" spans="1:20">
      <c r="A36" s="839">
        <v>27</v>
      </c>
      <c r="B36" s="767"/>
      <c r="C36" s="766"/>
      <c r="D36" s="766"/>
      <c r="E36" s="765"/>
      <c r="F36" s="762"/>
      <c r="G36" s="762"/>
      <c r="H36" s="769"/>
      <c r="I36" s="769" t="s">
        <v>50</v>
      </c>
      <c r="J36" s="768"/>
      <c r="K36" s="763"/>
      <c r="L36" s="762"/>
      <c r="M36" s="762"/>
      <c r="N36" s="761"/>
      <c r="O36" s="763"/>
      <c r="P36" s="762"/>
      <c r="Q36" s="761"/>
      <c r="R36" s="763"/>
      <c r="S36" s="762"/>
      <c r="T36" s="761"/>
    </row>
    <row r="37" spans="1:20">
      <c r="A37" s="839">
        <v>28</v>
      </c>
      <c r="B37" s="767"/>
      <c r="C37" s="766"/>
      <c r="D37" s="766"/>
      <c r="E37" s="765"/>
      <c r="F37" s="762"/>
      <c r="G37" s="762"/>
      <c r="H37" s="762"/>
      <c r="I37" s="762"/>
      <c r="J37" s="761"/>
      <c r="K37" s="763"/>
      <c r="L37" s="762"/>
      <c r="M37" s="762"/>
      <c r="N37" s="761"/>
      <c r="O37" s="763"/>
      <c r="P37" s="762"/>
      <c r="Q37" s="761"/>
      <c r="R37" s="763"/>
      <c r="S37" s="762"/>
      <c r="T37" s="761"/>
    </row>
    <row r="38" spans="1:20">
      <c r="A38" s="839">
        <v>29</v>
      </c>
      <c r="B38" s="767"/>
      <c r="C38" s="766"/>
      <c r="D38" s="766"/>
      <c r="E38" s="765"/>
      <c r="F38" s="762"/>
      <c r="G38" s="762"/>
      <c r="H38" s="762"/>
      <c r="I38" s="762"/>
      <c r="J38" s="761"/>
      <c r="K38" s="763"/>
      <c r="L38" s="762"/>
      <c r="M38" s="762"/>
      <c r="N38" s="761"/>
      <c r="O38" s="763"/>
      <c r="P38" s="762"/>
      <c r="Q38" s="761"/>
      <c r="R38" s="763"/>
      <c r="S38" s="762"/>
      <c r="T38" s="761"/>
    </row>
    <row r="39" spans="1:20">
      <c r="A39" s="839">
        <v>30</v>
      </c>
      <c r="B39" s="767"/>
      <c r="C39" s="766"/>
      <c r="D39" s="766"/>
      <c r="E39" s="765"/>
      <c r="F39" s="762"/>
      <c r="G39" s="764" t="s">
        <v>1601</v>
      </c>
      <c r="H39" s="771">
        <f>ROUND(H35/J35,4)</f>
        <v>0.73719999999999997</v>
      </c>
      <c r="I39" s="771">
        <f>J39-H39</f>
        <v>0.26280000000000003</v>
      </c>
      <c r="J39" s="770">
        <v>1</v>
      </c>
      <c r="K39" s="763"/>
      <c r="L39" s="762"/>
      <c r="M39" s="762"/>
      <c r="N39" s="761"/>
      <c r="O39" s="763"/>
      <c r="P39" s="762"/>
      <c r="Q39" s="761"/>
      <c r="R39" s="763"/>
      <c r="S39" s="762"/>
      <c r="T39" s="761"/>
    </row>
    <row r="40" spans="1:20">
      <c r="A40" s="839">
        <v>31</v>
      </c>
      <c r="B40" s="767"/>
      <c r="C40" s="766"/>
      <c r="D40" s="766"/>
      <c r="E40" s="765"/>
      <c r="F40" s="762"/>
      <c r="G40" s="762"/>
      <c r="H40" s="769"/>
      <c r="I40" s="769"/>
      <c r="J40" s="768"/>
      <c r="K40" s="763"/>
      <c r="L40" s="762"/>
      <c r="M40" s="762"/>
      <c r="N40" s="761"/>
      <c r="O40" s="763"/>
      <c r="P40" s="762"/>
      <c r="Q40" s="761"/>
      <c r="R40" s="763"/>
      <c r="S40" s="762"/>
      <c r="T40" s="761"/>
    </row>
    <row r="41" spans="1:20">
      <c r="A41" s="839">
        <v>32</v>
      </c>
      <c r="B41" s="767"/>
      <c r="C41" s="766"/>
      <c r="D41" s="766"/>
      <c r="E41" s="765"/>
      <c r="F41" s="762"/>
      <c r="G41" s="762"/>
      <c r="H41" s="762"/>
      <c r="I41" s="762"/>
      <c r="J41" s="761"/>
      <c r="K41" s="763"/>
      <c r="L41" s="762"/>
      <c r="M41" s="762"/>
      <c r="N41" s="761"/>
      <c r="O41" s="763"/>
      <c r="P41" s="762"/>
      <c r="Q41" s="761"/>
      <c r="R41" s="763"/>
      <c r="S41" s="762"/>
      <c r="T41" s="761"/>
    </row>
    <row r="42" spans="1:20">
      <c r="A42" s="839">
        <v>33</v>
      </c>
      <c r="B42" s="767"/>
      <c r="C42" s="766"/>
      <c r="D42" s="766"/>
      <c r="E42" s="765"/>
      <c r="F42" s="762"/>
      <c r="G42" s="762"/>
      <c r="H42" s="762"/>
      <c r="I42" s="762"/>
      <c r="J42" s="761"/>
      <c r="K42" s="763"/>
      <c r="L42" s="762"/>
      <c r="M42" s="762"/>
      <c r="N42" s="761"/>
      <c r="O42" s="763"/>
      <c r="P42" s="762"/>
      <c r="Q42" s="761"/>
      <c r="R42" s="763"/>
      <c r="S42" s="762"/>
      <c r="T42" s="761"/>
    </row>
    <row r="43" spans="1:20">
      <c r="A43" s="839">
        <v>34</v>
      </c>
      <c r="B43" s="767"/>
      <c r="C43" s="766"/>
      <c r="D43" s="766"/>
      <c r="E43" s="765"/>
      <c r="F43" s="764" t="s">
        <v>1600</v>
      </c>
      <c r="G43" s="762"/>
      <c r="H43" s="762"/>
      <c r="I43" s="762"/>
      <c r="J43" s="761"/>
      <c r="K43" s="763"/>
      <c r="L43" s="762"/>
      <c r="M43" s="762"/>
      <c r="N43" s="761"/>
      <c r="O43" s="763"/>
      <c r="P43" s="762"/>
      <c r="Q43" s="761"/>
      <c r="R43" s="763"/>
      <c r="S43" s="762"/>
      <c r="T43" s="761"/>
    </row>
    <row r="44" spans="1:20">
      <c r="A44" s="839">
        <v>35</v>
      </c>
      <c r="B44" s="767"/>
      <c r="C44" s="766"/>
      <c r="D44" s="766"/>
      <c r="E44" s="765"/>
      <c r="F44" s="764"/>
      <c r="G44" s="762"/>
      <c r="H44" s="762"/>
      <c r="I44" s="762"/>
      <c r="J44" s="761"/>
      <c r="K44" s="763"/>
      <c r="L44" s="762"/>
      <c r="M44" s="762"/>
      <c r="N44" s="761"/>
      <c r="O44" s="763"/>
      <c r="P44" s="762"/>
      <c r="Q44" s="761"/>
      <c r="R44" s="763"/>
      <c r="S44" s="762"/>
      <c r="T44" s="761"/>
    </row>
    <row r="45" spans="1:20" ht="13.8" thickBot="1">
      <c r="A45" s="839">
        <v>36</v>
      </c>
      <c r="B45" s="760"/>
      <c r="C45" s="759"/>
      <c r="D45" s="759"/>
      <c r="E45" s="758"/>
      <c r="F45" s="757"/>
      <c r="G45" s="755"/>
      <c r="H45" s="755"/>
      <c r="I45" s="755"/>
      <c r="J45" s="754"/>
      <c r="K45" s="756"/>
      <c r="L45" s="755"/>
      <c r="M45" s="755"/>
      <c r="N45" s="754"/>
      <c r="O45" s="756"/>
      <c r="P45" s="755"/>
      <c r="Q45" s="754"/>
      <c r="R45" s="756"/>
      <c r="S45" s="755"/>
      <c r="T45" s="754"/>
    </row>
    <row r="46" spans="1:20">
      <c r="A46" s="839">
        <v>37</v>
      </c>
      <c r="F46" s="749"/>
      <c r="G46" s="749"/>
      <c r="H46" s="749"/>
      <c r="I46" s="749"/>
      <c r="J46" s="749"/>
      <c r="K46" s="749"/>
      <c r="L46" s="749"/>
      <c r="M46" s="749"/>
      <c r="N46" s="749"/>
      <c r="O46" s="749"/>
      <c r="P46" s="749"/>
      <c r="Q46" s="749"/>
      <c r="R46" s="749"/>
      <c r="S46" s="749"/>
      <c r="T46" s="749"/>
    </row>
    <row r="47" spans="1:20">
      <c r="A47" s="839">
        <v>38</v>
      </c>
      <c r="F47" s="749"/>
      <c r="G47" s="749"/>
      <c r="H47" s="749"/>
      <c r="I47" s="749"/>
      <c r="J47" s="749"/>
      <c r="K47" s="749"/>
      <c r="L47" s="749"/>
      <c r="M47" s="749"/>
      <c r="N47" s="749"/>
      <c r="O47" s="749"/>
      <c r="P47" s="749"/>
      <c r="Q47" s="749"/>
      <c r="R47" s="749"/>
      <c r="S47" s="749"/>
      <c r="T47" s="749"/>
    </row>
    <row r="48" spans="1:20" ht="15.6">
      <c r="A48" s="839">
        <v>39</v>
      </c>
      <c r="B48" s="748" t="s">
        <v>1599</v>
      </c>
      <c r="F48" s="749"/>
      <c r="G48" s="749"/>
      <c r="H48" s="749"/>
      <c r="I48" s="749"/>
      <c r="J48" s="749"/>
      <c r="K48" s="749"/>
      <c r="L48" s="749"/>
      <c r="M48" s="749"/>
      <c r="N48" s="749"/>
      <c r="O48" s="749"/>
      <c r="P48" s="749"/>
      <c r="Q48" s="749"/>
      <c r="R48" s="749"/>
      <c r="S48" s="749"/>
      <c r="T48" s="749"/>
    </row>
    <row r="49" spans="1:20" ht="15.6">
      <c r="A49" s="839">
        <v>40</v>
      </c>
      <c r="B49" s="748" t="s">
        <v>1598</v>
      </c>
      <c r="F49" s="749"/>
      <c r="G49" s="749"/>
      <c r="H49" s="749"/>
      <c r="I49" s="749"/>
      <c r="J49" s="749"/>
      <c r="K49" s="749"/>
      <c r="L49" s="749"/>
      <c r="M49" s="749"/>
      <c r="N49" s="749"/>
      <c r="O49" s="753">
        <v>2015</v>
      </c>
      <c r="P49" s="751" t="s">
        <v>1597</v>
      </c>
      <c r="Q49" s="751" t="s">
        <v>1596</v>
      </c>
      <c r="R49" s="751" t="s">
        <v>52</v>
      </c>
      <c r="S49" s="749"/>
      <c r="T49" s="749"/>
    </row>
    <row r="50" spans="1:20" ht="15.6">
      <c r="A50" s="839">
        <v>41</v>
      </c>
      <c r="B50" s="748" t="s">
        <v>1595</v>
      </c>
      <c r="F50" s="749"/>
      <c r="G50" s="749"/>
      <c r="H50" s="749"/>
      <c r="I50" s="749"/>
      <c r="J50" s="749"/>
      <c r="K50" s="749"/>
      <c r="L50" s="749"/>
      <c r="M50" s="752"/>
      <c r="N50" s="752"/>
      <c r="O50" s="749" t="s">
        <v>1594</v>
      </c>
      <c r="P50" s="749">
        <v>204762</v>
      </c>
      <c r="Q50" s="749">
        <v>68437</v>
      </c>
      <c r="R50" s="749">
        <f t="shared" ref="R50:R61" si="1">SUM(P50:Q50)</f>
        <v>273199</v>
      </c>
      <c r="S50" s="749" t="s">
        <v>50</v>
      </c>
      <c r="T50" s="749"/>
    </row>
    <row r="51" spans="1:20">
      <c r="F51" s="749"/>
      <c r="G51" s="749"/>
      <c r="H51" s="749"/>
      <c r="I51" s="749"/>
      <c r="J51" s="749"/>
      <c r="K51" s="749"/>
      <c r="L51" s="749"/>
      <c r="M51" s="752"/>
      <c r="N51" s="752"/>
      <c r="O51" s="749" t="s">
        <v>1593</v>
      </c>
      <c r="P51" s="749">
        <v>204932</v>
      </c>
      <c r="Q51" s="749">
        <v>68540</v>
      </c>
      <c r="R51" s="749">
        <f t="shared" si="1"/>
        <v>273472</v>
      </c>
      <c r="S51" s="749"/>
      <c r="T51" s="749"/>
    </row>
    <row r="52" spans="1:20">
      <c r="F52" s="749"/>
      <c r="G52" s="749"/>
      <c r="H52" s="749"/>
      <c r="I52" s="749"/>
      <c r="J52" s="749"/>
      <c r="K52" s="749"/>
      <c r="L52" s="749"/>
      <c r="M52" s="752"/>
      <c r="N52" s="752"/>
      <c r="O52" s="749" t="s">
        <v>1592</v>
      </c>
      <c r="P52" s="749">
        <v>204772</v>
      </c>
      <c r="Q52" s="749">
        <v>68528</v>
      </c>
      <c r="R52" s="749">
        <f t="shared" si="1"/>
        <v>273300</v>
      </c>
      <c r="S52" s="749"/>
      <c r="T52" s="749"/>
    </row>
    <row r="53" spans="1:20">
      <c r="F53" s="749"/>
      <c r="G53" s="749"/>
      <c r="H53" s="749"/>
      <c r="I53" s="749"/>
      <c r="J53" s="749"/>
      <c r="K53" s="749"/>
      <c r="L53" s="749"/>
      <c r="M53" s="752"/>
      <c r="N53" s="752"/>
      <c r="O53" s="749" t="s">
        <v>1591</v>
      </c>
      <c r="P53" s="749">
        <v>204497</v>
      </c>
      <c r="Q53" s="749">
        <v>68558</v>
      </c>
      <c r="R53" s="749">
        <f t="shared" si="1"/>
        <v>273055</v>
      </c>
      <c r="S53" s="749"/>
      <c r="T53" s="749"/>
    </row>
    <row r="54" spans="1:20">
      <c r="F54" s="749"/>
      <c r="G54" s="749"/>
      <c r="H54" s="749"/>
      <c r="I54" s="749"/>
      <c r="J54" s="749"/>
      <c r="K54" s="749"/>
      <c r="L54" s="749"/>
      <c r="M54" s="752"/>
      <c r="N54" s="752"/>
      <c r="O54" s="749" t="s">
        <v>1590</v>
      </c>
      <c r="P54" s="749">
        <v>204302</v>
      </c>
      <c r="Q54" s="749">
        <v>68522</v>
      </c>
      <c r="R54" s="749">
        <f t="shared" si="1"/>
        <v>272824</v>
      </c>
      <c r="S54" s="749"/>
      <c r="T54" s="749"/>
    </row>
    <row r="55" spans="1:20">
      <c r="F55" s="749"/>
      <c r="G55" s="749"/>
      <c r="H55" s="749"/>
      <c r="I55" s="749"/>
      <c r="J55" s="749"/>
      <c r="K55" s="749"/>
      <c r="L55" s="749"/>
      <c r="M55" s="752"/>
      <c r="N55" s="752"/>
      <c r="O55" s="749" t="s">
        <v>1589</v>
      </c>
      <c r="P55" s="749">
        <v>203865</v>
      </c>
      <c r="Q55" s="749">
        <v>68384</v>
      </c>
      <c r="R55" s="749">
        <f t="shared" si="1"/>
        <v>272249</v>
      </c>
      <c r="S55" s="749"/>
      <c r="T55" s="749"/>
    </row>
    <row r="56" spans="1:20">
      <c r="F56" s="749"/>
      <c r="G56" s="749"/>
      <c r="H56" s="749"/>
      <c r="I56" s="749"/>
      <c r="J56" s="749"/>
      <c r="K56" s="749"/>
      <c r="L56" s="749"/>
      <c r="M56" s="752"/>
      <c r="N56" s="752"/>
      <c r="O56" s="749" t="s">
        <v>1588</v>
      </c>
      <c r="P56" s="749">
        <v>203684</v>
      </c>
      <c r="Q56" s="749">
        <v>68317</v>
      </c>
      <c r="R56" s="749">
        <f t="shared" si="1"/>
        <v>272001</v>
      </c>
      <c r="S56" s="749"/>
      <c r="T56" s="749"/>
    </row>
    <row r="57" spans="1:20">
      <c r="F57" s="749"/>
      <c r="G57" s="749"/>
      <c r="H57" s="749"/>
      <c r="I57" s="749"/>
      <c r="J57" s="749"/>
      <c r="K57" s="749"/>
      <c r="L57" s="749"/>
      <c r="M57" s="752"/>
      <c r="N57" s="752"/>
      <c r="O57" s="749" t="s">
        <v>1587</v>
      </c>
      <c r="P57" s="749">
        <v>203821</v>
      </c>
      <c r="Q57" s="749">
        <v>68375</v>
      </c>
      <c r="R57" s="749">
        <f t="shared" si="1"/>
        <v>272196</v>
      </c>
      <c r="S57" s="749"/>
      <c r="T57" s="749"/>
    </row>
    <row r="58" spans="1:20">
      <c r="F58" s="749"/>
      <c r="G58" s="749"/>
      <c r="H58" s="749"/>
      <c r="I58" s="749"/>
      <c r="J58" s="749"/>
      <c r="K58" s="749"/>
      <c r="L58" s="749"/>
      <c r="M58" s="752"/>
      <c r="N58" s="752"/>
      <c r="O58" s="749" t="s">
        <v>1586</v>
      </c>
      <c r="P58" s="749">
        <v>204398</v>
      </c>
      <c r="Q58" s="749">
        <v>68614</v>
      </c>
      <c r="R58" s="749">
        <f t="shared" si="1"/>
        <v>273012</v>
      </c>
      <c r="S58" s="749"/>
      <c r="T58" s="749"/>
    </row>
    <row r="59" spans="1:20">
      <c r="F59" s="749"/>
      <c r="G59" s="749"/>
      <c r="H59" s="749"/>
      <c r="I59" s="749"/>
      <c r="J59" s="749"/>
      <c r="K59" s="749"/>
      <c r="L59" s="749"/>
      <c r="M59" s="752"/>
      <c r="N59" s="752"/>
      <c r="O59" s="749" t="s">
        <v>1585</v>
      </c>
      <c r="P59" s="749">
        <v>205350</v>
      </c>
      <c r="Q59" s="749">
        <v>69045</v>
      </c>
      <c r="R59" s="749">
        <f t="shared" si="1"/>
        <v>274395</v>
      </c>
      <c r="S59" s="749"/>
      <c r="T59" s="749"/>
    </row>
    <row r="60" spans="1:20">
      <c r="F60" s="749"/>
      <c r="G60" s="749"/>
      <c r="H60" s="749"/>
      <c r="I60" s="749"/>
      <c r="J60" s="749"/>
      <c r="K60" s="749"/>
      <c r="L60" s="749"/>
      <c r="M60" s="752"/>
      <c r="N60" s="752"/>
      <c r="O60" s="749" t="s">
        <v>1584</v>
      </c>
      <c r="P60" s="749">
        <v>206666</v>
      </c>
      <c r="Q60" s="749">
        <v>69601</v>
      </c>
      <c r="R60" s="749">
        <f t="shared" si="1"/>
        <v>276267</v>
      </c>
      <c r="S60" s="749"/>
      <c r="T60" s="749"/>
    </row>
    <row r="61" spans="1:20">
      <c r="F61" s="749"/>
      <c r="G61" s="749"/>
      <c r="H61" s="749"/>
      <c r="I61" s="749"/>
      <c r="J61" s="749"/>
      <c r="K61" s="749"/>
      <c r="L61" s="749"/>
      <c r="M61" s="752"/>
      <c r="N61" s="752"/>
      <c r="O61" s="749" t="s">
        <v>1583</v>
      </c>
      <c r="P61" s="751">
        <v>207363</v>
      </c>
      <c r="Q61" s="751">
        <v>69868</v>
      </c>
      <c r="R61" s="749">
        <f t="shared" si="1"/>
        <v>277231</v>
      </c>
      <c r="S61" s="749"/>
      <c r="T61" s="749"/>
    </row>
    <row r="62" spans="1:20">
      <c r="F62" s="749"/>
      <c r="G62" s="749"/>
      <c r="H62" s="749"/>
      <c r="I62" s="749"/>
      <c r="J62" s="749"/>
      <c r="K62" s="749"/>
      <c r="L62" s="749"/>
      <c r="M62" s="749"/>
      <c r="N62" s="749"/>
      <c r="O62" s="749" t="s">
        <v>1582</v>
      </c>
      <c r="P62" s="749">
        <f>AVERAGE(P50:P61)</f>
        <v>204867.66666666666</v>
      </c>
      <c r="Q62" s="749">
        <f>AVERAGE(Q50:Q61)</f>
        <v>68732.416666666672</v>
      </c>
      <c r="R62" s="749"/>
      <c r="S62" s="749"/>
      <c r="T62" s="749"/>
    </row>
    <row r="63" spans="1:20">
      <c r="F63" s="749"/>
      <c r="G63" s="749"/>
      <c r="H63" s="749"/>
      <c r="I63" s="749"/>
      <c r="J63" s="749"/>
      <c r="K63" s="749"/>
      <c r="L63" s="749"/>
      <c r="M63" s="749"/>
      <c r="N63" s="749"/>
      <c r="O63" s="749"/>
      <c r="P63" s="750"/>
      <c r="Q63" s="750"/>
      <c r="R63" s="749"/>
      <c r="S63" s="749"/>
      <c r="T63" s="749"/>
    </row>
    <row r="64" spans="1:20">
      <c r="F64" s="749"/>
      <c r="G64" s="749"/>
      <c r="H64" s="749"/>
      <c r="I64" s="749"/>
      <c r="J64" s="749"/>
      <c r="K64" s="749"/>
      <c r="L64" s="749"/>
      <c r="M64" s="749"/>
      <c r="N64" s="749"/>
      <c r="O64" s="749"/>
      <c r="P64" s="749"/>
      <c r="Q64" s="749"/>
      <c r="R64" s="749"/>
      <c r="S64" s="749"/>
      <c r="T64" s="749"/>
    </row>
    <row r="65" spans="6:20">
      <c r="F65" s="749"/>
      <c r="G65" s="749"/>
      <c r="H65" s="749"/>
      <c r="I65" s="749"/>
      <c r="J65" s="749"/>
      <c r="K65" s="749"/>
      <c r="L65" s="749"/>
      <c r="M65" s="749"/>
      <c r="N65" s="749"/>
      <c r="O65" s="749"/>
      <c r="P65" s="749"/>
      <c r="Q65" s="749"/>
      <c r="R65" s="749"/>
      <c r="S65" s="749"/>
      <c r="T65" s="749"/>
    </row>
    <row r="66" spans="6:20">
      <c r="F66" s="749"/>
      <c r="G66" s="749"/>
      <c r="H66" s="749"/>
      <c r="I66" s="749"/>
      <c r="J66" s="749"/>
      <c r="K66" s="749"/>
      <c r="L66" s="749"/>
      <c r="M66" s="749"/>
      <c r="N66" s="749"/>
      <c r="O66" s="749"/>
      <c r="P66" s="749"/>
      <c r="Q66" s="749"/>
      <c r="R66" s="749"/>
      <c r="S66" s="749"/>
      <c r="T66" s="749"/>
    </row>
    <row r="67" spans="6:20">
      <c r="F67" s="749"/>
      <c r="G67" s="749"/>
      <c r="H67" s="749"/>
      <c r="I67" s="749"/>
      <c r="J67" s="749"/>
      <c r="K67" s="749"/>
      <c r="L67" s="749"/>
      <c r="M67" s="749"/>
      <c r="N67" s="749"/>
      <c r="O67" s="749"/>
      <c r="P67" s="749"/>
      <c r="Q67" s="749"/>
      <c r="R67" s="749"/>
      <c r="S67" s="749"/>
      <c r="T67" s="749"/>
    </row>
    <row r="68" spans="6:20">
      <c r="F68" s="749"/>
      <c r="G68" s="749"/>
      <c r="H68" s="749"/>
      <c r="I68" s="749"/>
      <c r="J68" s="749"/>
      <c r="K68" s="749"/>
      <c r="L68" s="749"/>
      <c r="M68" s="749"/>
      <c r="N68" s="749"/>
      <c r="O68" s="749"/>
      <c r="P68" s="749"/>
      <c r="Q68" s="749"/>
      <c r="R68" s="749"/>
      <c r="S68" s="749"/>
      <c r="T68" s="749"/>
    </row>
    <row r="69" spans="6:20">
      <c r="F69" s="749"/>
      <c r="G69" s="749"/>
      <c r="H69" s="749"/>
      <c r="I69" s="749"/>
      <c r="J69" s="749"/>
      <c r="K69" s="749"/>
      <c r="L69" s="749"/>
      <c r="M69" s="749"/>
      <c r="N69" s="749"/>
      <c r="O69" s="749"/>
      <c r="P69" s="749"/>
      <c r="Q69" s="749"/>
      <c r="R69" s="749"/>
      <c r="S69" s="749"/>
      <c r="T69" s="749"/>
    </row>
    <row r="70" spans="6:20">
      <c r="F70" s="749"/>
      <c r="G70" s="749"/>
      <c r="H70" s="749"/>
      <c r="I70" s="749"/>
      <c r="J70" s="749"/>
      <c r="K70" s="749"/>
      <c r="L70" s="749"/>
      <c r="M70" s="749"/>
      <c r="N70" s="749"/>
      <c r="O70" s="749"/>
      <c r="P70" s="749"/>
      <c r="Q70" s="749"/>
      <c r="R70" s="749"/>
      <c r="S70" s="749"/>
      <c r="T70" s="749"/>
    </row>
    <row r="71" spans="6:20">
      <c r="F71" s="749"/>
      <c r="G71" s="749"/>
      <c r="H71" s="749"/>
      <c r="I71" s="749"/>
      <c r="J71" s="749"/>
      <c r="K71" s="749"/>
      <c r="L71" s="749"/>
      <c r="M71" s="749"/>
      <c r="N71" s="749"/>
      <c r="O71" s="749"/>
      <c r="P71" s="749"/>
      <c r="Q71" s="749"/>
      <c r="R71" s="749"/>
      <c r="S71" s="749"/>
      <c r="T71" s="749"/>
    </row>
  </sheetData>
  <mergeCells count="5">
    <mergeCell ref="H1:P1"/>
    <mergeCell ref="H2:P2"/>
    <mergeCell ref="H3:P3"/>
    <mergeCell ref="H4:P4"/>
    <mergeCell ref="H5:P5"/>
  </mergeCells>
  <printOptions horizontalCentered="1"/>
  <pageMargins left="0.06" right="0.05" top="1" bottom="1" header="0.5" footer="0.5"/>
  <pageSetup paperSize="5" scale="42"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3" sqref="A3:H3"/>
    </sheetView>
  </sheetViews>
  <sheetFormatPr defaultColWidth="9.109375" defaultRowHeight="15.6"/>
  <cols>
    <col min="1" max="16384" width="9.109375" style="3"/>
  </cols>
  <sheetData>
    <row r="1" spans="1:10">
      <c r="A1" s="1229" t="s">
        <v>54</v>
      </c>
      <c r="B1" s="1229"/>
      <c r="C1" s="1229"/>
      <c r="D1" s="1229"/>
      <c r="E1" s="1229"/>
      <c r="F1" s="1229"/>
      <c r="G1" s="1229"/>
      <c r="H1" s="1229"/>
      <c r="I1" s="1229"/>
    </row>
    <row r="2" spans="1:10">
      <c r="A2" s="1229" t="s">
        <v>1261</v>
      </c>
      <c r="B2" s="1229"/>
      <c r="C2" s="1229"/>
      <c r="D2" s="1229"/>
      <c r="E2" s="1229"/>
      <c r="F2" s="1229"/>
      <c r="G2" s="1229"/>
      <c r="H2" s="1229"/>
      <c r="I2" s="1229"/>
    </row>
    <row r="3" spans="1:10">
      <c r="A3" s="1229" t="s">
        <v>1262</v>
      </c>
      <c r="B3" s="1229"/>
      <c r="C3" s="1229"/>
      <c r="D3" s="1229"/>
      <c r="E3" s="1229"/>
      <c r="F3" s="1229"/>
      <c r="G3" s="1229"/>
      <c r="H3" s="1229"/>
      <c r="I3" s="1229"/>
    </row>
    <row r="4" spans="1:10">
      <c r="A4" s="1229"/>
      <c r="B4" s="1229"/>
      <c r="C4" s="1229"/>
      <c r="D4" s="1229"/>
      <c r="E4" s="1229"/>
      <c r="F4" s="1229"/>
      <c r="G4" s="1229"/>
      <c r="H4" s="1229"/>
      <c r="I4" s="1229"/>
    </row>
    <row r="5" spans="1:10">
      <c r="A5" s="1229"/>
      <c r="B5" s="1229"/>
      <c r="C5" s="1229"/>
      <c r="D5" s="1229"/>
      <c r="E5" s="1229"/>
      <c r="F5" s="1229"/>
      <c r="G5" s="1229"/>
      <c r="H5" s="1229"/>
      <c r="I5" s="1229"/>
    </row>
    <row r="10" spans="1:10">
      <c r="G10" s="11"/>
    </row>
    <row r="13" spans="1:10">
      <c r="A13" s="1261" t="s">
        <v>1265</v>
      </c>
      <c r="B13" s="1261"/>
      <c r="C13" s="1261"/>
      <c r="D13" s="1261"/>
      <c r="E13" s="1261"/>
      <c r="F13" s="1261"/>
      <c r="G13" s="1261"/>
      <c r="H13" s="1261"/>
      <c r="I13" s="1261"/>
      <c r="J13" s="1261"/>
    </row>
    <row r="36" spans="4:4">
      <c r="D36" s="13"/>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3" sqref="A3:H3"/>
    </sheetView>
  </sheetViews>
  <sheetFormatPr defaultColWidth="9.109375" defaultRowHeight="15.6"/>
  <cols>
    <col min="1" max="1" width="9.33203125" style="463" bestFit="1" customWidth="1"/>
    <col min="2" max="2" width="13.5546875" style="124" bestFit="1" customWidth="1"/>
    <col min="3" max="4" width="10.88671875" style="124" bestFit="1" customWidth="1"/>
    <col min="5" max="5" width="15.44140625" style="124" bestFit="1" customWidth="1"/>
    <col min="6" max="6" width="11.5546875" style="124" bestFit="1" customWidth="1"/>
    <col min="7" max="7" width="9.33203125" style="124" bestFit="1" customWidth="1"/>
    <col min="8" max="8" width="12.6640625" style="463" bestFit="1" customWidth="1"/>
    <col min="9" max="16384" width="9.109375" style="124"/>
  </cols>
  <sheetData>
    <row r="1" spans="1:13">
      <c r="A1" s="1229" t="s">
        <v>54</v>
      </c>
      <c r="B1" s="1229"/>
      <c r="C1" s="1229"/>
      <c r="D1" s="1229"/>
      <c r="E1" s="1229"/>
      <c r="F1" s="1229"/>
      <c r="G1" s="1229"/>
      <c r="H1" s="1229"/>
      <c r="I1" s="2"/>
      <c r="J1" s="2"/>
      <c r="K1" s="462"/>
      <c r="L1" s="462"/>
      <c r="M1" s="462"/>
    </row>
    <row r="2" spans="1:13">
      <c r="A2" s="1229" t="s">
        <v>1261</v>
      </c>
      <c r="B2" s="1229"/>
      <c r="C2" s="1229"/>
      <c r="D2" s="1229"/>
      <c r="E2" s="1229"/>
      <c r="F2" s="1229"/>
      <c r="G2" s="1229"/>
      <c r="H2" s="1229"/>
      <c r="I2" s="2"/>
      <c r="J2" s="2"/>
      <c r="K2" s="462"/>
      <c r="L2" s="462"/>
      <c r="M2" s="462"/>
    </row>
    <row r="3" spans="1:13">
      <c r="A3" s="1229"/>
      <c r="B3" s="1229"/>
      <c r="C3" s="1229"/>
      <c r="D3" s="1229"/>
      <c r="E3" s="1229"/>
      <c r="F3" s="1229"/>
      <c r="G3" s="1229"/>
      <c r="H3" s="1229"/>
      <c r="I3" s="2"/>
      <c r="J3" s="2"/>
      <c r="K3" s="462"/>
      <c r="L3" s="462"/>
      <c r="M3" s="462"/>
    </row>
    <row r="4" spans="1:13">
      <c r="A4" s="1229" t="s">
        <v>79</v>
      </c>
      <c r="B4" s="1229"/>
      <c r="C4" s="1229"/>
      <c r="D4" s="1229"/>
      <c r="E4" s="1229"/>
      <c r="F4" s="1229"/>
      <c r="G4" s="1229"/>
      <c r="H4" s="1229"/>
      <c r="I4" s="2"/>
      <c r="J4" s="2"/>
      <c r="K4" s="462"/>
      <c r="L4" s="462"/>
      <c r="M4" s="462"/>
    </row>
    <row r="5" spans="1:13">
      <c r="A5" s="1229" t="s">
        <v>953</v>
      </c>
      <c r="B5" s="1229"/>
      <c r="C5" s="1229"/>
      <c r="D5" s="1229"/>
      <c r="E5" s="1229"/>
      <c r="F5" s="1229"/>
      <c r="G5" s="1229"/>
      <c r="H5" s="1229"/>
      <c r="I5" s="2"/>
      <c r="J5" s="2"/>
      <c r="K5" s="462"/>
      <c r="L5" s="462"/>
      <c r="M5" s="462"/>
    </row>
    <row r="6" spans="1:13">
      <c r="K6" s="462"/>
      <c r="L6" s="462"/>
      <c r="M6" s="462"/>
    </row>
    <row r="7" spans="1:13">
      <c r="K7" s="462"/>
      <c r="L7" s="462"/>
      <c r="M7" s="462"/>
    </row>
    <row r="8" spans="1:13">
      <c r="K8" s="462"/>
      <c r="L8" s="462"/>
      <c r="M8" s="462"/>
    </row>
    <row r="9" spans="1:13" s="463" customFormat="1">
      <c r="B9" s="463" t="s">
        <v>1272</v>
      </c>
      <c r="C9" s="463" t="s">
        <v>1270</v>
      </c>
      <c r="D9" s="463" t="s">
        <v>1271</v>
      </c>
      <c r="E9" s="463" t="s">
        <v>1274</v>
      </c>
      <c r="F9" s="463" t="s">
        <v>1275</v>
      </c>
      <c r="G9" s="463" t="s">
        <v>1276</v>
      </c>
      <c r="H9" s="463" t="s">
        <v>1277</v>
      </c>
      <c r="K9" s="464"/>
      <c r="L9" s="464"/>
      <c r="M9" s="464"/>
    </row>
    <row r="10" spans="1:13">
      <c r="B10" s="465" t="s">
        <v>382</v>
      </c>
      <c r="C10" s="462"/>
      <c r="D10" s="462"/>
      <c r="E10" s="462"/>
      <c r="F10" s="462"/>
      <c r="G10" s="462"/>
      <c r="H10" s="464"/>
      <c r="I10" s="462"/>
      <c r="J10" s="462"/>
    </row>
    <row r="11" spans="1:13">
      <c r="B11" s="462"/>
      <c r="C11" s="462"/>
      <c r="D11" s="462"/>
      <c r="E11" s="466"/>
      <c r="F11" s="462"/>
      <c r="G11" s="462"/>
      <c r="H11" s="464"/>
      <c r="I11" s="462"/>
      <c r="J11" s="462"/>
    </row>
    <row r="12" spans="1:13">
      <c r="A12" s="463" t="s">
        <v>883</v>
      </c>
      <c r="B12" s="462" t="s">
        <v>85</v>
      </c>
      <c r="C12" s="464" t="s">
        <v>86</v>
      </c>
      <c r="D12" s="464"/>
      <c r="E12" s="464" t="s">
        <v>87</v>
      </c>
      <c r="F12" s="464"/>
      <c r="G12" s="464" t="s">
        <v>88</v>
      </c>
      <c r="H12" s="464"/>
      <c r="I12" s="462"/>
      <c r="J12" s="462"/>
    </row>
    <row r="13" spans="1:13">
      <c r="A13" s="463">
        <v>1</v>
      </c>
      <c r="B13" s="467">
        <v>42735</v>
      </c>
      <c r="C13" s="464" t="s">
        <v>89</v>
      </c>
      <c r="D13" s="464" t="s">
        <v>90</v>
      </c>
      <c r="E13" s="464" t="s">
        <v>91</v>
      </c>
      <c r="F13" s="464" t="s">
        <v>56</v>
      </c>
      <c r="G13" s="464" t="s">
        <v>92</v>
      </c>
      <c r="H13" s="468" t="s">
        <v>93</v>
      </c>
      <c r="I13" s="462"/>
      <c r="J13" s="462"/>
    </row>
    <row r="14" spans="1:13">
      <c r="B14" s="467"/>
      <c r="C14" s="464"/>
      <c r="D14" s="464"/>
      <c r="E14" s="464"/>
      <c r="F14" s="464"/>
      <c r="G14" s="469"/>
      <c r="H14" s="470"/>
    </row>
    <row r="15" spans="1:13">
      <c r="B15" s="462"/>
      <c r="C15" s="464"/>
      <c r="D15" s="464"/>
      <c r="E15" s="464"/>
      <c r="F15" s="464"/>
      <c r="G15" s="464"/>
      <c r="H15" s="470"/>
    </row>
    <row r="16" spans="1:13" ht="16.2" thickBot="1">
      <c r="A16" s="463">
        <v>2</v>
      </c>
      <c r="B16" s="471">
        <f>+'ROO Summary Sheet'!O40</f>
        <v>277543876.6443311</v>
      </c>
      <c r="C16" s="472">
        <f>+'Capital Structure Calculation'!J11</f>
        <v>2.7900000000000001E-2</v>
      </c>
      <c r="D16" s="470">
        <f>B16*C16</f>
        <v>7743474.1583768381</v>
      </c>
      <c r="E16" s="470">
        <f>+'Operating Report'!G159</f>
        <v>8752011.7399999984</v>
      </c>
      <c r="F16" s="464">
        <f>+D16-E16</f>
        <v>-1008537.5816231603</v>
      </c>
      <c r="G16" s="473">
        <f>+'Conversion Factor using 21%'!C33</f>
        <v>0.21</v>
      </c>
      <c r="H16" s="474">
        <f>+F16*-G16</f>
        <v>211792.89214086364</v>
      </c>
      <c r="K16" s="462"/>
      <c r="L16" s="462"/>
      <c r="M16" s="462"/>
    </row>
    <row r="17" spans="2:13" ht="16.2" thickTop="1">
      <c r="B17" s="462"/>
      <c r="C17" s="462"/>
      <c r="D17" s="475"/>
      <c r="E17" s="462"/>
      <c r="F17" s="462"/>
      <c r="G17" s="476"/>
      <c r="H17" s="464"/>
      <c r="K17" s="462"/>
      <c r="L17" s="477"/>
      <c r="M17" s="462"/>
    </row>
    <row r="18" spans="2:13">
      <c r="G18" s="462"/>
      <c r="H18" s="464"/>
      <c r="K18" s="462"/>
      <c r="L18" s="462"/>
      <c r="M18" s="462"/>
    </row>
    <row r="19" spans="2:13">
      <c r="B19" s="478"/>
      <c r="C19" s="475"/>
      <c r="D19" s="475"/>
      <c r="E19" s="462"/>
      <c r="F19" s="462"/>
      <c r="I19" s="462"/>
      <c r="J19" s="462"/>
      <c r="K19" s="462"/>
      <c r="L19" s="462"/>
      <c r="M19" s="462"/>
    </row>
    <row r="20" spans="2:13">
      <c r="B20" s="462"/>
      <c r="C20" s="462"/>
      <c r="D20" s="462"/>
      <c r="E20" s="462"/>
      <c r="F20" s="462"/>
      <c r="I20" s="462"/>
      <c r="J20" s="462"/>
      <c r="K20" s="462"/>
      <c r="L20" s="462"/>
      <c r="M20" s="464"/>
    </row>
    <row r="21" spans="2:13">
      <c r="G21" s="462"/>
      <c r="H21" s="464"/>
      <c r="I21" s="462"/>
      <c r="J21" s="462"/>
      <c r="K21" s="462"/>
      <c r="L21" s="462"/>
      <c r="M21" s="462"/>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89"/>
  <sheetViews>
    <sheetView view="pageBreakPreview" zoomScale="70" zoomScaleNormal="100" zoomScaleSheetLayoutView="70" workbookViewId="0">
      <selection activeCell="A3" sqref="A3"/>
    </sheetView>
  </sheetViews>
  <sheetFormatPr defaultColWidth="9.109375" defaultRowHeight="15.6"/>
  <cols>
    <col min="1" max="1" width="10.109375" style="5" customWidth="1"/>
    <col min="2" max="2" width="46.109375" style="3" customWidth="1"/>
    <col min="3" max="3" width="12.109375" style="3" customWidth="1"/>
    <col min="4" max="4" width="18.44140625" style="3" bestFit="1" customWidth="1"/>
    <col min="5" max="5" width="12.6640625" style="3" bestFit="1" customWidth="1"/>
    <col min="6" max="6" width="19" style="3" bestFit="1" customWidth="1"/>
    <col min="7" max="7" width="8.109375" style="3" bestFit="1" customWidth="1"/>
    <col min="8" max="8" width="17.5546875" style="3" customWidth="1"/>
    <col min="9" max="9" width="19" style="3" customWidth="1"/>
    <col min="10" max="10" width="13.33203125" style="3" customWidth="1"/>
    <col min="11" max="11" width="19.5546875" style="3" customWidth="1"/>
    <col min="12" max="12" width="18.44140625" style="3" customWidth="1"/>
    <col min="13" max="13" width="8.109375" style="3" bestFit="1" customWidth="1"/>
    <col min="14" max="14" width="19" style="3" bestFit="1" customWidth="1"/>
    <col min="15" max="15" width="17.88671875" style="3" bestFit="1" customWidth="1"/>
    <col min="16" max="16" width="22.109375" style="3" bestFit="1" customWidth="1"/>
    <col min="17" max="16384" width="9.109375" style="3"/>
  </cols>
  <sheetData>
    <row r="1" spans="1:16">
      <c r="C1" s="432"/>
      <c r="D1" s="432"/>
      <c r="E1" s="1229" t="s">
        <v>54</v>
      </c>
      <c r="F1" s="1229"/>
      <c r="G1" s="1229"/>
      <c r="H1" s="1229"/>
      <c r="I1" s="1229"/>
      <c r="J1" s="1229"/>
      <c r="K1" s="1229"/>
      <c r="L1" s="1229"/>
      <c r="N1" s="432"/>
      <c r="O1" s="432"/>
      <c r="P1" s="432"/>
    </row>
    <row r="2" spans="1:16">
      <c r="C2" s="479"/>
      <c r="D2" s="479"/>
      <c r="E2" s="1229" t="s">
        <v>1261</v>
      </c>
      <c r="F2" s="1229"/>
      <c r="G2" s="1229"/>
      <c r="H2" s="1229"/>
      <c r="I2" s="1229"/>
      <c r="J2" s="1229"/>
      <c r="K2" s="1229"/>
      <c r="L2" s="1229"/>
      <c r="N2" s="479"/>
      <c r="O2" s="479"/>
      <c r="P2" s="479"/>
    </row>
    <row r="3" spans="1:16">
      <c r="C3" s="479"/>
      <c r="D3" s="479"/>
      <c r="E3" s="1229"/>
      <c r="F3" s="1229"/>
      <c r="G3" s="1229"/>
      <c r="H3" s="1229"/>
      <c r="I3" s="1229"/>
      <c r="J3" s="1229"/>
      <c r="K3" s="1229"/>
      <c r="L3" s="1229"/>
      <c r="N3" s="479"/>
      <c r="O3" s="479"/>
      <c r="P3" s="479"/>
    </row>
    <row r="4" spans="1:16">
      <c r="C4" s="479"/>
      <c r="D4" s="479"/>
      <c r="E4" s="1229" t="s">
        <v>950</v>
      </c>
      <c r="F4" s="1229"/>
      <c r="G4" s="1229"/>
      <c r="H4" s="1229"/>
      <c r="I4" s="1229"/>
      <c r="J4" s="1229"/>
      <c r="K4" s="1229"/>
      <c r="L4" s="1229"/>
      <c r="N4" s="479"/>
      <c r="O4" s="479"/>
      <c r="P4" s="479"/>
    </row>
    <row r="5" spans="1:16">
      <c r="C5" s="480"/>
      <c r="D5" s="480"/>
      <c r="E5" s="1229" t="s">
        <v>953</v>
      </c>
      <c r="F5" s="1229"/>
      <c r="G5" s="1229"/>
      <c r="H5" s="1229"/>
      <c r="I5" s="1229"/>
      <c r="J5" s="1229"/>
      <c r="K5" s="1229"/>
      <c r="L5" s="1229"/>
      <c r="N5" s="481"/>
      <c r="O5" s="481"/>
      <c r="P5" s="481"/>
    </row>
    <row r="6" spans="1:16">
      <c r="C6" s="480"/>
      <c r="D6" s="480"/>
      <c r="E6" s="480"/>
      <c r="F6" s="17"/>
      <c r="G6" s="17"/>
      <c r="H6" s="17"/>
      <c r="I6" s="17"/>
      <c r="J6" s="17"/>
      <c r="K6" s="17"/>
      <c r="L6" s="17"/>
      <c r="M6" s="17"/>
      <c r="N6" s="481"/>
      <c r="O6" s="481"/>
      <c r="P6" s="481"/>
    </row>
    <row r="7" spans="1:16" s="5" customFormat="1">
      <c r="B7" s="5" t="s">
        <v>1272</v>
      </c>
      <c r="C7" s="5" t="s">
        <v>1270</v>
      </c>
      <c r="D7" s="5" t="s">
        <v>1271</v>
      </c>
      <c r="E7" s="5" t="s">
        <v>1274</v>
      </c>
      <c r="F7" s="5" t="s">
        <v>1275</v>
      </c>
      <c r="G7" s="5" t="s">
        <v>1276</v>
      </c>
      <c r="H7" s="5" t="s">
        <v>1277</v>
      </c>
      <c r="I7" s="482" t="s">
        <v>1278</v>
      </c>
      <c r="J7" s="482" t="s">
        <v>1279</v>
      </c>
      <c r="K7" s="482" t="s">
        <v>1280</v>
      </c>
      <c r="L7" s="482" t="s">
        <v>1281</v>
      </c>
      <c r="M7" s="482" t="s">
        <v>1282</v>
      </c>
      <c r="N7" s="482" t="s">
        <v>1283</v>
      </c>
      <c r="O7" s="482" t="s">
        <v>1284</v>
      </c>
      <c r="P7" s="482" t="s">
        <v>1285</v>
      </c>
    </row>
    <row r="8" spans="1:16">
      <c r="D8" s="3" t="s">
        <v>904</v>
      </c>
      <c r="E8" s="3" t="s">
        <v>905</v>
      </c>
      <c r="F8" s="3" t="s">
        <v>906</v>
      </c>
      <c r="G8" s="5"/>
      <c r="H8" s="3" t="s">
        <v>907</v>
      </c>
      <c r="P8" s="3" t="s">
        <v>52</v>
      </c>
    </row>
    <row r="9" spans="1:16">
      <c r="C9" s="3" t="s">
        <v>77</v>
      </c>
      <c r="D9" s="5" t="s">
        <v>1630</v>
      </c>
      <c r="E9" s="3" t="s">
        <v>66</v>
      </c>
      <c r="F9" s="3" t="s">
        <v>1631</v>
      </c>
      <c r="G9" s="5" t="s">
        <v>1632</v>
      </c>
      <c r="H9" s="3" t="s">
        <v>1002</v>
      </c>
      <c r="I9" s="3" t="s">
        <v>103</v>
      </c>
      <c r="J9" s="3" t="s">
        <v>908</v>
      </c>
      <c r="K9" s="3" t="s">
        <v>908</v>
      </c>
      <c r="L9" s="3" t="s">
        <v>1003</v>
      </c>
      <c r="N9" s="3" t="s">
        <v>1004</v>
      </c>
      <c r="O9" s="3" t="s">
        <v>1004</v>
      </c>
      <c r="P9" s="3" t="s">
        <v>905</v>
      </c>
    </row>
    <row r="10" spans="1:16">
      <c r="A10" s="8" t="s">
        <v>1269</v>
      </c>
      <c r="C10" s="3" t="s">
        <v>909</v>
      </c>
      <c r="D10" s="3" t="s">
        <v>910</v>
      </c>
      <c r="E10" s="3" t="s">
        <v>911</v>
      </c>
      <c r="F10" s="3" t="s">
        <v>912</v>
      </c>
      <c r="H10" s="3" t="s">
        <v>913</v>
      </c>
      <c r="J10" s="3" t="s">
        <v>1633</v>
      </c>
      <c r="K10" s="3" t="s">
        <v>66</v>
      </c>
      <c r="L10" s="3" t="s">
        <v>106</v>
      </c>
      <c r="N10" s="3" t="s">
        <v>66</v>
      </c>
      <c r="O10" s="3" t="s">
        <v>106</v>
      </c>
      <c r="P10" s="3" t="s">
        <v>56</v>
      </c>
    </row>
    <row r="11" spans="1:16">
      <c r="A11" s="5">
        <v>1</v>
      </c>
      <c r="B11" s="3" t="s">
        <v>914</v>
      </c>
      <c r="D11" s="288">
        <f>+D36</f>
        <v>5559294.3251210293</v>
      </c>
      <c r="E11" s="3" t="s">
        <v>1005</v>
      </c>
      <c r="F11" s="288">
        <v>0</v>
      </c>
      <c r="G11" s="338">
        <v>0.04</v>
      </c>
      <c r="H11" s="288">
        <f>+F11*G11</f>
        <v>0</v>
      </c>
      <c r="I11" s="288">
        <f>+D11+H11</f>
        <v>5559294.3251210293</v>
      </c>
      <c r="J11" s="338">
        <f>K36/I36</f>
        <v>3.9694374895358861E-2</v>
      </c>
      <c r="K11" s="288">
        <f>+I11*J11</f>
        <v>220672.71309499515</v>
      </c>
      <c r="L11" s="288">
        <f>+I11+K11</f>
        <v>5779967.0382160246</v>
      </c>
      <c r="M11" s="905">
        <v>0</v>
      </c>
      <c r="N11" s="454">
        <f>+L11*M11</f>
        <v>0</v>
      </c>
      <c r="O11" s="454">
        <f>+L11+N11</f>
        <v>5779967.0382160246</v>
      </c>
      <c r="P11" s="288">
        <f>+N11+K11+H11</f>
        <v>220672.71309499515</v>
      </c>
    </row>
    <row r="12" spans="1:16">
      <c r="A12" s="5">
        <v>2</v>
      </c>
      <c r="D12" s="288"/>
      <c r="F12" s="288"/>
      <c r="G12" s="338"/>
      <c r="H12" s="288"/>
      <c r="I12" s="288"/>
      <c r="J12" s="338"/>
      <c r="K12" s="288"/>
      <c r="L12" s="288"/>
      <c r="M12" s="338"/>
      <c r="N12" s="454"/>
    </row>
    <row r="13" spans="1:16" ht="16.2" thickBot="1">
      <c r="A13" s="5">
        <v>3</v>
      </c>
      <c r="B13" s="3" t="s">
        <v>915</v>
      </c>
      <c r="D13" s="483">
        <f>+D61</f>
        <v>8859248.0217900351</v>
      </c>
      <c r="E13" s="484" t="s">
        <v>916</v>
      </c>
      <c r="F13" s="483">
        <f>+F61</f>
        <v>2308180.6871949974</v>
      </c>
      <c r="G13" s="485">
        <v>3.1E-2</v>
      </c>
      <c r="H13" s="483">
        <f>+F13*G13</f>
        <v>71553.601303044925</v>
      </c>
      <c r="I13" s="483">
        <f>+D13+H13</f>
        <v>8930801.6230930798</v>
      </c>
      <c r="J13" s="485">
        <v>3.1E-2</v>
      </c>
      <c r="K13" s="483">
        <f>+I13*J13</f>
        <v>276854.85031588544</v>
      </c>
      <c r="L13" s="483">
        <f>+I13+K13</f>
        <v>9207656.4734089654</v>
      </c>
      <c r="M13" s="485">
        <v>0</v>
      </c>
      <c r="N13" s="486">
        <f>+L13*M13</f>
        <v>0</v>
      </c>
      <c r="O13" s="486">
        <f>+L13+N13</f>
        <v>9207656.4734089654</v>
      </c>
      <c r="P13" s="483">
        <f>+N13+K13+H13</f>
        <v>348408.45161893038</v>
      </c>
    </row>
    <row r="14" spans="1:16">
      <c r="A14" s="5">
        <v>4</v>
      </c>
      <c r="D14" s="288"/>
      <c r="F14" s="288"/>
      <c r="G14" s="338"/>
      <c r="H14" s="288"/>
      <c r="I14" s="288"/>
      <c r="J14" s="338"/>
      <c r="K14" s="288"/>
      <c r="L14" s="288"/>
      <c r="M14" s="338"/>
      <c r="N14" s="454"/>
    </row>
    <row r="15" spans="1:16" ht="16.2" thickBot="1">
      <c r="A15" s="5">
        <v>5</v>
      </c>
      <c r="D15" s="288">
        <v>13816265.910830002</v>
      </c>
      <c r="F15" s="288">
        <v>8816575.5899999999</v>
      </c>
      <c r="G15" s="338"/>
      <c r="H15" s="487">
        <f>+H11+H13</f>
        <v>71553.601303044925</v>
      </c>
      <c r="I15" s="288">
        <f>+I11+I13</f>
        <v>14490095.94821411</v>
      </c>
      <c r="J15" s="338"/>
      <c r="K15" s="487">
        <f>+K11+K13</f>
        <v>497527.56341088063</v>
      </c>
      <c r="L15" s="288">
        <f>+L11+L13</f>
        <v>14987623.51162499</v>
      </c>
      <c r="N15" s="487">
        <f>+N11+N13</f>
        <v>0</v>
      </c>
      <c r="P15" s="488">
        <f>+P11+P13</f>
        <v>569081.16471392557</v>
      </c>
    </row>
    <row r="16" spans="1:16" ht="16.2" thickTop="1">
      <c r="A16" s="5">
        <v>6</v>
      </c>
      <c r="D16" s="288"/>
      <c r="F16" s="288"/>
      <c r="G16" s="338"/>
      <c r="H16" s="487"/>
      <c r="I16" s="288"/>
      <c r="J16" s="338"/>
      <c r="K16" s="487"/>
      <c r="L16" s="288"/>
      <c r="N16" s="487"/>
      <c r="P16" s="489"/>
    </row>
    <row r="17" spans="1:16">
      <c r="A17" s="5">
        <v>7</v>
      </c>
      <c r="B17" s="3" t="s">
        <v>939</v>
      </c>
      <c r="D17" s="288"/>
      <c r="F17" s="288"/>
      <c r="G17" s="338"/>
      <c r="H17" s="487"/>
      <c r="I17" s="288"/>
      <c r="J17" s="338"/>
      <c r="K17" s="487"/>
      <c r="L17" s="288"/>
      <c r="N17" s="487"/>
      <c r="O17" s="338">
        <v>7.6499999999999999E-2</v>
      </c>
      <c r="P17" s="489">
        <f>+P15*O17</f>
        <v>43534.709100615306</v>
      </c>
    </row>
    <row r="18" spans="1:16">
      <c r="A18" s="5">
        <v>8</v>
      </c>
      <c r="D18" s="288"/>
      <c r="G18" s="338"/>
      <c r="K18" s="288"/>
      <c r="L18" s="288"/>
      <c r="N18" s="454"/>
    </row>
    <row r="19" spans="1:16">
      <c r="A19" s="5">
        <v>9</v>
      </c>
      <c r="B19" s="3" t="s">
        <v>914</v>
      </c>
    </row>
    <row r="20" spans="1:16">
      <c r="A20" s="5">
        <v>10</v>
      </c>
      <c r="C20" s="490" t="s">
        <v>917</v>
      </c>
      <c r="D20" s="68">
        <v>198112.25077799964</v>
      </c>
      <c r="G20" s="338"/>
      <c r="H20" s="288">
        <f t="shared" ref="H20:H34" si="0">+F20*G20</f>
        <v>0</v>
      </c>
      <c r="I20" s="288">
        <f t="shared" ref="I20:I34" si="1">+D20+H20</f>
        <v>198112.25077799964</v>
      </c>
      <c r="J20" s="491">
        <v>0.04</v>
      </c>
      <c r="K20" s="288">
        <f>+I20*J20</f>
        <v>7924.4900311199854</v>
      </c>
      <c r="L20" s="288">
        <f>+I20+K20</f>
        <v>206036.74080911963</v>
      </c>
      <c r="M20" s="905">
        <f>M11</f>
        <v>0</v>
      </c>
      <c r="N20" s="454">
        <f t="shared" ref="N20:N29" si="2">+L20*M20</f>
        <v>0</v>
      </c>
      <c r="O20" s="288">
        <f>+N20+L20</f>
        <v>206036.74080911963</v>
      </c>
      <c r="P20" s="288">
        <f t="shared" ref="P20:P29" si="3">+N20+K20+H20</f>
        <v>7924.4900311199854</v>
      </c>
    </row>
    <row r="21" spans="1:16">
      <c r="A21" s="5">
        <v>11</v>
      </c>
      <c r="C21" s="490" t="s">
        <v>918</v>
      </c>
      <c r="D21" s="68">
        <v>1241025.4402469669</v>
      </c>
      <c r="G21" s="338"/>
      <c r="H21" s="288">
        <f t="shared" si="0"/>
        <v>0</v>
      </c>
      <c r="I21" s="288">
        <f t="shared" si="1"/>
        <v>1241025.4402469669</v>
      </c>
      <c r="J21" s="491">
        <v>0.04</v>
      </c>
      <c r="K21" s="288">
        <f t="shared" ref="K21:K34" si="4">+I21*J21</f>
        <v>49641.017609878676</v>
      </c>
      <c r="L21" s="288">
        <f t="shared" ref="L21:L34" si="5">+I21+K21</f>
        <v>1290666.4578568456</v>
      </c>
      <c r="M21" s="905">
        <f>M11</f>
        <v>0</v>
      </c>
      <c r="N21" s="454">
        <f t="shared" si="2"/>
        <v>0</v>
      </c>
      <c r="O21" s="288">
        <f t="shared" ref="O21:O34" si="6">+N21+L21</f>
        <v>1290666.4578568456</v>
      </c>
      <c r="P21" s="288">
        <f t="shared" si="3"/>
        <v>49641.017609878676</v>
      </c>
    </row>
    <row r="22" spans="1:16">
      <c r="A22" s="5">
        <v>12</v>
      </c>
      <c r="C22" s="490" t="s">
        <v>919</v>
      </c>
      <c r="D22" s="68">
        <v>352014.65952900029</v>
      </c>
      <c r="G22" s="338"/>
      <c r="H22" s="288">
        <f t="shared" si="0"/>
        <v>0</v>
      </c>
      <c r="I22" s="288">
        <f t="shared" si="1"/>
        <v>352014.65952900029</v>
      </c>
      <c r="J22" s="491">
        <v>0.04</v>
      </c>
      <c r="K22" s="288">
        <f t="shared" si="4"/>
        <v>14080.586381160012</v>
      </c>
      <c r="L22" s="288">
        <f t="shared" si="5"/>
        <v>366095.2459101603</v>
      </c>
      <c r="M22" s="905">
        <f>M21</f>
        <v>0</v>
      </c>
      <c r="N22" s="454">
        <f t="shared" si="2"/>
        <v>0</v>
      </c>
      <c r="O22" s="288">
        <f t="shared" si="6"/>
        <v>366095.2459101603</v>
      </c>
      <c r="P22" s="288">
        <f t="shared" si="3"/>
        <v>14080.586381160012</v>
      </c>
    </row>
    <row r="23" spans="1:16">
      <c r="A23" s="5">
        <v>13</v>
      </c>
      <c r="C23" s="490" t="s">
        <v>920</v>
      </c>
      <c r="D23" s="68">
        <v>359591.65829400643</v>
      </c>
      <c r="G23" s="338"/>
      <c r="H23" s="288">
        <f t="shared" si="0"/>
        <v>0</v>
      </c>
      <c r="I23" s="288">
        <f t="shared" si="1"/>
        <v>359591.65829400643</v>
      </c>
      <c r="J23" s="491">
        <v>0.04</v>
      </c>
      <c r="K23" s="288">
        <f t="shared" si="4"/>
        <v>14383.666331760258</v>
      </c>
      <c r="L23" s="288">
        <f t="shared" si="5"/>
        <v>373975.32462576666</v>
      </c>
      <c r="M23" s="905">
        <f t="shared" ref="M23:M33" si="7">M22</f>
        <v>0</v>
      </c>
      <c r="N23" s="454">
        <f t="shared" si="2"/>
        <v>0</v>
      </c>
      <c r="O23" s="288">
        <f t="shared" si="6"/>
        <v>373975.32462576666</v>
      </c>
      <c r="P23" s="288">
        <f t="shared" si="3"/>
        <v>14383.666331760258</v>
      </c>
    </row>
    <row r="24" spans="1:16">
      <c r="A24" s="5">
        <v>14</v>
      </c>
      <c r="C24" s="490" t="s">
        <v>921</v>
      </c>
      <c r="D24" s="68">
        <v>7309.400000000006</v>
      </c>
      <c r="G24" s="338"/>
      <c r="H24" s="288">
        <f t="shared" si="0"/>
        <v>0</v>
      </c>
      <c r="I24" s="288">
        <f t="shared" si="1"/>
        <v>7309.400000000006</v>
      </c>
      <c r="J24" s="491">
        <v>0.04</v>
      </c>
      <c r="K24" s="288">
        <f t="shared" si="4"/>
        <v>292.37600000000026</v>
      </c>
      <c r="L24" s="288">
        <f t="shared" si="5"/>
        <v>7601.7760000000062</v>
      </c>
      <c r="M24" s="905">
        <f t="shared" si="7"/>
        <v>0</v>
      </c>
      <c r="N24" s="454">
        <f t="shared" si="2"/>
        <v>0</v>
      </c>
      <c r="O24" s="288">
        <f t="shared" si="6"/>
        <v>7601.7760000000062</v>
      </c>
      <c r="P24" s="288">
        <f t="shared" si="3"/>
        <v>292.37600000000026</v>
      </c>
    </row>
    <row r="25" spans="1:16">
      <c r="A25" s="5">
        <v>15</v>
      </c>
      <c r="C25" s="490" t="s">
        <v>923</v>
      </c>
      <c r="D25" s="68">
        <v>312094.9166350009</v>
      </c>
      <c r="G25" s="338"/>
      <c r="H25" s="288">
        <f t="shared" si="0"/>
        <v>0</v>
      </c>
      <c r="I25" s="288">
        <f t="shared" si="1"/>
        <v>312094.9166350009</v>
      </c>
      <c r="J25" s="491">
        <v>0.04</v>
      </c>
      <c r="K25" s="288">
        <f t="shared" si="4"/>
        <v>12483.796665400036</v>
      </c>
      <c r="L25" s="288">
        <f t="shared" si="5"/>
        <v>324578.71330040094</v>
      </c>
      <c r="M25" s="905">
        <f t="shared" si="7"/>
        <v>0</v>
      </c>
      <c r="N25" s="454">
        <f t="shared" si="2"/>
        <v>0</v>
      </c>
      <c r="O25" s="288">
        <f t="shared" si="6"/>
        <v>324578.71330040094</v>
      </c>
      <c r="P25" s="288">
        <f t="shared" si="3"/>
        <v>12483.796665400036</v>
      </c>
    </row>
    <row r="26" spans="1:16">
      <c r="A26" s="5">
        <v>16</v>
      </c>
      <c r="C26" s="490">
        <v>28850</v>
      </c>
      <c r="D26" s="68">
        <v>120636.82165100051</v>
      </c>
      <c r="G26" s="338"/>
      <c r="H26" s="288">
        <f t="shared" si="0"/>
        <v>0</v>
      </c>
      <c r="I26" s="288">
        <f t="shared" si="1"/>
        <v>120636.82165100051</v>
      </c>
      <c r="J26" s="491">
        <v>0.04</v>
      </c>
      <c r="K26" s="288">
        <f t="shared" si="4"/>
        <v>4825.4728660400206</v>
      </c>
      <c r="L26" s="288">
        <f t="shared" si="5"/>
        <v>125462.29451704053</v>
      </c>
      <c r="M26" s="905">
        <f t="shared" si="7"/>
        <v>0</v>
      </c>
      <c r="N26" s="454">
        <f t="shared" si="2"/>
        <v>0</v>
      </c>
      <c r="O26" s="288">
        <f t="shared" si="6"/>
        <v>125462.29451704053</v>
      </c>
      <c r="P26" s="288">
        <f t="shared" si="3"/>
        <v>4825.4728660400206</v>
      </c>
    </row>
    <row r="27" spans="1:16">
      <c r="A27" s="5">
        <v>17</v>
      </c>
      <c r="C27" s="490" t="s">
        <v>924</v>
      </c>
      <c r="D27" s="68">
        <v>8996.492940999995</v>
      </c>
      <c r="G27" s="338"/>
      <c r="H27" s="288">
        <f t="shared" si="0"/>
        <v>0</v>
      </c>
      <c r="I27" s="288">
        <f t="shared" si="1"/>
        <v>8996.492940999995</v>
      </c>
      <c r="J27" s="491">
        <v>0.04</v>
      </c>
      <c r="K27" s="288">
        <f t="shared" si="4"/>
        <v>359.85971763999981</v>
      </c>
      <c r="L27" s="288">
        <f t="shared" si="5"/>
        <v>9356.3526586399948</v>
      </c>
      <c r="M27" s="905">
        <f t="shared" si="7"/>
        <v>0</v>
      </c>
      <c r="N27" s="454">
        <f t="shared" si="2"/>
        <v>0</v>
      </c>
      <c r="O27" s="288">
        <f t="shared" si="6"/>
        <v>9356.3526586399948</v>
      </c>
      <c r="P27" s="288">
        <f t="shared" si="3"/>
        <v>359.85971763999981</v>
      </c>
    </row>
    <row r="28" spans="1:16">
      <c r="A28" s="5">
        <v>18</v>
      </c>
      <c r="C28" s="490" t="s">
        <v>927</v>
      </c>
      <c r="D28" s="68">
        <v>62790.160000000054</v>
      </c>
      <c r="G28" s="338"/>
      <c r="H28" s="288">
        <f t="shared" si="0"/>
        <v>0</v>
      </c>
      <c r="I28" s="288">
        <f t="shared" si="1"/>
        <v>62790.160000000054</v>
      </c>
      <c r="J28" s="491">
        <v>0.04</v>
      </c>
      <c r="K28" s="288">
        <f t="shared" si="4"/>
        <v>2511.6064000000024</v>
      </c>
      <c r="L28" s="288">
        <f t="shared" si="5"/>
        <v>65301.766400000059</v>
      </c>
      <c r="M28" s="905">
        <f t="shared" si="7"/>
        <v>0</v>
      </c>
      <c r="N28" s="454">
        <f t="shared" si="2"/>
        <v>0</v>
      </c>
      <c r="O28" s="288">
        <f t="shared" si="6"/>
        <v>65301.766400000059</v>
      </c>
      <c r="P28" s="288">
        <f t="shared" si="3"/>
        <v>2511.6064000000024</v>
      </c>
    </row>
    <row r="29" spans="1:16">
      <c r="A29" s="5">
        <v>19</v>
      </c>
      <c r="C29" s="490" t="s">
        <v>928</v>
      </c>
      <c r="D29" s="68">
        <v>11787.9457</v>
      </c>
      <c r="G29" s="338"/>
      <c r="H29" s="288">
        <f t="shared" si="0"/>
        <v>0</v>
      </c>
      <c r="I29" s="288">
        <f t="shared" si="1"/>
        <v>11787.9457</v>
      </c>
      <c r="J29" s="491">
        <v>0.04</v>
      </c>
      <c r="K29" s="288">
        <f t="shared" si="4"/>
        <v>471.51782800000001</v>
      </c>
      <c r="L29" s="288">
        <f t="shared" si="5"/>
        <v>12259.463528</v>
      </c>
      <c r="M29" s="905">
        <f t="shared" si="7"/>
        <v>0</v>
      </c>
      <c r="N29" s="454">
        <f t="shared" si="2"/>
        <v>0</v>
      </c>
      <c r="O29" s="288">
        <f t="shared" si="6"/>
        <v>12259.463528</v>
      </c>
      <c r="P29" s="288">
        <f t="shared" si="3"/>
        <v>471.51782800000001</v>
      </c>
    </row>
    <row r="30" spans="1:16">
      <c r="A30" s="5">
        <v>20</v>
      </c>
      <c r="C30" s="490" t="s">
        <v>930</v>
      </c>
      <c r="D30" s="492">
        <f>684342.989486994-D31</f>
        <v>326377.82999999571</v>
      </c>
      <c r="G30" s="338"/>
      <c r="H30" s="288">
        <f t="shared" si="0"/>
        <v>0</v>
      </c>
      <c r="I30" s="288">
        <f t="shared" si="1"/>
        <v>326377.82999999571</v>
      </c>
      <c r="J30" s="491">
        <v>0.04</v>
      </c>
      <c r="K30" s="288">
        <f t="shared" si="4"/>
        <v>13055.113199999829</v>
      </c>
      <c r="L30" s="288">
        <f t="shared" si="5"/>
        <v>339432.94319999556</v>
      </c>
      <c r="M30" s="905">
        <f t="shared" si="7"/>
        <v>0</v>
      </c>
      <c r="N30" s="454">
        <f>+L30*M30</f>
        <v>0</v>
      </c>
      <c r="O30" s="288">
        <f t="shared" si="6"/>
        <v>339432.94319999556</v>
      </c>
      <c r="P30" s="288">
        <f>+N30+K30+H30</f>
        <v>13055.113199999829</v>
      </c>
    </row>
    <row r="31" spans="1:16">
      <c r="A31" s="5">
        <v>21</v>
      </c>
      <c r="C31" s="490" t="s">
        <v>1010</v>
      </c>
      <c r="D31" s="492">
        <v>357965.15948699828</v>
      </c>
      <c r="G31" s="338"/>
      <c r="H31" s="288">
        <f t="shared" si="0"/>
        <v>0</v>
      </c>
      <c r="I31" s="288">
        <f t="shared" si="1"/>
        <v>357965.15948699828</v>
      </c>
      <c r="J31" s="491">
        <v>3.7999999999999999E-2</v>
      </c>
      <c r="K31" s="288">
        <f t="shared" si="4"/>
        <v>13602.676060505933</v>
      </c>
      <c r="L31" s="288">
        <f t="shared" si="5"/>
        <v>371567.83554750419</v>
      </c>
      <c r="M31" s="905">
        <f t="shared" si="7"/>
        <v>0</v>
      </c>
      <c r="N31" s="454">
        <f>+L31*M31</f>
        <v>0</v>
      </c>
      <c r="O31" s="288">
        <f t="shared" si="6"/>
        <v>371567.83554750419</v>
      </c>
      <c r="P31" s="288">
        <f>+N31+K31+H31</f>
        <v>13602.676060505933</v>
      </c>
    </row>
    <row r="32" spans="1:16">
      <c r="A32" s="5">
        <v>22</v>
      </c>
      <c r="C32" s="490" t="s">
        <v>931</v>
      </c>
      <c r="D32" s="492">
        <f>2187157.41531306-D33</f>
        <v>1695592.6198770627</v>
      </c>
      <c r="G32" s="338"/>
      <c r="H32" s="288">
        <f t="shared" si="0"/>
        <v>0</v>
      </c>
      <c r="I32" s="288">
        <f t="shared" si="1"/>
        <v>1695592.6198770627</v>
      </c>
      <c r="J32" s="491">
        <v>0.04</v>
      </c>
      <c r="K32" s="288">
        <f t="shared" si="4"/>
        <v>67823.704795082507</v>
      </c>
      <c r="L32" s="288">
        <f t="shared" si="5"/>
        <v>1763416.3246721453</v>
      </c>
      <c r="M32" s="905">
        <f t="shared" si="7"/>
        <v>0</v>
      </c>
      <c r="N32" s="454">
        <f>+L32*M32</f>
        <v>0</v>
      </c>
      <c r="O32" s="288">
        <f t="shared" si="6"/>
        <v>1763416.3246721453</v>
      </c>
      <c r="P32" s="288">
        <f>+N32+K32+H32</f>
        <v>67823.704795082507</v>
      </c>
    </row>
    <row r="33" spans="1:16">
      <c r="A33" s="5">
        <v>23</v>
      </c>
      <c r="C33" s="490" t="s">
        <v>1011</v>
      </c>
      <c r="D33" s="492">
        <v>491564.79543599725</v>
      </c>
      <c r="G33" s="338"/>
      <c r="H33" s="288">
        <f t="shared" si="0"/>
        <v>0</v>
      </c>
      <c r="I33" s="288">
        <f t="shared" si="1"/>
        <v>491564.79543599725</v>
      </c>
      <c r="J33" s="491">
        <v>3.7999999999999999E-2</v>
      </c>
      <c r="K33" s="288">
        <f t="shared" si="4"/>
        <v>18679.462226567895</v>
      </c>
      <c r="L33" s="288">
        <f t="shared" si="5"/>
        <v>510244.25766256516</v>
      </c>
      <c r="M33" s="905">
        <f t="shared" si="7"/>
        <v>0</v>
      </c>
      <c r="N33" s="454">
        <f>+L33*M33</f>
        <v>0</v>
      </c>
      <c r="O33" s="288">
        <f t="shared" si="6"/>
        <v>510244.25766256516</v>
      </c>
      <c r="P33" s="288">
        <f>+N33+K33+H33</f>
        <v>18679.462226567895</v>
      </c>
    </row>
    <row r="34" spans="1:16">
      <c r="A34" s="5">
        <v>24</v>
      </c>
      <c r="C34" s="493">
        <v>29260</v>
      </c>
      <c r="D34" s="68">
        <v>13434.174545999997</v>
      </c>
      <c r="G34" s="338"/>
      <c r="H34" s="288">
        <f t="shared" si="0"/>
        <v>0</v>
      </c>
      <c r="I34" s="288">
        <f t="shared" si="1"/>
        <v>13434.174545999997</v>
      </c>
      <c r="J34" s="491">
        <v>0.04</v>
      </c>
      <c r="K34" s="288">
        <f t="shared" si="4"/>
        <v>537.36698183999988</v>
      </c>
      <c r="L34" s="288">
        <f t="shared" si="5"/>
        <v>13971.541527839996</v>
      </c>
      <c r="M34" s="905">
        <f t="shared" ref="M34" si="8">M25</f>
        <v>0</v>
      </c>
      <c r="N34" s="454">
        <f>+L34*M34</f>
        <v>0</v>
      </c>
      <c r="O34" s="288">
        <f t="shared" si="6"/>
        <v>13971.541527839996</v>
      </c>
      <c r="P34" s="288">
        <f>+N34+K34+H34</f>
        <v>537.36698183999988</v>
      </c>
    </row>
    <row r="35" spans="1:16">
      <c r="A35" s="5">
        <v>25</v>
      </c>
      <c r="C35" s="493"/>
      <c r="D35" s="68"/>
      <c r="G35" s="338"/>
      <c r="H35" s="288"/>
      <c r="I35" s="288"/>
      <c r="J35" s="491"/>
      <c r="K35" s="288"/>
      <c r="L35" s="288"/>
      <c r="M35" s="338"/>
      <c r="N35" s="454"/>
      <c r="P35" s="288"/>
    </row>
    <row r="36" spans="1:16">
      <c r="A36" s="5">
        <v>26</v>
      </c>
      <c r="D36" s="494">
        <f>SUM(D20:D34)</f>
        <v>5559294.3251210293</v>
      </c>
      <c r="F36" s="494">
        <f>SUM(F20:F34)</f>
        <v>0</v>
      </c>
      <c r="H36" s="494">
        <f>SUM(H20:H34)</f>
        <v>0</v>
      </c>
      <c r="I36" s="494">
        <f>SUM(I20:I34)</f>
        <v>5559294.3251210293</v>
      </c>
      <c r="K36" s="494">
        <f>SUM(K20:K34)</f>
        <v>220672.71309499515</v>
      </c>
      <c r="L36" s="494">
        <f>SUM(L20:L34)</f>
        <v>5779967.0382160246</v>
      </c>
      <c r="N36" s="494">
        <f>SUM(N20:N34)</f>
        <v>0</v>
      </c>
      <c r="O36" s="494">
        <f>SUM(O20:O34)</f>
        <v>5779967.0382160246</v>
      </c>
      <c r="P36" s="494">
        <f>SUM(P20:P34)</f>
        <v>220672.71309499515</v>
      </c>
    </row>
    <row r="37" spans="1:16">
      <c r="A37" s="5" t="s">
        <v>1269</v>
      </c>
      <c r="B37" s="3" t="s">
        <v>915</v>
      </c>
    </row>
    <row r="38" spans="1:16">
      <c r="A38" s="5">
        <v>27</v>
      </c>
      <c r="C38" s="493" t="s">
        <v>932</v>
      </c>
      <c r="D38" s="494"/>
    </row>
    <row r="39" spans="1:16">
      <c r="A39" s="5">
        <v>28</v>
      </c>
      <c r="C39" s="490" t="s">
        <v>919</v>
      </c>
      <c r="D39" s="68">
        <v>65642.860590000142</v>
      </c>
      <c r="F39" s="68">
        <v>16091.811392000001</v>
      </c>
      <c r="G39" s="338">
        <v>3.1E-2</v>
      </c>
      <c r="H39" s="288">
        <f>+F39*G39</f>
        <v>498.84615315200006</v>
      </c>
      <c r="I39" s="288">
        <f t="shared" ref="I39:I60" si="9">+D39+H39</f>
        <v>66141.706743152143</v>
      </c>
      <c r="J39" s="338">
        <v>3.1E-2</v>
      </c>
      <c r="K39" s="288">
        <f t="shared" ref="K39:K60" si="10">+I39*J39</f>
        <v>2050.3929090377164</v>
      </c>
      <c r="L39" s="288">
        <f t="shared" ref="L39:L59" si="11">+I39+K39</f>
        <v>68192.099652189863</v>
      </c>
      <c r="M39" s="338">
        <f>M13</f>
        <v>0</v>
      </c>
      <c r="N39" s="454">
        <f t="shared" ref="N39:N59" si="12">+L39*M39</f>
        <v>0</v>
      </c>
      <c r="O39" s="454">
        <f>+L39+N39</f>
        <v>68192.099652189863</v>
      </c>
      <c r="P39" s="288">
        <f t="shared" ref="P39:P60" si="13">+N39+K39+H39</f>
        <v>2549.2390621897166</v>
      </c>
    </row>
    <row r="40" spans="1:16">
      <c r="A40" s="5">
        <v>29</v>
      </c>
      <c r="C40" s="490" t="s">
        <v>933</v>
      </c>
      <c r="D40" s="68">
        <v>78031.010000000446</v>
      </c>
      <c r="F40" s="68">
        <v>20963.160000000007</v>
      </c>
      <c r="G40" s="338">
        <v>3.1E-2</v>
      </c>
      <c r="H40" s="288">
        <f>+F40*G40</f>
        <v>649.85796000000016</v>
      </c>
      <c r="I40" s="288">
        <f t="shared" si="9"/>
        <v>78680.86796000044</v>
      </c>
      <c r="J40" s="338">
        <v>3.1E-2</v>
      </c>
      <c r="K40" s="288">
        <f t="shared" si="10"/>
        <v>2439.1069067600138</v>
      </c>
      <c r="L40" s="288">
        <f t="shared" si="11"/>
        <v>81119.974866760458</v>
      </c>
      <c r="M40" s="338">
        <f>M39</f>
        <v>0</v>
      </c>
      <c r="N40" s="454">
        <f t="shared" si="12"/>
        <v>0</v>
      </c>
      <c r="O40" s="454">
        <f t="shared" ref="O40:O56" si="14">+L40+N40</f>
        <v>81119.974866760458</v>
      </c>
      <c r="P40" s="288">
        <f t="shared" si="13"/>
        <v>3088.964866760014</v>
      </c>
    </row>
    <row r="41" spans="1:16">
      <c r="A41" s="5">
        <v>30</v>
      </c>
      <c r="C41" s="490" t="s">
        <v>920</v>
      </c>
      <c r="D41" s="68">
        <v>2069470.9652639814</v>
      </c>
      <c r="F41" s="68">
        <v>497116.51765099907</v>
      </c>
      <c r="G41" s="338">
        <v>3.1E-2</v>
      </c>
      <c r="H41" s="288">
        <f>+F41*G41</f>
        <v>15410.612047180972</v>
      </c>
      <c r="I41" s="288">
        <f t="shared" si="9"/>
        <v>2084881.5773111624</v>
      </c>
      <c r="J41" s="338">
        <v>3.1E-2</v>
      </c>
      <c r="K41" s="288">
        <f t="shared" si="10"/>
        <v>64631.328896646031</v>
      </c>
      <c r="L41" s="288">
        <f t="shared" si="11"/>
        <v>2149512.9062078083</v>
      </c>
      <c r="M41" s="338">
        <f t="shared" ref="M41:M60" si="15">M40</f>
        <v>0</v>
      </c>
      <c r="N41" s="454">
        <f t="shared" si="12"/>
        <v>0</v>
      </c>
      <c r="O41" s="454">
        <f t="shared" si="14"/>
        <v>2149512.9062078083</v>
      </c>
      <c r="P41" s="288">
        <f t="shared" si="13"/>
        <v>80041.940943827009</v>
      </c>
    </row>
    <row r="42" spans="1:16">
      <c r="A42" s="5">
        <v>31</v>
      </c>
      <c r="C42" s="490" t="s">
        <v>934</v>
      </c>
      <c r="D42" s="68">
        <v>304520.09932699846</v>
      </c>
      <c r="F42" s="68">
        <v>73909.680551000114</v>
      </c>
      <c r="G42" s="338">
        <v>3.1E-2</v>
      </c>
      <c r="H42" s="288">
        <f t="shared" ref="H42:H60" si="16">+F42*G42</f>
        <v>2291.2000970810036</v>
      </c>
      <c r="I42" s="288">
        <f t="shared" si="9"/>
        <v>306811.29942407948</v>
      </c>
      <c r="J42" s="338">
        <v>3.1E-2</v>
      </c>
      <c r="K42" s="288">
        <f t="shared" si="10"/>
        <v>9511.1502821464637</v>
      </c>
      <c r="L42" s="288">
        <f t="shared" si="11"/>
        <v>316322.44970622595</v>
      </c>
      <c r="M42" s="338">
        <f t="shared" si="15"/>
        <v>0</v>
      </c>
      <c r="N42" s="454">
        <f t="shared" si="12"/>
        <v>0</v>
      </c>
      <c r="O42" s="454">
        <f t="shared" si="14"/>
        <v>316322.44970622595</v>
      </c>
      <c r="P42" s="288">
        <f t="shared" si="13"/>
        <v>11802.350379227468</v>
      </c>
    </row>
    <row r="43" spans="1:16">
      <c r="A43" s="5">
        <v>32</v>
      </c>
      <c r="C43" s="490" t="s">
        <v>935</v>
      </c>
      <c r="D43" s="68">
        <v>68748.616163999861</v>
      </c>
      <c r="F43" s="68">
        <v>21810.994966000002</v>
      </c>
      <c r="G43" s="338">
        <v>3.1E-2</v>
      </c>
      <c r="H43" s="288">
        <f t="shared" si="16"/>
        <v>676.14084394600002</v>
      </c>
      <c r="I43" s="288">
        <f t="shared" si="9"/>
        <v>69424.757007945867</v>
      </c>
      <c r="J43" s="338">
        <v>3.1E-2</v>
      </c>
      <c r="K43" s="288">
        <f t="shared" si="10"/>
        <v>2152.1674672463218</v>
      </c>
      <c r="L43" s="288">
        <f t="shared" si="11"/>
        <v>71576.924475192194</v>
      </c>
      <c r="M43" s="338">
        <f t="shared" si="15"/>
        <v>0</v>
      </c>
      <c r="N43" s="454">
        <f t="shared" si="12"/>
        <v>0</v>
      </c>
      <c r="O43" s="454">
        <f t="shared" si="14"/>
        <v>71576.924475192194</v>
      </c>
      <c r="P43" s="288">
        <f t="shared" si="13"/>
        <v>2828.308311192322</v>
      </c>
    </row>
    <row r="44" spans="1:16">
      <c r="A44" s="5">
        <v>33</v>
      </c>
      <c r="C44" s="490" t="s">
        <v>921</v>
      </c>
      <c r="D44" s="68">
        <v>1150953.1000000152</v>
      </c>
      <c r="F44" s="68">
        <v>277047.46000000107</v>
      </c>
      <c r="G44" s="338">
        <v>3.1E-2</v>
      </c>
      <c r="H44" s="288">
        <f t="shared" si="16"/>
        <v>8588.471260000033</v>
      </c>
      <c r="I44" s="288">
        <f t="shared" si="9"/>
        <v>1159541.5712600152</v>
      </c>
      <c r="J44" s="338">
        <v>3.1E-2</v>
      </c>
      <c r="K44" s="288">
        <f t="shared" si="10"/>
        <v>35945.788709060471</v>
      </c>
      <c r="L44" s="288">
        <f t="shared" si="11"/>
        <v>1195487.3599690758</v>
      </c>
      <c r="M44" s="338">
        <f t="shared" si="15"/>
        <v>0</v>
      </c>
      <c r="N44" s="454">
        <f t="shared" si="12"/>
        <v>0</v>
      </c>
      <c r="O44" s="454">
        <f t="shared" si="14"/>
        <v>1195487.3599690758</v>
      </c>
      <c r="P44" s="288">
        <f t="shared" si="13"/>
        <v>44534.259969060506</v>
      </c>
    </row>
    <row r="45" spans="1:16">
      <c r="A45" s="5">
        <v>34</v>
      </c>
      <c r="C45" s="490" t="s">
        <v>922</v>
      </c>
      <c r="D45" s="68">
        <v>945193.08999998716</v>
      </c>
      <c r="F45" s="68">
        <v>257382.84999999913</v>
      </c>
      <c r="G45" s="338">
        <v>3.1E-2</v>
      </c>
      <c r="H45" s="288">
        <f t="shared" si="16"/>
        <v>7978.8683499999734</v>
      </c>
      <c r="I45" s="288">
        <f t="shared" si="9"/>
        <v>953171.95834998717</v>
      </c>
      <c r="J45" s="338">
        <v>3.1E-2</v>
      </c>
      <c r="K45" s="288">
        <f t="shared" si="10"/>
        <v>29548.3307088496</v>
      </c>
      <c r="L45" s="288">
        <f t="shared" si="11"/>
        <v>982720.28905883676</v>
      </c>
      <c r="M45" s="338">
        <f t="shared" si="15"/>
        <v>0</v>
      </c>
      <c r="N45" s="454">
        <f t="shared" si="12"/>
        <v>0</v>
      </c>
      <c r="O45" s="454">
        <f t="shared" si="14"/>
        <v>982720.28905883676</v>
      </c>
      <c r="P45" s="288">
        <f t="shared" si="13"/>
        <v>37527.199058849576</v>
      </c>
    </row>
    <row r="46" spans="1:16">
      <c r="A46" s="5">
        <v>35</v>
      </c>
      <c r="C46" s="490" t="s">
        <v>923</v>
      </c>
      <c r="D46" s="68">
        <v>1143221.8732780369</v>
      </c>
      <c r="F46" s="68">
        <v>326097.65622899926</v>
      </c>
      <c r="G46" s="338">
        <v>3.1E-2</v>
      </c>
      <c r="H46" s="288">
        <f t="shared" si="16"/>
        <v>10109.027343098976</v>
      </c>
      <c r="I46" s="288">
        <f t="shared" si="9"/>
        <v>1153330.900621136</v>
      </c>
      <c r="J46" s="338">
        <v>3.1E-2</v>
      </c>
      <c r="K46" s="288">
        <f t="shared" si="10"/>
        <v>35753.257919255215</v>
      </c>
      <c r="L46" s="288">
        <f t="shared" si="11"/>
        <v>1189084.1585403911</v>
      </c>
      <c r="M46" s="338">
        <f t="shared" si="15"/>
        <v>0</v>
      </c>
      <c r="N46" s="454">
        <f t="shared" si="12"/>
        <v>0</v>
      </c>
      <c r="O46" s="454">
        <f t="shared" si="14"/>
        <v>1189084.1585403911</v>
      </c>
      <c r="P46" s="288">
        <f t="shared" si="13"/>
        <v>45862.285262354191</v>
      </c>
    </row>
    <row r="47" spans="1:16">
      <c r="A47" s="5">
        <v>36</v>
      </c>
      <c r="C47" s="14">
        <v>28860</v>
      </c>
      <c r="D47" s="68">
        <v>73.92</v>
      </c>
      <c r="F47" s="68">
        <v>0</v>
      </c>
      <c r="G47" s="338">
        <v>3.1E-2</v>
      </c>
      <c r="H47" s="288">
        <f t="shared" si="16"/>
        <v>0</v>
      </c>
      <c r="I47" s="288">
        <f>+D47+H47</f>
        <v>73.92</v>
      </c>
      <c r="J47" s="338">
        <v>3.1E-2</v>
      </c>
      <c r="K47" s="288">
        <f>+I47*J47</f>
        <v>2.2915200000000002</v>
      </c>
      <c r="L47" s="288">
        <f>+I47+K47</f>
        <v>76.211520000000007</v>
      </c>
      <c r="M47" s="338">
        <f t="shared" si="15"/>
        <v>0</v>
      </c>
      <c r="N47" s="454">
        <f>+L47*M47</f>
        <v>0</v>
      </c>
      <c r="O47" s="454">
        <f t="shared" si="14"/>
        <v>76.211520000000007</v>
      </c>
      <c r="P47" s="288">
        <f>+N47+K47+H47</f>
        <v>2.2915200000000002</v>
      </c>
    </row>
    <row r="48" spans="1:16">
      <c r="A48" s="5">
        <v>37</v>
      </c>
      <c r="C48" s="490" t="s">
        <v>924</v>
      </c>
      <c r="D48" s="68">
        <v>595618.26032400515</v>
      </c>
      <c r="F48" s="68">
        <v>144258.64363099993</v>
      </c>
      <c r="G48" s="338">
        <v>3.1E-2</v>
      </c>
      <c r="H48" s="288">
        <f t="shared" si="16"/>
        <v>4472.0179525609974</v>
      </c>
      <c r="I48" s="288">
        <f t="shared" si="9"/>
        <v>600090.27827656618</v>
      </c>
      <c r="J48" s="338">
        <v>3.1E-2</v>
      </c>
      <c r="K48" s="288">
        <f t="shared" si="10"/>
        <v>18602.798626573553</v>
      </c>
      <c r="L48" s="288">
        <f t="shared" si="11"/>
        <v>618693.07690313971</v>
      </c>
      <c r="M48" s="338">
        <f t="shared" si="15"/>
        <v>0</v>
      </c>
      <c r="N48" s="454">
        <f t="shared" si="12"/>
        <v>0</v>
      </c>
      <c r="O48" s="454">
        <f t="shared" si="14"/>
        <v>618693.07690313971</v>
      </c>
      <c r="P48" s="288">
        <f t="shared" si="13"/>
        <v>23074.816579134549</v>
      </c>
    </row>
    <row r="49" spans="1:16">
      <c r="A49" s="5">
        <v>38</v>
      </c>
      <c r="C49" s="490" t="s">
        <v>936</v>
      </c>
      <c r="D49" s="68">
        <v>18538.699999999993</v>
      </c>
      <c r="F49" s="68">
        <v>3423.8999999999992</v>
      </c>
      <c r="G49" s="338">
        <v>3.1E-2</v>
      </c>
      <c r="H49" s="288">
        <f t="shared" si="16"/>
        <v>106.14089999999997</v>
      </c>
      <c r="I49" s="288">
        <f t="shared" si="9"/>
        <v>18644.840899999992</v>
      </c>
      <c r="J49" s="338">
        <v>3.1E-2</v>
      </c>
      <c r="K49" s="288">
        <f t="shared" si="10"/>
        <v>577.99006789999976</v>
      </c>
      <c r="L49" s="288">
        <f t="shared" si="11"/>
        <v>19222.83096789999</v>
      </c>
      <c r="M49" s="338">
        <f t="shared" si="15"/>
        <v>0</v>
      </c>
      <c r="N49" s="454">
        <f t="shared" si="12"/>
        <v>0</v>
      </c>
      <c r="O49" s="454">
        <f t="shared" si="14"/>
        <v>19222.83096789999</v>
      </c>
      <c r="P49" s="288">
        <f t="shared" si="13"/>
        <v>684.13096789999975</v>
      </c>
    </row>
    <row r="50" spans="1:16">
      <c r="A50" s="5">
        <v>39</v>
      </c>
      <c r="C50" s="490" t="s">
        <v>925</v>
      </c>
      <c r="D50" s="68">
        <v>216222.84648300009</v>
      </c>
      <c r="F50" s="68">
        <v>58968.791257000055</v>
      </c>
      <c r="G50" s="338">
        <v>3.1E-2</v>
      </c>
      <c r="H50" s="288">
        <f t="shared" si="16"/>
        <v>1828.0325289670018</v>
      </c>
      <c r="I50" s="288">
        <f t="shared" si="9"/>
        <v>218050.8790119671</v>
      </c>
      <c r="J50" s="338">
        <v>3.1E-2</v>
      </c>
      <c r="K50" s="288">
        <f t="shared" si="10"/>
        <v>6759.5772493709801</v>
      </c>
      <c r="L50" s="288">
        <f t="shared" si="11"/>
        <v>224810.45626133808</v>
      </c>
      <c r="M50" s="338">
        <f t="shared" si="15"/>
        <v>0</v>
      </c>
      <c r="N50" s="454">
        <f t="shared" si="12"/>
        <v>0</v>
      </c>
      <c r="O50" s="454">
        <f t="shared" si="14"/>
        <v>224810.45626133808</v>
      </c>
      <c r="P50" s="288">
        <f t="shared" si="13"/>
        <v>8587.609778337981</v>
      </c>
    </row>
    <row r="51" spans="1:16">
      <c r="A51" s="5">
        <v>40</v>
      </c>
      <c r="C51" s="490" t="s">
        <v>926</v>
      </c>
      <c r="D51" s="68">
        <v>9325.1699999999946</v>
      </c>
      <c r="F51" s="68">
        <v>4589.6200000000008</v>
      </c>
      <c r="G51" s="338">
        <v>3.1E-2</v>
      </c>
      <c r="H51" s="288">
        <f t="shared" si="16"/>
        <v>142.27822000000003</v>
      </c>
      <c r="I51" s="288">
        <f t="shared" si="9"/>
        <v>9467.4482199999948</v>
      </c>
      <c r="J51" s="338">
        <v>3.1E-2</v>
      </c>
      <c r="K51" s="288">
        <f t="shared" si="10"/>
        <v>293.49089481999982</v>
      </c>
      <c r="L51" s="288">
        <f t="shared" si="11"/>
        <v>9760.9391148199938</v>
      </c>
      <c r="M51" s="338">
        <f t="shared" si="15"/>
        <v>0</v>
      </c>
      <c r="N51" s="454">
        <f t="shared" si="12"/>
        <v>0</v>
      </c>
      <c r="O51" s="454">
        <f t="shared" si="14"/>
        <v>9760.9391148199938</v>
      </c>
      <c r="P51" s="288">
        <f t="shared" si="13"/>
        <v>435.76911481999986</v>
      </c>
    </row>
    <row r="52" spans="1:16">
      <c r="A52" s="5">
        <v>41</v>
      </c>
      <c r="C52" s="490" t="s">
        <v>927</v>
      </c>
      <c r="D52" s="68">
        <v>764674.29755901697</v>
      </c>
      <c r="F52" s="68">
        <v>203272.48417499993</v>
      </c>
      <c r="G52" s="338">
        <v>3.1E-2</v>
      </c>
      <c r="H52" s="288">
        <f t="shared" si="16"/>
        <v>6301.4470094249982</v>
      </c>
      <c r="I52" s="288">
        <f t="shared" si="9"/>
        <v>770975.74456844199</v>
      </c>
      <c r="J52" s="338">
        <v>3.1E-2</v>
      </c>
      <c r="K52" s="288">
        <f t="shared" si="10"/>
        <v>23900.248081621703</v>
      </c>
      <c r="L52" s="288">
        <f t="shared" si="11"/>
        <v>794875.99265006371</v>
      </c>
      <c r="M52" s="338">
        <f t="shared" si="15"/>
        <v>0</v>
      </c>
      <c r="N52" s="454">
        <f t="shared" si="12"/>
        <v>0</v>
      </c>
      <c r="O52" s="454">
        <f t="shared" si="14"/>
        <v>794875.99265006371</v>
      </c>
      <c r="P52" s="288">
        <f t="shared" si="13"/>
        <v>30201.695091046702</v>
      </c>
    </row>
    <row r="53" spans="1:16">
      <c r="A53" s="5">
        <v>42</v>
      </c>
      <c r="C53" s="490" t="s">
        <v>928</v>
      </c>
      <c r="D53" s="68">
        <v>879038.63501599082</v>
      </c>
      <c r="F53" s="68">
        <v>258998.25900699937</v>
      </c>
      <c r="G53" s="338">
        <v>3.1E-2</v>
      </c>
      <c r="H53" s="288">
        <f t="shared" si="16"/>
        <v>8028.9460292169806</v>
      </c>
      <c r="I53" s="288">
        <f t="shared" si="9"/>
        <v>887067.5810452078</v>
      </c>
      <c r="J53" s="338">
        <v>3.1E-2</v>
      </c>
      <c r="K53" s="288">
        <f t="shared" si="10"/>
        <v>27499.095012401442</v>
      </c>
      <c r="L53" s="288">
        <f t="shared" si="11"/>
        <v>914566.67605760926</v>
      </c>
      <c r="M53" s="338">
        <f t="shared" si="15"/>
        <v>0</v>
      </c>
      <c r="N53" s="454">
        <f t="shared" si="12"/>
        <v>0</v>
      </c>
      <c r="O53" s="454">
        <f t="shared" si="14"/>
        <v>914566.67605760926</v>
      </c>
      <c r="P53" s="288">
        <f t="shared" si="13"/>
        <v>35528.041041618424</v>
      </c>
    </row>
    <row r="54" spans="1:16">
      <c r="A54" s="5">
        <v>43</v>
      </c>
      <c r="C54" s="490" t="s">
        <v>937</v>
      </c>
      <c r="D54" s="68">
        <v>61214.120000000185</v>
      </c>
      <c r="F54" s="68">
        <v>19514.749999999964</v>
      </c>
      <c r="G54" s="338">
        <v>3.1E-2</v>
      </c>
      <c r="H54" s="288">
        <f t="shared" si="16"/>
        <v>604.95724999999891</v>
      </c>
      <c r="I54" s="288">
        <f t="shared" si="9"/>
        <v>61819.077250000184</v>
      </c>
      <c r="J54" s="338">
        <v>3.1E-2</v>
      </c>
      <c r="K54" s="288">
        <f t="shared" si="10"/>
        <v>1916.3913947500057</v>
      </c>
      <c r="L54" s="288">
        <f t="shared" si="11"/>
        <v>63735.468644750188</v>
      </c>
      <c r="M54" s="338">
        <f t="shared" si="15"/>
        <v>0</v>
      </c>
      <c r="N54" s="454">
        <f t="shared" si="12"/>
        <v>0</v>
      </c>
      <c r="O54" s="454">
        <f t="shared" si="14"/>
        <v>63735.468644750188</v>
      </c>
      <c r="P54" s="288">
        <f t="shared" si="13"/>
        <v>2521.3486447500045</v>
      </c>
    </row>
    <row r="55" spans="1:16">
      <c r="A55" s="5">
        <v>44</v>
      </c>
      <c r="C55" s="490" t="s">
        <v>929</v>
      </c>
      <c r="D55" s="68">
        <v>359204.24000000238</v>
      </c>
      <c r="F55" s="68">
        <v>103198.70999999999</v>
      </c>
      <c r="G55" s="338">
        <v>3.1E-2</v>
      </c>
      <c r="H55" s="288">
        <f t="shared" si="16"/>
        <v>3199.1600099999996</v>
      </c>
      <c r="I55" s="288">
        <f t="shared" si="9"/>
        <v>362403.40001000237</v>
      </c>
      <c r="J55" s="338">
        <v>3.1E-2</v>
      </c>
      <c r="K55" s="288">
        <f t="shared" si="10"/>
        <v>11234.505400310074</v>
      </c>
      <c r="L55" s="288">
        <f t="shared" si="11"/>
        <v>373637.90541031247</v>
      </c>
      <c r="M55" s="338">
        <f t="shared" si="15"/>
        <v>0</v>
      </c>
      <c r="N55" s="454">
        <f t="shared" si="12"/>
        <v>0</v>
      </c>
      <c r="O55" s="454">
        <f t="shared" si="14"/>
        <v>373637.90541031247</v>
      </c>
      <c r="P55" s="288">
        <f t="shared" si="13"/>
        <v>14433.665410310074</v>
      </c>
    </row>
    <row r="56" spans="1:16">
      <c r="A56" s="5">
        <v>45</v>
      </c>
      <c r="C56" s="490" t="s">
        <v>930</v>
      </c>
      <c r="D56" s="68">
        <v>96110.140000000392</v>
      </c>
      <c r="F56" s="68">
        <v>19496.73000000004</v>
      </c>
      <c r="G56" s="338">
        <v>3.1E-2</v>
      </c>
      <c r="H56" s="288">
        <f t="shared" si="16"/>
        <v>604.39863000000128</v>
      </c>
      <c r="I56" s="288">
        <f t="shared" si="9"/>
        <v>96714.538630000388</v>
      </c>
      <c r="J56" s="338">
        <v>3.1E-2</v>
      </c>
      <c r="K56" s="288">
        <f t="shared" si="10"/>
        <v>2998.1506975300122</v>
      </c>
      <c r="L56" s="288">
        <f t="shared" si="11"/>
        <v>99712.689327530403</v>
      </c>
      <c r="M56" s="338">
        <f t="shared" si="15"/>
        <v>0</v>
      </c>
      <c r="N56" s="454">
        <f t="shared" si="12"/>
        <v>0</v>
      </c>
      <c r="O56" s="454">
        <f t="shared" si="14"/>
        <v>99712.689327530403</v>
      </c>
      <c r="P56" s="288">
        <f t="shared" si="13"/>
        <v>3602.5493275300132</v>
      </c>
    </row>
    <row r="57" spans="1:16">
      <c r="A57" s="5">
        <v>46</v>
      </c>
      <c r="C57" s="490" t="s">
        <v>931</v>
      </c>
      <c r="D57" s="68">
        <v>1779.60861</v>
      </c>
      <c r="F57" s="68">
        <v>222.55833600000003</v>
      </c>
      <c r="G57" s="338">
        <v>3.1E-2</v>
      </c>
      <c r="H57" s="288">
        <f t="shared" si="16"/>
        <v>6.8993084160000011</v>
      </c>
      <c r="I57" s="288">
        <f t="shared" si="9"/>
        <v>1786.5079184159999</v>
      </c>
      <c r="J57" s="338">
        <v>3.1E-2</v>
      </c>
      <c r="K57" s="288">
        <f t="shared" si="10"/>
        <v>55.381745470896</v>
      </c>
      <c r="L57" s="288">
        <f t="shared" si="11"/>
        <v>1841.889663886896</v>
      </c>
      <c r="M57" s="338">
        <f t="shared" si="15"/>
        <v>0</v>
      </c>
      <c r="N57" s="454">
        <f t="shared" si="12"/>
        <v>0</v>
      </c>
      <c r="O57" s="454">
        <f>+L57+N57</f>
        <v>1841.889663886896</v>
      </c>
      <c r="P57" s="288">
        <f t="shared" si="13"/>
        <v>62.281053886896004</v>
      </c>
    </row>
    <row r="58" spans="1:16">
      <c r="A58" s="5">
        <v>47</v>
      </c>
      <c r="C58" s="14">
        <v>29210</v>
      </c>
      <c r="D58" s="68">
        <v>387.61039200000005</v>
      </c>
      <c r="F58" s="68">
        <v>0</v>
      </c>
      <c r="G58" s="338">
        <v>3.1E-2</v>
      </c>
      <c r="H58" s="288">
        <f t="shared" si="16"/>
        <v>0</v>
      </c>
      <c r="I58" s="288">
        <f>+D58+H58</f>
        <v>387.61039200000005</v>
      </c>
      <c r="J58" s="338">
        <v>3.1E-2</v>
      </c>
      <c r="K58" s="288">
        <f t="shared" si="10"/>
        <v>12.015922152000002</v>
      </c>
      <c r="L58" s="288">
        <f t="shared" si="11"/>
        <v>399.62631415200008</v>
      </c>
      <c r="M58" s="338">
        <f t="shared" si="15"/>
        <v>0</v>
      </c>
      <c r="N58" s="454">
        <f t="shared" si="12"/>
        <v>0</v>
      </c>
      <c r="O58" s="454">
        <f>+L58+N58</f>
        <v>399.62631415200008</v>
      </c>
      <c r="P58" s="288">
        <f t="shared" si="13"/>
        <v>12.015922152000002</v>
      </c>
    </row>
    <row r="59" spans="1:16">
      <c r="A59" s="5">
        <v>48</v>
      </c>
      <c r="C59" s="14">
        <v>29260</v>
      </c>
      <c r="D59" s="68">
        <v>28313.028782999991</v>
      </c>
      <c r="F59" s="68">
        <v>0</v>
      </c>
      <c r="G59" s="338">
        <v>3.1E-2</v>
      </c>
      <c r="H59" s="288">
        <f t="shared" si="16"/>
        <v>0</v>
      </c>
      <c r="I59" s="288">
        <f t="shared" si="9"/>
        <v>28313.028782999991</v>
      </c>
      <c r="J59" s="338">
        <v>3.1E-2</v>
      </c>
      <c r="K59" s="288">
        <f t="shared" si="10"/>
        <v>877.70389227299972</v>
      </c>
      <c r="L59" s="288">
        <f t="shared" si="11"/>
        <v>29190.73267527299</v>
      </c>
      <c r="M59" s="338">
        <f t="shared" si="15"/>
        <v>0</v>
      </c>
      <c r="N59" s="454">
        <f t="shared" si="12"/>
        <v>0</v>
      </c>
      <c r="O59" s="454">
        <f>+L59+N59</f>
        <v>29190.73267527299</v>
      </c>
      <c r="P59" s="288">
        <f t="shared" si="13"/>
        <v>877.70389227299972</v>
      </c>
    </row>
    <row r="60" spans="1:16">
      <c r="A60" s="5">
        <v>49</v>
      </c>
      <c r="C60" s="490" t="s">
        <v>938</v>
      </c>
      <c r="D60" s="68">
        <v>2965.83</v>
      </c>
      <c r="E60" s="406"/>
      <c r="F60" s="317">
        <v>1816.1100000000001</v>
      </c>
      <c r="G60" s="495">
        <v>3.1E-2</v>
      </c>
      <c r="H60" s="496">
        <f t="shared" si="16"/>
        <v>56.299410000000002</v>
      </c>
      <c r="I60" s="496">
        <f t="shared" si="9"/>
        <v>3022.12941</v>
      </c>
      <c r="J60" s="495">
        <v>3.1E-2</v>
      </c>
      <c r="K60" s="496">
        <f t="shared" si="10"/>
        <v>93.686011710000002</v>
      </c>
      <c r="L60" s="496">
        <f>+I60+K60</f>
        <v>3115.81542171</v>
      </c>
      <c r="M60" s="338">
        <f t="shared" si="15"/>
        <v>0</v>
      </c>
      <c r="N60" s="497">
        <f>+L60*M60</f>
        <v>0</v>
      </c>
      <c r="O60" s="497">
        <f>+L60+N60</f>
        <v>3115.81542171</v>
      </c>
      <c r="P60" s="496">
        <f t="shared" si="13"/>
        <v>149.98542171</v>
      </c>
    </row>
    <row r="61" spans="1:16">
      <c r="A61" s="5">
        <v>50</v>
      </c>
      <c r="D61" s="494">
        <f>SUM(D38:D60)</f>
        <v>8859248.0217900351</v>
      </c>
      <c r="F61" s="494">
        <f>SUM(F38:F60)</f>
        <v>2308180.6871949974</v>
      </c>
      <c r="H61" s="494">
        <f>SUM(H38:H60)</f>
        <v>71553.601303044925</v>
      </c>
      <c r="I61" s="494">
        <f>SUM(I38:I60)</f>
        <v>8930801.6230930816</v>
      </c>
      <c r="K61" s="494">
        <f>SUM(K38:K60)</f>
        <v>276854.8503158855</v>
      </c>
      <c r="L61" s="494">
        <f>SUM(L38:L60)</f>
        <v>9207656.4734089654</v>
      </c>
      <c r="N61" s="494">
        <f>SUM(N38:N60)</f>
        <v>0</v>
      </c>
      <c r="O61" s="494">
        <f>SUM(O38:O60)</f>
        <v>9207656.4734089654</v>
      </c>
      <c r="P61" s="494">
        <f>SUM(P38:P60)</f>
        <v>348408.4516189305</v>
      </c>
    </row>
    <row r="64" spans="1:16" ht="16.2" thickBot="1"/>
    <row r="65" spans="1:16">
      <c r="B65" s="1262" t="s">
        <v>1032</v>
      </c>
      <c r="C65" s="1263"/>
      <c r="D65" s="1263"/>
      <c r="E65" s="1264"/>
    </row>
    <row r="66" spans="1:16">
      <c r="B66" s="1265"/>
      <c r="C66" s="1266"/>
      <c r="D66" s="1266"/>
      <c r="E66" s="1267"/>
    </row>
    <row r="67" spans="1:16">
      <c r="B67" s="1265"/>
      <c r="C67" s="1266"/>
      <c r="D67" s="1266"/>
      <c r="E67" s="1267"/>
    </row>
    <row r="68" spans="1:16" ht="16.2" thickBot="1">
      <c r="B68" s="1268"/>
      <c r="C68" s="1269"/>
      <c r="D68" s="1269"/>
      <c r="E68" s="1270"/>
    </row>
    <row r="69" spans="1:16">
      <c r="A69" s="8" t="s">
        <v>883</v>
      </c>
    </row>
    <row r="70" spans="1:16">
      <c r="A70" s="5">
        <v>51</v>
      </c>
      <c r="B70" s="461" t="s">
        <v>1033</v>
      </c>
      <c r="F70" s="252">
        <v>1036861.35</v>
      </c>
      <c r="J70" s="338">
        <v>0</v>
      </c>
      <c r="K70" s="252">
        <f>+F70*J70</f>
        <v>0</v>
      </c>
      <c r="L70" s="252">
        <f>+F70+K70</f>
        <v>1036861.35</v>
      </c>
      <c r="M70" s="338">
        <v>0</v>
      </c>
      <c r="N70" s="3">
        <f>+L70*M70</f>
        <v>0</v>
      </c>
      <c r="O70" s="252">
        <f>+L70+N70</f>
        <v>1036861.35</v>
      </c>
      <c r="P70" s="252">
        <f>+O70-F70</f>
        <v>0</v>
      </c>
    </row>
    <row r="71" spans="1:16">
      <c r="A71" s="5">
        <v>52</v>
      </c>
      <c r="B71" s="461" t="s">
        <v>1034</v>
      </c>
      <c r="F71" s="252">
        <v>115428.85</v>
      </c>
      <c r="J71" s="338">
        <v>0.04</v>
      </c>
      <c r="K71" s="252">
        <f>+F71*J71</f>
        <v>4617.1540000000005</v>
      </c>
      <c r="L71" s="252">
        <f t="shared" ref="L71:L84" si="17">+F71+K71</f>
        <v>120046.004</v>
      </c>
      <c r="M71" s="905">
        <f>M11</f>
        <v>0</v>
      </c>
      <c r="N71" s="3">
        <f t="shared" ref="N71:N84" si="18">+L71*M71</f>
        <v>0</v>
      </c>
      <c r="O71" s="252">
        <f t="shared" ref="O71:O84" si="19">+L71+N71</f>
        <v>120046.004</v>
      </c>
      <c r="P71" s="252">
        <f t="shared" ref="P71:P84" si="20">+O71-F71</f>
        <v>4617.153999999995</v>
      </c>
    </row>
    <row r="72" spans="1:16">
      <c r="A72" s="5">
        <v>53</v>
      </c>
      <c r="B72" s="461" t="s">
        <v>1035</v>
      </c>
      <c r="F72" s="252">
        <v>423581.69</v>
      </c>
      <c r="J72" s="338">
        <v>0.04</v>
      </c>
      <c r="K72" s="252">
        <f t="shared" ref="K72:K84" si="21">+F72*J72</f>
        <v>16943.267599999999</v>
      </c>
      <c r="L72" s="252">
        <f t="shared" si="17"/>
        <v>440524.95760000002</v>
      </c>
      <c r="M72" s="905">
        <f>M71</f>
        <v>0</v>
      </c>
      <c r="N72" s="3">
        <f t="shared" si="18"/>
        <v>0</v>
      </c>
      <c r="O72" s="252">
        <f t="shared" si="19"/>
        <v>440524.95760000002</v>
      </c>
      <c r="P72" s="252">
        <f t="shared" si="20"/>
        <v>16943.267600000021</v>
      </c>
    </row>
    <row r="73" spans="1:16">
      <c r="A73" s="5">
        <v>54</v>
      </c>
      <c r="B73" s="461" t="s">
        <v>1036</v>
      </c>
      <c r="F73" s="252">
        <v>208965.05</v>
      </c>
      <c r="J73" s="338">
        <v>0.04</v>
      </c>
      <c r="K73" s="252">
        <f t="shared" si="21"/>
        <v>8358.601999999999</v>
      </c>
      <c r="L73" s="252">
        <f t="shared" si="17"/>
        <v>217323.652</v>
      </c>
      <c r="M73" s="905">
        <f t="shared" ref="M73:M84" si="22">M72</f>
        <v>0</v>
      </c>
      <c r="N73" s="3">
        <f t="shared" si="18"/>
        <v>0</v>
      </c>
      <c r="O73" s="252">
        <f t="shared" si="19"/>
        <v>217323.652</v>
      </c>
      <c r="P73" s="252">
        <f t="shared" si="20"/>
        <v>8358.6020000000135</v>
      </c>
    </row>
    <row r="74" spans="1:16">
      <c r="A74" s="5">
        <v>55</v>
      </c>
      <c r="B74" s="461" t="s">
        <v>1037</v>
      </c>
      <c r="F74" s="252">
        <v>153109.92000000001</v>
      </c>
      <c r="J74" s="338">
        <v>0.04</v>
      </c>
      <c r="K74" s="252">
        <f t="shared" si="21"/>
        <v>6124.3968000000004</v>
      </c>
      <c r="L74" s="252">
        <f t="shared" si="17"/>
        <v>159234.3168</v>
      </c>
      <c r="M74" s="905">
        <f t="shared" si="22"/>
        <v>0</v>
      </c>
      <c r="N74" s="3">
        <f t="shared" si="18"/>
        <v>0</v>
      </c>
      <c r="O74" s="252">
        <f t="shared" si="19"/>
        <v>159234.3168</v>
      </c>
      <c r="P74" s="252">
        <f t="shared" si="20"/>
        <v>6124.3967999999877</v>
      </c>
    </row>
    <row r="75" spans="1:16">
      <c r="A75" s="5">
        <v>56</v>
      </c>
      <c r="B75" s="461" t="s">
        <v>1038</v>
      </c>
      <c r="F75" s="252">
        <v>84449.44</v>
      </c>
      <c r="J75" s="338">
        <v>0.04</v>
      </c>
      <c r="K75" s="252">
        <f t="shared" si="21"/>
        <v>3377.9776000000002</v>
      </c>
      <c r="L75" s="252">
        <f t="shared" si="17"/>
        <v>87827.417600000001</v>
      </c>
      <c r="M75" s="905">
        <f t="shared" si="22"/>
        <v>0</v>
      </c>
      <c r="N75" s="3">
        <f t="shared" si="18"/>
        <v>0</v>
      </c>
      <c r="O75" s="252">
        <f t="shared" si="19"/>
        <v>87827.417600000001</v>
      </c>
      <c r="P75" s="252">
        <f t="shared" si="20"/>
        <v>3377.9775999999983</v>
      </c>
    </row>
    <row r="76" spans="1:16">
      <c r="A76" s="5">
        <v>57</v>
      </c>
      <c r="B76" s="461" t="s">
        <v>1039</v>
      </c>
      <c r="F76" s="252">
        <v>1024805.29</v>
      </c>
      <c r="J76" s="338">
        <v>0.04</v>
      </c>
      <c r="K76" s="252">
        <f t="shared" si="21"/>
        <v>40992.211600000002</v>
      </c>
      <c r="L76" s="252">
        <f t="shared" si="17"/>
        <v>1065797.5016000001</v>
      </c>
      <c r="M76" s="905">
        <f t="shared" si="22"/>
        <v>0</v>
      </c>
      <c r="N76" s="3">
        <f t="shared" si="18"/>
        <v>0</v>
      </c>
      <c r="O76" s="252">
        <f t="shared" si="19"/>
        <v>1065797.5016000001</v>
      </c>
      <c r="P76" s="252">
        <f t="shared" si="20"/>
        <v>40992.211600000039</v>
      </c>
    </row>
    <row r="77" spans="1:16">
      <c r="A77" s="5">
        <v>58</v>
      </c>
      <c r="B77" s="461" t="s">
        <v>1040</v>
      </c>
      <c r="F77" s="252">
        <v>208344.85</v>
      </c>
      <c r="J77" s="338">
        <v>0.04</v>
      </c>
      <c r="K77" s="252">
        <f t="shared" si="21"/>
        <v>8333.7939999999999</v>
      </c>
      <c r="L77" s="252">
        <f t="shared" si="17"/>
        <v>216678.644</v>
      </c>
      <c r="M77" s="905">
        <f t="shared" si="22"/>
        <v>0</v>
      </c>
      <c r="N77" s="3">
        <f t="shared" si="18"/>
        <v>0</v>
      </c>
      <c r="O77" s="252">
        <f t="shared" si="19"/>
        <v>216678.644</v>
      </c>
      <c r="P77" s="252">
        <f t="shared" si="20"/>
        <v>8333.7939999999944</v>
      </c>
    </row>
    <row r="78" spans="1:16">
      <c r="A78" s="5">
        <v>59</v>
      </c>
      <c r="B78" s="461" t="s">
        <v>1041</v>
      </c>
      <c r="F78" s="252">
        <v>159743.65</v>
      </c>
      <c r="J78" s="338">
        <v>0.04</v>
      </c>
      <c r="K78" s="252">
        <f t="shared" si="21"/>
        <v>6389.7460000000001</v>
      </c>
      <c r="L78" s="252">
        <f t="shared" si="17"/>
        <v>166133.39600000001</v>
      </c>
      <c r="M78" s="905">
        <f t="shared" si="22"/>
        <v>0</v>
      </c>
      <c r="N78" s="3">
        <f t="shared" si="18"/>
        <v>0</v>
      </c>
      <c r="O78" s="252">
        <f t="shared" si="19"/>
        <v>166133.39600000001</v>
      </c>
      <c r="P78" s="252">
        <f t="shared" si="20"/>
        <v>6389.7460000000137</v>
      </c>
    </row>
    <row r="79" spans="1:16">
      <c r="A79" s="5">
        <v>60</v>
      </c>
      <c r="B79" s="461" t="s">
        <v>1042</v>
      </c>
      <c r="F79" s="252">
        <v>250606.53</v>
      </c>
      <c r="J79" s="338">
        <v>0.04</v>
      </c>
      <c r="K79" s="252">
        <f t="shared" si="21"/>
        <v>10024.261200000001</v>
      </c>
      <c r="L79" s="252">
        <f t="shared" si="17"/>
        <v>260630.79120000001</v>
      </c>
      <c r="M79" s="905">
        <f t="shared" si="22"/>
        <v>0</v>
      </c>
      <c r="N79" s="3">
        <f t="shared" si="18"/>
        <v>0</v>
      </c>
      <c r="O79" s="252">
        <f t="shared" si="19"/>
        <v>260630.79120000001</v>
      </c>
      <c r="P79" s="252">
        <f t="shared" si="20"/>
        <v>10024.261200000008</v>
      </c>
    </row>
    <row r="80" spans="1:16">
      <c r="A80" s="5">
        <v>61</v>
      </c>
      <c r="B80" s="461" t="s">
        <v>1043</v>
      </c>
      <c r="F80" s="252">
        <v>39737.97</v>
      </c>
      <c r="J80" s="338">
        <v>0.04</v>
      </c>
      <c r="K80" s="252">
        <f t="shared" si="21"/>
        <v>1589.5188000000001</v>
      </c>
      <c r="L80" s="252">
        <f t="shared" si="17"/>
        <v>41327.488799999999</v>
      </c>
      <c r="M80" s="905">
        <f t="shared" si="22"/>
        <v>0</v>
      </c>
      <c r="N80" s="3">
        <f t="shared" si="18"/>
        <v>0</v>
      </c>
      <c r="O80" s="252">
        <f t="shared" si="19"/>
        <v>41327.488799999999</v>
      </c>
      <c r="P80" s="252">
        <f t="shared" si="20"/>
        <v>1589.518799999998</v>
      </c>
    </row>
    <row r="81" spans="1:16">
      <c r="A81" s="5">
        <v>62</v>
      </c>
      <c r="B81" s="461" t="s">
        <v>1044</v>
      </c>
      <c r="F81" s="252">
        <v>29392.47</v>
      </c>
      <c r="J81" s="338">
        <v>0.04</v>
      </c>
      <c r="K81" s="252">
        <f t="shared" si="21"/>
        <v>1175.6988000000001</v>
      </c>
      <c r="L81" s="252">
        <f t="shared" si="17"/>
        <v>30568.168799999999</v>
      </c>
      <c r="M81" s="905">
        <f t="shared" si="22"/>
        <v>0</v>
      </c>
      <c r="N81" s="3">
        <f t="shared" si="18"/>
        <v>0</v>
      </c>
      <c r="O81" s="252">
        <f t="shared" si="19"/>
        <v>30568.168799999999</v>
      </c>
      <c r="P81" s="252">
        <f t="shared" si="20"/>
        <v>1175.6987999999983</v>
      </c>
    </row>
    <row r="82" spans="1:16">
      <c r="A82" s="5">
        <v>63</v>
      </c>
      <c r="B82" s="461" t="s">
        <v>1045</v>
      </c>
      <c r="F82" s="252">
        <v>558174.55000000005</v>
      </c>
      <c r="J82" s="338">
        <v>0.04</v>
      </c>
      <c r="K82" s="252">
        <f t="shared" si="21"/>
        <v>22326.982000000004</v>
      </c>
      <c r="L82" s="252">
        <f t="shared" si="17"/>
        <v>580501.53200000001</v>
      </c>
      <c r="M82" s="905">
        <f t="shared" si="22"/>
        <v>0</v>
      </c>
      <c r="N82" s="3">
        <f t="shared" si="18"/>
        <v>0</v>
      </c>
      <c r="O82" s="252">
        <f t="shared" si="19"/>
        <v>580501.53200000001</v>
      </c>
      <c r="P82" s="252">
        <f t="shared" si="20"/>
        <v>22326.98199999996</v>
      </c>
    </row>
    <row r="83" spans="1:16">
      <c r="A83" s="5">
        <v>64</v>
      </c>
      <c r="B83" s="461" t="s">
        <v>1046</v>
      </c>
      <c r="F83" s="252">
        <v>54777.31</v>
      </c>
      <c r="J83" s="338">
        <v>0.04</v>
      </c>
      <c r="K83" s="252">
        <f t="shared" si="21"/>
        <v>2191.0924</v>
      </c>
      <c r="L83" s="252">
        <f t="shared" si="17"/>
        <v>56968.402399999999</v>
      </c>
      <c r="M83" s="905">
        <f t="shared" si="22"/>
        <v>0</v>
      </c>
      <c r="N83" s="3">
        <f t="shared" si="18"/>
        <v>0</v>
      </c>
      <c r="O83" s="252">
        <f t="shared" si="19"/>
        <v>56968.402399999999</v>
      </c>
      <c r="P83" s="252">
        <f t="shared" si="20"/>
        <v>2191.0924000000014</v>
      </c>
    </row>
    <row r="84" spans="1:16">
      <c r="A84" s="5">
        <v>65</v>
      </c>
      <c r="B84" s="461" t="s">
        <v>1047</v>
      </c>
      <c r="F84" s="498">
        <v>9465.5499999999993</v>
      </c>
      <c r="J84" s="338">
        <v>0.04</v>
      </c>
      <c r="K84" s="252">
        <f t="shared" si="21"/>
        <v>378.62199999999996</v>
      </c>
      <c r="L84" s="252">
        <f t="shared" si="17"/>
        <v>9844.1719999999987</v>
      </c>
      <c r="M84" s="905">
        <f t="shared" si="22"/>
        <v>0</v>
      </c>
      <c r="N84" s="3">
        <f t="shared" si="18"/>
        <v>0</v>
      </c>
      <c r="O84" s="252">
        <f t="shared" si="19"/>
        <v>9844.1719999999987</v>
      </c>
      <c r="P84" s="252">
        <f t="shared" si="20"/>
        <v>378.62199999999939</v>
      </c>
    </row>
    <row r="85" spans="1:16">
      <c r="F85" s="499">
        <f>SUM(F70:F84)</f>
        <v>4357444.47</v>
      </c>
      <c r="K85" s="499">
        <f>SUM(K70:K84)</f>
        <v>132823.3248</v>
      </c>
      <c r="L85" s="499">
        <f>SUM(L70:L84)</f>
        <v>4490267.7948000003</v>
      </c>
      <c r="N85" s="499">
        <f>SUM(N70:N84)</f>
        <v>0</v>
      </c>
      <c r="O85" s="499">
        <f>SUM(O70:O84)</f>
        <v>4490267.7948000003</v>
      </c>
      <c r="P85" s="499">
        <f>SUM(P70:P84)</f>
        <v>132823.32480000003</v>
      </c>
    </row>
    <row r="86" spans="1:16">
      <c r="K86" s="252"/>
    </row>
    <row r="87" spans="1:16">
      <c r="A87" s="835" t="s">
        <v>1251</v>
      </c>
    </row>
    <row r="88" spans="1:16">
      <c r="A88" s="835" t="s">
        <v>1628</v>
      </c>
    </row>
    <row r="89" spans="1:16">
      <c r="A89" s="835" t="s">
        <v>1629</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7"/>
  <sheetViews>
    <sheetView zoomScaleNormal="100" workbookViewId="0">
      <selection activeCell="B3" sqref="B3:H3"/>
    </sheetView>
  </sheetViews>
  <sheetFormatPr defaultColWidth="9.109375" defaultRowHeight="15.6"/>
  <cols>
    <col min="1" max="1" width="9.44140625" style="5" bestFit="1" customWidth="1"/>
    <col min="2" max="3" width="9.109375" style="3"/>
    <col min="4" max="5" width="14" style="3" bestFit="1" customWidth="1"/>
    <col min="6" max="6" width="3.6640625" style="3" customWidth="1"/>
    <col min="7" max="7" width="14.109375" style="3" bestFit="1" customWidth="1"/>
    <col min="8" max="8" width="9.109375" style="3"/>
    <col min="9" max="10" width="12.5546875" style="3" bestFit="1" customWidth="1"/>
    <col min="11" max="16384" width="9.109375" style="3"/>
  </cols>
  <sheetData>
    <row r="1" spans="1:9">
      <c r="B1" s="1229" t="s">
        <v>54</v>
      </c>
      <c r="C1" s="1229"/>
      <c r="D1" s="1229"/>
      <c r="E1" s="1229"/>
      <c r="F1" s="1229"/>
      <c r="G1" s="1229"/>
      <c r="H1" s="1229"/>
      <c r="I1" s="13"/>
    </row>
    <row r="2" spans="1:9">
      <c r="B2" s="1229" t="s">
        <v>1261</v>
      </c>
      <c r="C2" s="1229"/>
      <c r="D2" s="1229"/>
      <c r="E2" s="1229"/>
      <c r="F2" s="1229"/>
      <c r="G2" s="1229"/>
      <c r="H2" s="1229"/>
      <c r="I2" s="13"/>
    </row>
    <row r="3" spans="1:9">
      <c r="B3" s="1229"/>
      <c r="C3" s="1229"/>
      <c r="D3" s="1229"/>
      <c r="E3" s="1229"/>
      <c r="F3" s="1229"/>
      <c r="G3" s="1229"/>
      <c r="H3" s="1229"/>
      <c r="I3" s="13"/>
    </row>
    <row r="4" spans="1:9">
      <c r="B4" s="1229" t="s">
        <v>951</v>
      </c>
      <c r="C4" s="1229"/>
      <c r="D4" s="1229"/>
      <c r="E4" s="1229"/>
      <c r="F4" s="1229"/>
      <c r="G4" s="1229"/>
      <c r="H4" s="1229"/>
      <c r="I4" s="13"/>
    </row>
    <row r="5" spans="1:9">
      <c r="B5" s="1229" t="s">
        <v>953</v>
      </c>
      <c r="C5" s="1229"/>
      <c r="D5" s="1229"/>
      <c r="E5" s="1229"/>
      <c r="F5" s="1229"/>
      <c r="G5" s="1229"/>
      <c r="H5" s="1229"/>
      <c r="I5" s="13"/>
    </row>
    <row r="6" spans="1:9">
      <c r="E6" s="13"/>
      <c r="F6" s="13"/>
      <c r="G6" s="13"/>
      <c r="H6" s="13"/>
      <c r="I6" s="13"/>
    </row>
    <row r="7" spans="1:9" s="5" customFormat="1">
      <c r="B7" s="5" t="s">
        <v>1272</v>
      </c>
      <c r="D7" s="5" t="s">
        <v>1270</v>
      </c>
      <c r="E7" s="5" t="s">
        <v>1271</v>
      </c>
      <c r="G7" s="5" t="s">
        <v>1274</v>
      </c>
    </row>
    <row r="8" spans="1:9" ht="16.2" thickBot="1">
      <c r="A8" s="501" t="s">
        <v>883</v>
      </c>
      <c r="D8" s="833" t="s">
        <v>1625</v>
      </c>
      <c r="E8" s="833">
        <v>2016</v>
      </c>
      <c r="F8" s="5"/>
      <c r="G8" s="505" t="s">
        <v>52</v>
      </c>
    </row>
    <row r="9" spans="1:9">
      <c r="A9" s="5">
        <v>1</v>
      </c>
      <c r="B9" s="3" t="s">
        <v>884</v>
      </c>
      <c r="D9" s="502">
        <v>27313.75</v>
      </c>
      <c r="E9" s="502">
        <v>5656.8</v>
      </c>
      <c r="G9" s="500">
        <f>+D9+E9</f>
        <v>32970.550000000003</v>
      </c>
    </row>
    <row r="10" spans="1:9">
      <c r="A10" s="5">
        <v>2</v>
      </c>
      <c r="B10" s="3" t="s">
        <v>99</v>
      </c>
      <c r="D10" s="502">
        <v>219901.15</v>
      </c>
      <c r="E10" s="502">
        <v>66715.92</v>
      </c>
      <c r="G10" s="500">
        <f>+D10+E10</f>
        <v>286617.07</v>
      </c>
    </row>
    <row r="11" spans="1:9">
      <c r="A11" s="5">
        <v>3</v>
      </c>
      <c r="B11" s="3" t="s">
        <v>100</v>
      </c>
      <c r="D11" s="502">
        <v>51296.74</v>
      </c>
      <c r="E11" s="502">
        <v>37260.18</v>
      </c>
      <c r="G11" s="500">
        <f>+D11+E11</f>
        <v>88556.92</v>
      </c>
    </row>
    <row r="12" spans="1:9">
      <c r="D12" s="502"/>
      <c r="E12" s="502"/>
    </row>
    <row r="13" spans="1:9">
      <c r="A13" s="5">
        <v>4</v>
      </c>
      <c r="B13" s="3" t="s">
        <v>101</v>
      </c>
      <c r="D13" s="502">
        <f>SUM(D9:D12)</f>
        <v>298511.64</v>
      </c>
      <c r="E13" s="502">
        <f>SUM(E9:E12)</f>
        <v>109632.9</v>
      </c>
      <c r="G13" s="500">
        <f>SUM(G9:G11)</f>
        <v>408144.54</v>
      </c>
    </row>
    <row r="14" spans="1:9">
      <c r="A14" s="5">
        <v>5</v>
      </c>
      <c r="D14" s="3" t="s">
        <v>1006</v>
      </c>
      <c r="G14" s="503">
        <f>+E13</f>
        <v>109632.9</v>
      </c>
      <c r="H14" s="97"/>
    </row>
    <row r="15" spans="1:9" ht="16.2" thickBot="1">
      <c r="A15" s="5">
        <v>6</v>
      </c>
      <c r="B15" s="3" t="s">
        <v>56</v>
      </c>
      <c r="G15" s="504"/>
      <c r="I15" s="500"/>
    </row>
    <row r="16" spans="1:9" ht="16.2" thickTop="1"/>
    <row r="17" spans="5:7">
      <c r="E17" s="3" t="s">
        <v>1660</v>
      </c>
      <c r="G17" s="933">
        <v>123000</v>
      </c>
    </row>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9"/>
  <sheetViews>
    <sheetView view="pageBreakPreview" zoomScale="90" zoomScaleNormal="100" zoomScaleSheetLayoutView="90" workbookViewId="0">
      <selection activeCell="C3" sqref="C3:J3"/>
    </sheetView>
  </sheetViews>
  <sheetFormatPr defaultColWidth="9.109375" defaultRowHeight="15.6"/>
  <cols>
    <col min="1" max="1" width="8.88671875" style="5" bestFit="1" customWidth="1"/>
    <col min="2" max="2" width="36.33203125" style="3" bestFit="1" customWidth="1"/>
    <col min="3" max="3" width="25.6640625" style="3" bestFit="1" customWidth="1"/>
    <col min="4" max="4" width="8.109375" style="3" bestFit="1" customWidth="1"/>
    <col min="5" max="5" width="9" style="3" bestFit="1" customWidth="1"/>
    <col min="6" max="6" width="6.44140625" style="3" customWidth="1"/>
    <col min="7" max="7" width="5.44140625" style="3" bestFit="1" customWidth="1"/>
    <col min="8" max="8" width="10" style="3" bestFit="1" customWidth="1"/>
    <col min="9" max="9" width="5.44140625" style="3" bestFit="1" customWidth="1"/>
    <col min="10" max="10" width="11.109375" style="3" bestFit="1" customWidth="1"/>
    <col min="11" max="11" width="16.88671875" style="3" bestFit="1" customWidth="1"/>
    <col min="12" max="12" width="14.5546875" style="3" bestFit="1" customWidth="1"/>
    <col min="13" max="13" width="9.109375" style="3"/>
    <col min="14" max="14" width="11.109375" style="3" customWidth="1"/>
    <col min="15" max="16384" width="9.109375" style="3"/>
  </cols>
  <sheetData>
    <row r="1" spans="1:13">
      <c r="C1" s="1229" t="s">
        <v>54</v>
      </c>
      <c r="D1" s="1229"/>
      <c r="E1" s="1229"/>
      <c r="F1" s="1229"/>
      <c r="G1" s="1229"/>
      <c r="H1" s="1229"/>
      <c r="I1" s="1229"/>
      <c r="J1" s="1229"/>
    </row>
    <row r="2" spans="1:13">
      <c r="C2" s="1229" t="s">
        <v>1261</v>
      </c>
      <c r="D2" s="1229"/>
      <c r="E2" s="1229"/>
      <c r="F2" s="1229"/>
      <c r="G2" s="1229"/>
      <c r="H2" s="1229"/>
      <c r="I2" s="1229"/>
      <c r="J2" s="1229"/>
    </row>
    <row r="3" spans="1:13">
      <c r="C3" s="1229"/>
      <c r="D3" s="1229"/>
      <c r="E3" s="1229"/>
      <c r="F3" s="1229"/>
      <c r="G3" s="1229"/>
      <c r="H3" s="1229"/>
      <c r="I3" s="1229"/>
      <c r="J3" s="1229"/>
    </row>
    <row r="4" spans="1:13">
      <c r="C4" s="1229" t="s">
        <v>1266</v>
      </c>
      <c r="D4" s="1229"/>
      <c r="E4" s="1229"/>
      <c r="F4" s="1229"/>
      <c r="G4" s="1229"/>
      <c r="H4" s="1229"/>
      <c r="I4" s="1229"/>
      <c r="J4" s="1229"/>
    </row>
    <row r="5" spans="1:13">
      <c r="C5" s="1229" t="s">
        <v>953</v>
      </c>
      <c r="D5" s="1229"/>
      <c r="E5" s="1229"/>
      <c r="F5" s="1229"/>
      <c r="G5" s="1229"/>
      <c r="H5" s="1229"/>
      <c r="I5" s="1229"/>
      <c r="J5" s="1229"/>
    </row>
    <row r="9" spans="1:13" s="5" customFormat="1">
      <c r="B9" s="5" t="s">
        <v>1272</v>
      </c>
      <c r="C9" s="5" t="s">
        <v>1270</v>
      </c>
      <c r="D9" s="5" t="s">
        <v>1271</v>
      </c>
      <c r="E9" s="5" t="s">
        <v>1274</v>
      </c>
      <c r="F9" s="5" t="s">
        <v>1275</v>
      </c>
      <c r="G9" s="5" t="s">
        <v>1276</v>
      </c>
      <c r="H9" s="5" t="s">
        <v>1277</v>
      </c>
      <c r="I9" s="5" t="s">
        <v>1278</v>
      </c>
      <c r="J9" s="5" t="s">
        <v>1279</v>
      </c>
      <c r="K9" s="5" t="s">
        <v>1280</v>
      </c>
      <c r="L9" s="5" t="s">
        <v>1281</v>
      </c>
    </row>
    <row r="10" spans="1:13" s="5" customFormat="1" ht="16.2" thickBot="1">
      <c r="A10" s="8" t="s">
        <v>883</v>
      </c>
      <c r="B10" s="505" t="s">
        <v>1051</v>
      </c>
      <c r="C10" s="505" t="s">
        <v>1052</v>
      </c>
      <c r="D10" s="505" t="s">
        <v>905</v>
      </c>
      <c r="E10" s="505"/>
      <c r="F10" s="505" t="s">
        <v>1053</v>
      </c>
      <c r="G10" s="505" t="s">
        <v>1054</v>
      </c>
      <c r="H10" s="505" t="s">
        <v>1053</v>
      </c>
      <c r="I10" s="505" t="s">
        <v>1054</v>
      </c>
      <c r="J10" s="506">
        <v>2017</v>
      </c>
      <c r="K10" s="460" t="s">
        <v>1055</v>
      </c>
      <c r="L10" s="460" t="s">
        <v>1056</v>
      </c>
    </row>
    <row r="12" spans="1:13">
      <c r="A12" s="5">
        <v>1</v>
      </c>
      <c r="B12" s="3" t="s">
        <v>1048</v>
      </c>
      <c r="C12" s="3" t="s">
        <v>1049</v>
      </c>
      <c r="D12" s="288">
        <v>48.08</v>
      </c>
      <c r="E12" s="252">
        <v>2080</v>
      </c>
      <c r="F12" s="3">
        <v>100</v>
      </c>
      <c r="G12" s="3">
        <v>0</v>
      </c>
      <c r="H12" s="507">
        <f>D12*E12*F12*0.01</f>
        <v>100006.40000000001</v>
      </c>
      <c r="I12" s="3">
        <f>D12*E12*G12*0.01</f>
        <v>0</v>
      </c>
      <c r="J12" s="459">
        <f>H12</f>
        <v>100006.40000000001</v>
      </c>
      <c r="K12" s="338">
        <f>'State Allocation Formulas'!L25</f>
        <v>0.77239999999999998</v>
      </c>
      <c r="L12" s="252">
        <f>+J12*K12</f>
        <v>77244.943360000005</v>
      </c>
    </row>
    <row r="13" spans="1:13">
      <c r="A13" s="5">
        <v>2</v>
      </c>
      <c r="B13" s="3" t="s">
        <v>1048</v>
      </c>
      <c r="C13" s="3" t="s">
        <v>1050</v>
      </c>
      <c r="D13" s="955">
        <v>33.15</v>
      </c>
      <c r="E13" s="252">
        <v>2080</v>
      </c>
      <c r="F13" s="3">
        <v>100</v>
      </c>
      <c r="G13" s="3">
        <v>0</v>
      </c>
      <c r="H13" s="507">
        <f>D13*E13*F13*0.01</f>
        <v>68952</v>
      </c>
      <c r="I13" s="3">
        <f>D13*E13*G13*0.01</f>
        <v>0</v>
      </c>
      <c r="J13" s="459">
        <f>H13</f>
        <v>68952</v>
      </c>
      <c r="K13" s="338">
        <f>'State Allocation Formulas'!L25</f>
        <v>0.77239999999999998</v>
      </c>
      <c r="L13" s="252">
        <f>+J13*K13</f>
        <v>53258.524799999999</v>
      </c>
    </row>
    <row r="14" spans="1:13" ht="16.2" thickBot="1">
      <c r="A14" s="5">
        <v>3</v>
      </c>
      <c r="B14" s="3" t="s">
        <v>1048</v>
      </c>
      <c r="C14" s="3" t="s">
        <v>1050</v>
      </c>
      <c r="D14" s="955">
        <v>0</v>
      </c>
      <c r="E14" s="252">
        <v>2080</v>
      </c>
      <c r="F14" s="3">
        <v>100</v>
      </c>
      <c r="G14" s="3">
        <v>0</v>
      </c>
      <c r="H14" s="508">
        <f>D14*E14*F14*0.01</f>
        <v>0</v>
      </c>
      <c r="I14" s="3">
        <f>D14*E14*G14*0.01</f>
        <v>0</v>
      </c>
      <c r="J14" s="509">
        <f>H14</f>
        <v>0</v>
      </c>
      <c r="K14" s="338">
        <f>'State Allocation Formulas'!L25</f>
        <v>0.77239999999999998</v>
      </c>
      <c r="L14" s="252">
        <f>+J14*K14</f>
        <v>0</v>
      </c>
    </row>
    <row r="15" spans="1:13">
      <c r="D15" s="288"/>
      <c r="E15" s="252"/>
      <c r="H15" s="507">
        <f>SUM(H12:H14)</f>
        <v>168958.40000000002</v>
      </c>
      <c r="J15" s="510">
        <f>SUM(J12:J14)</f>
        <v>168958.40000000002</v>
      </c>
      <c r="L15" s="511">
        <f>SUM(L12:L14)</f>
        <v>130503.46816</v>
      </c>
    </row>
    <row r="16" spans="1:13">
      <c r="A16" s="5">
        <v>4</v>
      </c>
      <c r="C16" s="3" t="s">
        <v>1057</v>
      </c>
      <c r="K16" s="338">
        <v>0.45</v>
      </c>
      <c r="L16" s="97">
        <f>+L15*K16</f>
        <v>58726.560672</v>
      </c>
      <c r="M16" s="3" t="s">
        <v>1679</v>
      </c>
    </row>
    <row r="17" spans="1:14">
      <c r="A17" s="5">
        <v>5</v>
      </c>
      <c r="C17" s="3" t="s">
        <v>1058</v>
      </c>
      <c r="K17" s="338">
        <v>7.6499999999999999E-2</v>
      </c>
      <c r="L17" s="97">
        <f>+L15*K17</f>
        <v>9983.5153142399995</v>
      </c>
      <c r="M17" s="957">
        <v>7.6499999999999999E-2</v>
      </c>
      <c r="N17" s="956">
        <f>M17*L15</f>
        <v>9983.5153142399995</v>
      </c>
    </row>
    <row r="19" spans="1:14">
      <c r="A19" s="5">
        <v>6</v>
      </c>
      <c r="B19" s="3" t="s">
        <v>1256</v>
      </c>
      <c r="L19" s="512">
        <f>+L15+L16+L17</f>
        <v>199213.54414624002</v>
      </c>
    </row>
  </sheetData>
  <mergeCells count="5">
    <mergeCell ref="C1:J1"/>
    <mergeCell ref="C2:J2"/>
    <mergeCell ref="C3:J3"/>
    <mergeCell ref="C4:J4"/>
    <mergeCell ref="C5:J5"/>
  </mergeCells>
  <printOptions horizontalCentered="1"/>
  <pageMargins left="0.7" right="0.7" top="0.75" bottom="0.75" header="0.3" footer="0.3"/>
  <pageSetup scale="66" fitToHeight="0" orientation="landscape" r:id="rId1"/>
  <headerFooter scaleWithDoc="0" alignWithMargins="0">
    <oddHeader>&amp;RPage &amp;P of &amp;N</oddHeader>
    <oddFooter>&amp;LElectronic Tab Name:&amp;A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3"/>
  <sheetViews>
    <sheetView workbookViewId="0">
      <selection activeCell="A4" sqref="A4:B4"/>
    </sheetView>
  </sheetViews>
  <sheetFormatPr defaultColWidth="9.44140625" defaultRowHeight="15.6"/>
  <cols>
    <col min="1" max="1" width="14.6640625" style="3" customWidth="1"/>
    <col min="2" max="2" width="41.109375" style="3" customWidth="1"/>
    <col min="3" max="3" width="31.109375" style="3" customWidth="1"/>
    <col min="4" max="4" width="27" style="3" customWidth="1"/>
    <col min="5" max="5" width="27.6640625" style="3" customWidth="1"/>
    <col min="6" max="6" width="28" style="3" customWidth="1"/>
    <col min="7" max="7" width="24.33203125" style="3" customWidth="1"/>
    <col min="8" max="8" width="21" style="3" customWidth="1"/>
    <col min="9" max="9" width="20.109375" style="3" customWidth="1"/>
    <col min="10" max="10" width="15.109375" style="3" bestFit="1" customWidth="1"/>
    <col min="11" max="16" width="15.109375" style="13" customWidth="1"/>
    <col min="17" max="17" width="18.33203125" style="1011" customWidth="1"/>
    <col min="18" max="18" width="5.44140625" style="1011" customWidth="1"/>
    <col min="19" max="19" width="40.109375" style="1011" customWidth="1"/>
    <col min="20" max="20" width="24.33203125" style="1011" customWidth="1"/>
    <col min="21" max="21" width="50.33203125" style="1011" customWidth="1"/>
    <col min="22" max="22" width="25.109375" style="1011" customWidth="1"/>
    <col min="23" max="23" width="25.33203125" style="1011" customWidth="1"/>
    <col min="24" max="24" width="9.88671875" style="1011" customWidth="1"/>
    <col min="25" max="25" width="15.88671875" style="1011" customWidth="1"/>
    <col min="26" max="26" width="16.33203125" style="1011" customWidth="1"/>
    <col min="27" max="27" width="16.88671875" style="1011" customWidth="1"/>
    <col min="28" max="28" width="9.44140625" style="1011"/>
    <col min="29" max="29" width="27.5546875" style="1011" bestFit="1" customWidth="1"/>
    <col min="30" max="30" width="19.44140625" style="1011" customWidth="1"/>
    <col min="31" max="31" width="19.109375" style="1011" customWidth="1"/>
    <col min="32" max="32" width="9.44140625" style="1011"/>
    <col min="33" max="16384" width="9.44140625" style="3"/>
  </cols>
  <sheetData>
    <row r="1" spans="1:16">
      <c r="A1" s="1277" t="s">
        <v>1680</v>
      </c>
      <c r="B1" s="1278"/>
      <c r="C1" s="1010"/>
    </row>
    <row r="2" spans="1:16">
      <c r="A2" s="1279" t="s">
        <v>54</v>
      </c>
      <c r="B2" s="1280"/>
      <c r="C2" s="1012"/>
      <c r="D2" s="1009"/>
      <c r="E2" s="1013"/>
      <c r="F2" s="1013"/>
      <c r="G2" s="1013"/>
      <c r="H2" s="1013"/>
      <c r="I2" s="1013"/>
      <c r="J2" s="1013"/>
      <c r="K2" s="1013"/>
      <c r="L2" s="1013"/>
      <c r="M2" s="1013"/>
      <c r="N2" s="1013"/>
      <c r="O2" s="1013"/>
      <c r="P2" s="1013"/>
    </row>
    <row r="3" spans="1:16">
      <c r="A3" s="1279" t="s">
        <v>1261</v>
      </c>
      <c r="B3" s="1280"/>
      <c r="C3" s="1012"/>
      <c r="D3" s="1009"/>
      <c r="E3" s="1013"/>
      <c r="F3" s="1013"/>
      <c r="G3" s="1013"/>
      <c r="H3" s="1013"/>
      <c r="I3" s="1013"/>
      <c r="J3" s="1013"/>
      <c r="K3" s="1013"/>
      <c r="L3" s="1013"/>
      <c r="M3" s="1013"/>
      <c r="N3" s="1013"/>
      <c r="O3" s="1013"/>
      <c r="P3" s="1013"/>
    </row>
    <row r="4" spans="1:16">
      <c r="A4" s="1279"/>
      <c r="B4" s="1280"/>
      <c r="C4" s="1012"/>
      <c r="D4" s="1009"/>
      <c r="E4" s="1013"/>
      <c r="F4" s="1013"/>
      <c r="G4" s="1013"/>
      <c r="H4" s="1013"/>
      <c r="I4" s="1013"/>
      <c r="J4" s="1013"/>
      <c r="K4" s="1013"/>
      <c r="L4" s="1013"/>
      <c r="M4" s="1013"/>
      <c r="N4" s="1013"/>
      <c r="O4" s="1013"/>
      <c r="P4" s="1013"/>
    </row>
    <row r="5" spans="1:16">
      <c r="A5" s="1279" t="s">
        <v>992</v>
      </c>
      <c r="B5" s="1280"/>
      <c r="C5" s="1012"/>
      <c r="D5" s="1009"/>
      <c r="E5" s="1013"/>
      <c r="F5" s="1013"/>
      <c r="G5" s="1013"/>
      <c r="H5" s="1013"/>
      <c r="I5" s="1013"/>
      <c r="J5" s="1013"/>
      <c r="K5" s="1013"/>
      <c r="L5" s="1013"/>
      <c r="M5" s="1013"/>
      <c r="N5" s="1013"/>
      <c r="O5" s="1013"/>
      <c r="P5" s="1013"/>
    </row>
    <row r="6" spans="1:16" ht="16.2" thickBot="1">
      <c r="A6" s="1279" t="s">
        <v>953</v>
      </c>
      <c r="B6" s="1280"/>
      <c r="C6" s="1012"/>
      <c r="D6" s="1009"/>
      <c r="E6" s="1014" t="s">
        <v>1681</v>
      </c>
      <c r="F6" s="1013"/>
      <c r="H6" s="1015"/>
      <c r="I6" s="1015"/>
      <c r="J6" s="1015"/>
      <c r="K6" s="1016"/>
      <c r="L6" s="1016"/>
      <c r="M6" s="1016"/>
      <c r="N6" s="1016"/>
      <c r="O6" s="1016"/>
      <c r="P6" s="1016"/>
    </row>
    <row r="7" spans="1:16">
      <c r="A7" s="350"/>
      <c r="B7" s="11"/>
      <c r="C7" s="1017"/>
      <c r="D7" s="1011"/>
      <c r="E7" s="1018"/>
      <c r="F7" s="1019"/>
      <c r="H7" s="1020"/>
      <c r="I7" s="1018"/>
    </row>
    <row r="8" spans="1:16">
      <c r="A8" s="1021" t="s">
        <v>883</v>
      </c>
      <c r="B8" s="10" t="s">
        <v>1272</v>
      </c>
      <c r="C8" s="1022" t="s">
        <v>1270</v>
      </c>
      <c r="D8" s="1011"/>
      <c r="E8" s="1023" t="s">
        <v>1682</v>
      </c>
      <c r="H8" s="1024"/>
      <c r="I8" s="1023"/>
      <c r="K8" s="1025"/>
      <c r="L8" s="1025"/>
      <c r="M8" s="1025"/>
      <c r="N8" s="1025"/>
      <c r="O8" s="1025"/>
      <c r="P8" s="1025"/>
    </row>
    <row r="9" spans="1:16">
      <c r="A9" s="1026">
        <v>1</v>
      </c>
      <c r="B9" s="11" t="s">
        <v>1640</v>
      </c>
      <c r="C9" s="1027">
        <v>2219857.09</v>
      </c>
      <c r="D9" s="1011"/>
      <c r="E9" s="1028">
        <f>+D95</f>
        <v>1554451.5720626297</v>
      </c>
      <c r="F9" s="1029"/>
      <c r="K9" s="1030"/>
      <c r="L9" s="1030"/>
      <c r="M9" s="1030"/>
      <c r="N9" s="1030"/>
      <c r="O9" s="1030"/>
      <c r="P9" s="1030"/>
    </row>
    <row r="10" spans="1:16">
      <c r="A10" s="1026">
        <v>2</v>
      </c>
      <c r="B10" s="11" t="s">
        <v>986</v>
      </c>
      <c r="C10" s="1031">
        <v>5000000</v>
      </c>
      <c r="D10" s="1011"/>
      <c r="E10" s="1032">
        <f>+H45</f>
        <v>2682629.263427678</v>
      </c>
      <c r="F10" s="1033"/>
      <c r="H10" s="1032"/>
      <c r="I10" s="1018"/>
      <c r="K10" s="1034"/>
      <c r="L10" s="1034"/>
      <c r="M10" s="1034"/>
      <c r="N10" s="1034"/>
      <c r="O10" s="1034"/>
      <c r="P10" s="1034"/>
    </row>
    <row r="11" spans="1:16" ht="76.95" customHeight="1">
      <c r="A11" s="1026">
        <v>3</v>
      </c>
      <c r="B11" s="11" t="s">
        <v>1031</v>
      </c>
      <c r="C11" s="1035">
        <f>5690427/12*5</f>
        <v>2371011.25</v>
      </c>
      <c r="D11" s="1011"/>
      <c r="E11" s="1036">
        <v>0</v>
      </c>
      <c r="F11" s="1037"/>
      <c r="H11" s="1018"/>
      <c r="I11" s="1018"/>
      <c r="K11" s="1038"/>
      <c r="L11" s="1038"/>
      <c r="M11" s="1038"/>
      <c r="N11" s="1038"/>
      <c r="O11" s="1038"/>
      <c r="P11" s="1038"/>
    </row>
    <row r="12" spans="1:16">
      <c r="A12" s="1026">
        <v>4</v>
      </c>
      <c r="B12" s="11" t="s">
        <v>987</v>
      </c>
      <c r="C12" s="1027">
        <f>+C9+C10+C11</f>
        <v>9590868.3399999999</v>
      </c>
      <c r="D12" s="1011"/>
      <c r="E12" s="1029">
        <f>SUM(E9:E11)</f>
        <v>4237080.8354903078</v>
      </c>
      <c r="F12" s="1029"/>
      <c r="H12" s="1018"/>
      <c r="I12" s="1018"/>
      <c r="K12" s="1039"/>
      <c r="L12" s="1039"/>
      <c r="M12" s="1039"/>
      <c r="N12" s="1039"/>
      <c r="O12" s="1039"/>
      <c r="P12" s="1039"/>
    </row>
    <row r="13" spans="1:16" ht="18.600000000000001">
      <c r="A13" s="1026">
        <v>5</v>
      </c>
      <c r="B13" s="11" t="s">
        <v>1683</v>
      </c>
      <c r="C13" s="1040">
        <v>10</v>
      </c>
      <c r="D13" s="1011"/>
      <c r="E13" s="1029">
        <f>+C13</f>
        <v>10</v>
      </c>
      <c r="F13" s="1029"/>
      <c r="H13" s="1018"/>
      <c r="I13" s="1018"/>
      <c r="K13" s="1039"/>
      <c r="L13" s="1039"/>
      <c r="M13" s="1039"/>
      <c r="N13" s="1039"/>
      <c r="O13" s="1039"/>
      <c r="P13" s="1039"/>
    </row>
    <row r="14" spans="1:16" ht="42.6" customHeight="1" thickBot="1">
      <c r="A14" s="1026">
        <v>6</v>
      </c>
      <c r="B14" s="11" t="s">
        <v>988</v>
      </c>
      <c r="C14" s="1041">
        <f>+C12/C13</f>
        <v>959086.83400000003</v>
      </c>
      <c r="D14" s="1042"/>
      <c r="E14" s="1043">
        <f>+E12/E13</f>
        <v>423708.08354903077</v>
      </c>
      <c r="F14" s="1044"/>
      <c r="H14" s="1018"/>
      <c r="I14" s="1018"/>
      <c r="K14" s="1045"/>
      <c r="L14" s="1045"/>
      <c r="M14" s="1045"/>
      <c r="N14" s="1045"/>
      <c r="O14" s="1045"/>
      <c r="P14" s="1045"/>
    </row>
    <row r="15" spans="1:16" ht="16.2" thickTop="1">
      <c r="A15" s="350"/>
      <c r="B15" s="11"/>
      <c r="C15" s="1017"/>
      <c r="D15" s="1011"/>
      <c r="E15" s="1011"/>
      <c r="F15" s="1018"/>
      <c r="G15" s="1018"/>
      <c r="H15" s="1018"/>
      <c r="I15" s="1018"/>
      <c r="J15" s="1018"/>
      <c r="K15" s="1046"/>
      <c r="L15" s="1046"/>
      <c r="M15" s="1046"/>
      <c r="N15" s="1046"/>
      <c r="O15" s="1046"/>
      <c r="P15" s="1046"/>
    </row>
    <row r="16" spans="1:16">
      <c r="A16" s="350"/>
      <c r="B16" s="11"/>
      <c r="C16" s="1017"/>
      <c r="E16" s="1018"/>
      <c r="F16" s="1018"/>
      <c r="G16" s="1018"/>
      <c r="H16" s="1018"/>
      <c r="I16" s="1018"/>
      <c r="J16" s="1018"/>
      <c r="K16" s="1046"/>
      <c r="L16" s="1046"/>
      <c r="M16" s="1046"/>
      <c r="N16" s="1046"/>
      <c r="O16" s="1046"/>
      <c r="P16" s="1046"/>
    </row>
    <row r="17" spans="1:16" ht="18.600000000000001">
      <c r="A17" s="350" t="s">
        <v>1684</v>
      </c>
      <c r="B17" s="11"/>
      <c r="C17" s="1017"/>
      <c r="E17" s="1018"/>
    </row>
    <row r="18" spans="1:16">
      <c r="A18" s="350" t="s">
        <v>1251</v>
      </c>
      <c r="B18" s="11"/>
      <c r="C18" s="1017"/>
      <c r="J18" s="97"/>
      <c r="K18" s="1047"/>
      <c r="L18" s="1047"/>
      <c r="M18" s="1047"/>
      <c r="N18" s="1047"/>
      <c r="O18" s="1047"/>
      <c r="P18" s="1047"/>
    </row>
    <row r="19" spans="1:16" ht="16.2" thickBot="1">
      <c r="A19" s="1048" t="s">
        <v>1634</v>
      </c>
      <c r="B19" s="484" t="s">
        <v>1641</v>
      </c>
      <c r="C19" s="1049"/>
    </row>
    <row r="21" spans="1:16" ht="30" customHeight="1"/>
    <row r="22" spans="1:16" ht="27.6" customHeight="1">
      <c r="B22" s="1050" t="s">
        <v>1685</v>
      </c>
      <c r="C22" s="1011"/>
      <c r="D22" s="1011"/>
      <c r="E22" s="1011"/>
      <c r="F22" s="1011"/>
      <c r="G22" s="1011"/>
      <c r="H22" s="1051"/>
      <c r="I22" s="1051"/>
      <c r="J22" s="1011"/>
      <c r="K22" s="3"/>
    </row>
    <row r="23" spans="1:16" ht="26.4" customHeight="1">
      <c r="B23" s="1050" t="s">
        <v>1686</v>
      </c>
      <c r="C23" s="1011"/>
      <c r="D23" s="1011"/>
      <c r="E23" s="1011"/>
      <c r="F23" s="1011"/>
      <c r="G23" s="1011"/>
      <c r="H23" s="1051"/>
      <c r="I23" s="1051"/>
      <c r="J23" s="1011"/>
      <c r="K23" s="3"/>
    </row>
    <row r="24" spans="1:16" ht="25.95" customHeight="1">
      <c r="B24" s="1050" t="s">
        <v>1687</v>
      </c>
      <c r="C24" s="1011"/>
      <c r="D24" s="1011"/>
      <c r="E24" s="1011"/>
      <c r="F24" s="1011"/>
      <c r="G24" s="1011"/>
      <c r="H24" s="1051"/>
      <c r="I24" s="1051"/>
      <c r="J24" s="1011"/>
      <c r="K24" s="3"/>
    </row>
    <row r="25" spans="1:16" ht="23.4" customHeight="1">
      <c r="B25" s="1011"/>
      <c r="C25" s="1011"/>
      <c r="D25" s="1011"/>
      <c r="E25" s="1011"/>
      <c r="F25" s="3" t="s">
        <v>1688</v>
      </c>
      <c r="G25" s="1011"/>
      <c r="H25" s="1051"/>
      <c r="I25" s="1051"/>
      <c r="J25" s="1011"/>
      <c r="K25" s="3"/>
    </row>
    <row r="26" spans="1:16" ht="79.2" customHeight="1">
      <c r="B26" s="1052" t="s">
        <v>1689</v>
      </c>
      <c r="C26" s="1052"/>
      <c r="D26" s="1052"/>
      <c r="E26" s="1011"/>
      <c r="F26" s="1011"/>
      <c r="G26" s="1011"/>
      <c r="H26" s="1053" t="s">
        <v>1690</v>
      </c>
      <c r="I26" s="1053"/>
      <c r="J26" s="1054"/>
      <c r="K26" s="3"/>
    </row>
    <row r="27" spans="1:16" ht="46.95" customHeight="1">
      <c r="B27" s="1055" t="s">
        <v>1691</v>
      </c>
      <c r="C27" s="1055"/>
      <c r="D27" s="1055"/>
      <c r="E27" s="1056" t="s">
        <v>1692</v>
      </c>
      <c r="F27" s="1057" t="s">
        <v>1693</v>
      </c>
      <c r="G27" s="1057" t="s">
        <v>1694</v>
      </c>
      <c r="H27" s="1058" t="s">
        <v>1695</v>
      </c>
      <c r="I27" s="1058" t="s">
        <v>1696</v>
      </c>
      <c r="J27" s="1011"/>
      <c r="K27" s="3"/>
    </row>
    <row r="28" spans="1:16" ht="48" customHeight="1" thickBot="1">
      <c r="B28" s="1059"/>
      <c r="C28" s="1060" t="s">
        <v>1697</v>
      </c>
      <c r="D28" s="1061" t="s">
        <v>374</v>
      </c>
      <c r="E28" s="1062"/>
      <c r="F28" s="1062"/>
      <c r="G28" s="1063"/>
      <c r="H28" s="1064"/>
      <c r="I28" s="1064"/>
      <c r="J28" s="1011"/>
      <c r="K28" s="3"/>
    </row>
    <row r="29" spans="1:16" ht="38.4" customHeight="1" thickBot="1">
      <c r="B29" s="1065" t="s">
        <v>1698</v>
      </c>
      <c r="C29" s="1066">
        <v>575.14</v>
      </c>
      <c r="D29" s="1067" t="s">
        <v>1699</v>
      </c>
      <c r="E29" s="1062" t="str">
        <f>+D108</f>
        <v>Pre-Code</v>
      </c>
      <c r="F29" s="1062" t="s">
        <v>1700</v>
      </c>
      <c r="G29" s="1063"/>
      <c r="H29" s="1064">
        <v>575.14</v>
      </c>
      <c r="I29" s="1064"/>
      <c r="J29" s="1011"/>
      <c r="K29" s="3"/>
    </row>
    <row r="30" spans="1:16" ht="34.950000000000003" customHeight="1" thickBot="1">
      <c r="B30" s="1065" t="s">
        <v>1698</v>
      </c>
      <c r="C30" s="1066">
        <v>1160.1300000000001</v>
      </c>
      <c r="D30" s="1068" t="s">
        <v>1701</v>
      </c>
      <c r="E30" s="1062" t="str">
        <f>+D109</f>
        <v>Pre-Code</v>
      </c>
      <c r="F30" s="1062" t="s">
        <v>1700</v>
      </c>
      <c r="G30" s="1063"/>
      <c r="H30" s="1064">
        <v>1160.1300000000001</v>
      </c>
      <c r="I30" s="1064"/>
      <c r="J30" s="1011"/>
      <c r="K30" s="3"/>
    </row>
    <row r="31" spans="1:16" ht="51" customHeight="1" thickBot="1">
      <c r="B31" s="1065" t="s">
        <v>1698</v>
      </c>
      <c r="C31" s="1069">
        <v>10000</v>
      </c>
      <c r="D31" s="1068" t="s">
        <v>1702</v>
      </c>
      <c r="E31" s="1062" t="str">
        <f>+D110</f>
        <v>Post-Code</v>
      </c>
      <c r="F31" s="1062" t="s">
        <v>1703</v>
      </c>
      <c r="G31" s="1063"/>
      <c r="H31" s="1064"/>
      <c r="I31" s="1064">
        <v>10000</v>
      </c>
      <c r="J31" s="1011"/>
      <c r="K31" s="3"/>
    </row>
    <row r="32" spans="1:16" ht="53.4" customHeight="1" thickBot="1">
      <c r="B32" s="1065" t="s">
        <v>1704</v>
      </c>
      <c r="C32" s="1066">
        <v>5602.4</v>
      </c>
      <c r="D32" s="1070" t="s">
        <v>1705</v>
      </c>
      <c r="E32" s="1062"/>
      <c r="F32" s="1062" t="s">
        <v>1700</v>
      </c>
      <c r="G32" s="1063"/>
      <c r="H32" s="1064">
        <v>5602.4</v>
      </c>
      <c r="I32" s="1064"/>
      <c r="J32" s="1011"/>
      <c r="K32" s="3"/>
    </row>
    <row r="33" spans="2:11" ht="28.2" thickBot="1">
      <c r="B33" s="1065" t="s">
        <v>1706</v>
      </c>
      <c r="C33" s="1066">
        <v>35</v>
      </c>
      <c r="D33" s="1070" t="s">
        <v>1707</v>
      </c>
      <c r="E33" s="1062"/>
      <c r="F33" s="1062" t="s">
        <v>1700</v>
      </c>
      <c r="G33" s="1063"/>
      <c r="H33" s="1064">
        <v>35</v>
      </c>
      <c r="I33" s="1064"/>
      <c r="J33" s="1011"/>
      <c r="K33" s="3"/>
    </row>
    <row r="34" spans="2:11" ht="114" customHeight="1" thickBot="1">
      <c r="B34" s="1065" t="s">
        <v>1708</v>
      </c>
      <c r="C34" s="1066">
        <v>11325.69</v>
      </c>
      <c r="D34" s="1070" t="s">
        <v>1709</v>
      </c>
      <c r="E34" s="1071" t="s">
        <v>1710</v>
      </c>
      <c r="F34" s="1062" t="s">
        <v>1711</v>
      </c>
      <c r="G34" s="1072" t="s">
        <v>1712</v>
      </c>
      <c r="H34" s="1064">
        <f>+C34*0.344</f>
        <v>3896.0373599999998</v>
      </c>
      <c r="I34" s="1064">
        <f>+C34*0.656</f>
        <v>7429.6526400000002</v>
      </c>
      <c r="J34" s="1011"/>
      <c r="K34" s="3"/>
    </row>
    <row r="35" spans="2:11" ht="42" thickBot="1">
      <c r="B35" s="1065" t="s">
        <v>1713</v>
      </c>
      <c r="C35" s="1066">
        <v>123224.77</v>
      </c>
      <c r="D35" s="1070" t="s">
        <v>1714</v>
      </c>
      <c r="E35" s="1071" t="s">
        <v>1715</v>
      </c>
      <c r="F35" s="1062" t="s">
        <v>1700</v>
      </c>
      <c r="G35" s="1063"/>
      <c r="H35" s="1064">
        <v>123224.77</v>
      </c>
      <c r="I35" s="1064"/>
      <c r="J35" s="1011"/>
      <c r="K35" s="3"/>
    </row>
    <row r="36" spans="2:11" ht="16.2" thickBot="1">
      <c r="B36" s="1065" t="s">
        <v>1716</v>
      </c>
      <c r="C36" s="1066">
        <v>142541.57</v>
      </c>
      <c r="D36" s="1070" t="s">
        <v>1717</v>
      </c>
      <c r="E36" s="1071"/>
      <c r="F36" s="1062" t="s">
        <v>1700</v>
      </c>
      <c r="G36" s="1063"/>
      <c r="H36" s="1064">
        <v>142541.57</v>
      </c>
      <c r="I36" s="1064"/>
      <c r="J36" s="1011"/>
      <c r="K36" s="3"/>
    </row>
    <row r="37" spans="2:11" ht="103.95" customHeight="1" thickBot="1">
      <c r="B37" s="1073" t="s">
        <v>1718</v>
      </c>
      <c r="C37" s="1074" t="s">
        <v>1719</v>
      </c>
      <c r="D37" s="1070" t="s">
        <v>1720</v>
      </c>
      <c r="E37" s="1071" t="s">
        <v>1721</v>
      </c>
      <c r="F37" s="1071" t="s">
        <v>1722</v>
      </c>
      <c r="G37" s="1075"/>
      <c r="H37" s="1064">
        <f>+H73</f>
        <v>25995</v>
      </c>
      <c r="I37" s="1064">
        <f>-H72</f>
        <v>25995</v>
      </c>
      <c r="J37" s="1011"/>
      <c r="K37" s="3"/>
    </row>
    <row r="38" spans="2:11" ht="42" thickBot="1">
      <c r="B38" s="1065" t="s">
        <v>1723</v>
      </c>
      <c r="C38" s="1066">
        <v>6243.02</v>
      </c>
      <c r="D38" s="1070" t="s">
        <v>1724</v>
      </c>
      <c r="E38" s="1071"/>
      <c r="F38" s="1062" t="s">
        <v>1700</v>
      </c>
      <c r="G38" s="1063"/>
      <c r="H38" s="1076">
        <f>+C38</f>
        <v>6243.02</v>
      </c>
      <c r="I38" s="1064"/>
      <c r="J38" s="1011"/>
      <c r="K38" s="3"/>
    </row>
    <row r="39" spans="2:11" ht="138.6" customHeight="1" thickBot="1">
      <c r="B39" s="1065" t="s">
        <v>1725</v>
      </c>
      <c r="C39" s="1066">
        <v>45168.03</v>
      </c>
      <c r="D39" s="1070" t="s">
        <v>1726</v>
      </c>
      <c r="E39" s="1071" t="s">
        <v>1727</v>
      </c>
      <c r="F39" s="1062" t="s">
        <v>1700</v>
      </c>
      <c r="G39" s="1063"/>
      <c r="H39" s="1076">
        <f t="shared" ref="H39" si="0">+C39</f>
        <v>45168.03</v>
      </c>
      <c r="I39" s="1064"/>
      <c r="J39" s="1011"/>
      <c r="K39" s="3"/>
    </row>
    <row r="40" spans="2:11" ht="49.95" customHeight="1" thickBot="1">
      <c r="B40" s="1073" t="s">
        <v>1728</v>
      </c>
      <c r="C40" s="1074" t="s">
        <v>1729</v>
      </c>
      <c r="D40" s="1070" t="s">
        <v>1730</v>
      </c>
      <c r="E40" s="1071" t="s">
        <v>1731</v>
      </c>
      <c r="F40" s="1062" t="s">
        <v>1703</v>
      </c>
      <c r="G40" s="1063"/>
      <c r="H40" s="1077">
        <f>+H74</f>
        <v>0</v>
      </c>
      <c r="I40" s="1064"/>
      <c r="J40" s="1011"/>
      <c r="K40" s="3"/>
    </row>
    <row r="41" spans="2:11" ht="34.950000000000003" customHeight="1" thickBot="1">
      <c r="B41" s="1065" t="s">
        <v>1732</v>
      </c>
      <c r="C41" s="1066">
        <v>846788.33</v>
      </c>
      <c r="D41" s="1271" t="s">
        <v>1733</v>
      </c>
      <c r="E41" s="1071"/>
      <c r="F41" s="1062" t="s">
        <v>1700</v>
      </c>
      <c r="G41" s="1063"/>
      <c r="H41" s="1076">
        <f>+C41</f>
        <v>846788.33</v>
      </c>
      <c r="I41" s="1064"/>
      <c r="J41" s="1011"/>
      <c r="K41" s="3"/>
    </row>
    <row r="42" spans="2:11" ht="37.950000000000003" customHeight="1" thickBot="1">
      <c r="B42" s="1073" t="s">
        <v>1734</v>
      </c>
      <c r="C42" s="1074" t="s">
        <v>1735</v>
      </c>
      <c r="D42" s="1272"/>
      <c r="E42" s="1071" t="s">
        <v>1736</v>
      </c>
      <c r="F42" s="1062" t="s">
        <v>1737</v>
      </c>
      <c r="G42" s="1063"/>
      <c r="H42" s="1064">
        <f>+H75</f>
        <v>390326</v>
      </c>
      <c r="I42" s="1064"/>
      <c r="J42" s="1011"/>
      <c r="K42" s="3"/>
    </row>
    <row r="43" spans="2:11" ht="63" customHeight="1" thickBot="1">
      <c r="B43" s="1065" t="s">
        <v>1738</v>
      </c>
      <c r="C43" s="1066">
        <v>622733.78</v>
      </c>
      <c r="D43" s="1273"/>
      <c r="E43" s="1071"/>
      <c r="F43" s="1062" t="s">
        <v>1700</v>
      </c>
      <c r="G43" s="1063"/>
      <c r="H43" s="1076">
        <f>+C43</f>
        <v>622733.78</v>
      </c>
      <c r="I43" s="1064"/>
      <c r="J43" s="1011"/>
      <c r="K43" s="3"/>
    </row>
    <row r="44" spans="2:11" ht="124.95" customHeight="1" thickBot="1">
      <c r="B44" s="1065" t="s">
        <v>1739</v>
      </c>
      <c r="C44" s="1066">
        <v>1056204.56</v>
      </c>
      <c r="D44" s="1078" t="s">
        <v>1740</v>
      </c>
      <c r="E44" s="1071" t="s">
        <v>1741</v>
      </c>
      <c r="F44" s="1062"/>
      <c r="G44" s="1063"/>
      <c r="H44" s="1076">
        <f>+C44*'[2]Pipeline Analysis Summary'!D6</f>
        <v>468340.05606767774</v>
      </c>
      <c r="I44" s="1064">
        <f>+C44*'[2]Pipeline Analysis Summary'!D7</f>
        <v>587864.50393232226</v>
      </c>
      <c r="J44" s="1011"/>
      <c r="K44" s="3"/>
    </row>
    <row r="45" spans="2:11" ht="55.95" customHeight="1">
      <c r="B45" s="1079" t="s">
        <v>1446</v>
      </c>
      <c r="C45" s="1080">
        <v>3411602.42</v>
      </c>
      <c r="D45" s="1081"/>
      <c r="E45" s="1018"/>
      <c r="F45" s="1082" t="s">
        <v>1742</v>
      </c>
      <c r="H45" s="1083">
        <f>SUM(H29:H44)</f>
        <v>2682629.263427678</v>
      </c>
      <c r="I45" s="1083">
        <f>SUM(I29:I44)</f>
        <v>631289.15657232224</v>
      </c>
      <c r="J45" s="1084"/>
      <c r="K45" s="3"/>
    </row>
    <row r="46" spans="2:11">
      <c r="B46" s="1085" t="s">
        <v>1743</v>
      </c>
      <c r="C46" s="1011"/>
      <c r="D46" s="1011"/>
      <c r="E46" s="1011"/>
      <c r="F46" s="1011"/>
      <c r="G46" s="1011"/>
      <c r="H46" s="1051"/>
      <c r="I46" s="1051"/>
      <c r="J46" s="1011"/>
      <c r="K46" s="3"/>
    </row>
    <row r="47" spans="2:11">
      <c r="B47" s="1086"/>
      <c r="C47" s="1011"/>
      <c r="D47" s="1011"/>
      <c r="E47" s="1011"/>
      <c r="F47" s="1011"/>
      <c r="G47" s="1011"/>
      <c r="H47" s="1051"/>
      <c r="I47" s="1051"/>
      <c r="J47" s="1011"/>
      <c r="K47" s="3"/>
    </row>
    <row r="48" spans="2:11">
      <c r="B48" s="1087" t="s">
        <v>1744</v>
      </c>
      <c r="C48" s="1011"/>
      <c r="D48" s="1011"/>
      <c r="E48" s="1011"/>
      <c r="F48" s="1011"/>
      <c r="G48" s="1011"/>
      <c r="H48" s="1051"/>
      <c r="I48" s="1051"/>
      <c r="J48" s="1011"/>
      <c r="K48" s="3"/>
    </row>
    <row r="49" spans="2:11" ht="21" thickBot="1">
      <c r="B49" s="1055" t="s">
        <v>1691</v>
      </c>
      <c r="C49" s="1055"/>
      <c r="D49" s="1055"/>
      <c r="E49" s="1011"/>
      <c r="F49" s="1011"/>
      <c r="G49" s="1011"/>
      <c r="H49" s="1051"/>
      <c r="I49" s="1051"/>
      <c r="J49" s="1011"/>
      <c r="K49" s="3"/>
    </row>
    <row r="50" spans="2:11" ht="49.2" thickBot="1">
      <c r="B50" s="1088" t="s">
        <v>1745</v>
      </c>
      <c r="C50" s="1089" t="s">
        <v>1697</v>
      </c>
      <c r="D50" s="1090" t="s">
        <v>374</v>
      </c>
      <c r="E50" s="1056" t="s">
        <v>1692</v>
      </c>
      <c r="F50" s="1057" t="s">
        <v>1693</v>
      </c>
      <c r="G50" s="1057" t="s">
        <v>1694</v>
      </c>
      <c r="H50" s="1058" t="s">
        <v>1695</v>
      </c>
      <c r="I50" s="1058" t="s">
        <v>1696</v>
      </c>
      <c r="J50" s="1011"/>
      <c r="K50" s="3"/>
    </row>
    <row r="51" spans="2:11" ht="36.6" customHeight="1" thickBot="1">
      <c r="B51" s="1091" t="s">
        <v>1746</v>
      </c>
      <c r="C51" s="1092">
        <v>420000</v>
      </c>
      <c r="D51" s="1274" t="s">
        <v>1733</v>
      </c>
      <c r="E51" s="1023" t="s">
        <v>1747</v>
      </c>
      <c r="F51" s="1018" t="s">
        <v>1748</v>
      </c>
      <c r="H51" s="1051"/>
      <c r="I51" s="1051"/>
      <c r="J51" s="1011"/>
      <c r="K51" s="3"/>
    </row>
    <row r="52" spans="2:11" ht="16.2" thickBot="1">
      <c r="B52" s="1091" t="s">
        <v>1749</v>
      </c>
      <c r="C52" s="1092">
        <v>924000</v>
      </c>
      <c r="D52" s="1275"/>
      <c r="E52" s="1019" t="s">
        <v>1747</v>
      </c>
      <c r="F52" s="1093" t="s">
        <v>1750</v>
      </c>
      <c r="G52" s="1011"/>
      <c r="H52" s="1051"/>
      <c r="I52" s="1051"/>
      <c r="J52" s="1011"/>
      <c r="K52" s="3"/>
    </row>
    <row r="53" spans="2:11" ht="16.2" thickBot="1">
      <c r="B53" s="1091" t="s">
        <v>1738</v>
      </c>
      <c r="C53" s="1092">
        <v>1050000</v>
      </c>
      <c r="D53" s="1276"/>
      <c r="E53" s="1019" t="s">
        <v>1747</v>
      </c>
      <c r="F53" s="1011"/>
      <c r="G53" s="1011"/>
      <c r="H53" s="1051"/>
      <c r="I53" s="1051"/>
      <c r="J53" s="1011"/>
      <c r="K53" s="3"/>
    </row>
    <row r="54" spans="2:11" ht="28.2" thickBot="1">
      <c r="B54" s="1091" t="s">
        <v>1751</v>
      </c>
      <c r="C54" s="1092">
        <v>750000</v>
      </c>
      <c r="D54" s="1094" t="s">
        <v>1752</v>
      </c>
      <c r="E54" s="1019" t="s">
        <v>1715</v>
      </c>
      <c r="F54" s="1011"/>
      <c r="G54" s="1011"/>
      <c r="H54" s="1051"/>
      <c r="I54" s="1051"/>
      <c r="J54" s="1011"/>
      <c r="K54" s="3"/>
    </row>
    <row r="55" spans="2:11" ht="28.2" thickBot="1">
      <c r="B55" s="1091" t="s">
        <v>1751</v>
      </c>
      <c r="C55" s="1092">
        <v>250000</v>
      </c>
      <c r="D55" s="1094" t="s">
        <v>1753</v>
      </c>
      <c r="E55" s="1019" t="s">
        <v>1715</v>
      </c>
      <c r="F55" s="1011"/>
      <c r="G55" s="1011"/>
      <c r="H55" s="1051"/>
      <c r="I55" s="1051"/>
      <c r="J55" s="1011"/>
      <c r="K55" s="3"/>
    </row>
    <row r="56" spans="2:11" ht="28.2" thickBot="1">
      <c r="B56" s="1091" t="s">
        <v>1751</v>
      </c>
      <c r="C56" s="1092">
        <v>200000</v>
      </c>
      <c r="D56" s="1094" t="s">
        <v>1754</v>
      </c>
      <c r="E56" s="1019" t="s">
        <v>1715</v>
      </c>
      <c r="F56" s="1011"/>
      <c r="G56" s="1011"/>
      <c r="H56" s="1051"/>
      <c r="I56" s="1051"/>
      <c r="J56" s="1011"/>
      <c r="K56" s="3"/>
    </row>
    <row r="57" spans="2:11" ht="42" thickBot="1">
      <c r="B57" s="1091" t="s">
        <v>1751</v>
      </c>
      <c r="C57" s="1092">
        <v>150000</v>
      </c>
      <c r="D57" s="1094" t="s">
        <v>1755</v>
      </c>
      <c r="E57" s="1019" t="s">
        <v>1715</v>
      </c>
      <c r="F57" s="1011"/>
      <c r="G57" s="1011"/>
      <c r="H57" s="1051"/>
      <c r="I57" s="1051"/>
      <c r="J57" s="1011"/>
      <c r="K57" s="3"/>
    </row>
    <row r="58" spans="2:11" ht="28.2" thickBot="1">
      <c r="B58" s="1091" t="s">
        <v>1751</v>
      </c>
      <c r="C58" s="1092">
        <v>500000</v>
      </c>
      <c r="D58" s="1094" t="s">
        <v>1756</v>
      </c>
      <c r="E58" s="1019" t="s">
        <v>1715</v>
      </c>
      <c r="F58" s="1011"/>
      <c r="G58" s="1011"/>
      <c r="H58" s="1051"/>
      <c r="I58" s="1051"/>
      <c r="J58" s="1011"/>
      <c r="K58" s="3"/>
    </row>
    <row r="59" spans="2:11" ht="28.2" thickBot="1">
      <c r="B59" s="1091" t="s">
        <v>1751</v>
      </c>
      <c r="C59" s="1092">
        <v>150000</v>
      </c>
      <c r="D59" s="1094" t="s">
        <v>1757</v>
      </c>
      <c r="E59" s="1019" t="s">
        <v>1715</v>
      </c>
      <c r="F59" s="1011"/>
      <c r="G59" s="1011"/>
      <c r="H59" s="1051"/>
      <c r="I59" s="1051"/>
      <c r="J59" s="1011"/>
      <c r="K59" s="3"/>
    </row>
    <row r="60" spans="2:11" ht="28.2" thickBot="1">
      <c r="B60" s="1091" t="s">
        <v>1751</v>
      </c>
      <c r="C60" s="1092">
        <v>200000</v>
      </c>
      <c r="D60" s="1094" t="s">
        <v>1758</v>
      </c>
      <c r="E60" s="1019" t="s">
        <v>1715</v>
      </c>
      <c r="F60" s="1011"/>
      <c r="G60" s="1011"/>
      <c r="H60" s="1051"/>
      <c r="I60" s="1051"/>
      <c r="J60" s="1011"/>
      <c r="K60" s="3"/>
    </row>
    <row r="61" spans="2:11" ht="28.2" thickBot="1">
      <c r="B61" s="1091" t="s">
        <v>1759</v>
      </c>
      <c r="C61" s="1092">
        <v>50000</v>
      </c>
      <c r="D61" s="1094" t="s">
        <v>1760</v>
      </c>
      <c r="E61" s="1019" t="s">
        <v>1715</v>
      </c>
      <c r="F61" s="1011"/>
      <c r="G61" s="1011"/>
      <c r="H61" s="1051"/>
      <c r="I61" s="1051"/>
      <c r="J61" s="1011"/>
      <c r="K61" s="3"/>
    </row>
    <row r="62" spans="2:11" ht="16.2" thickBot="1">
      <c r="B62" s="1095" t="s">
        <v>1446</v>
      </c>
      <c r="C62" s="1096">
        <v>4644000</v>
      </c>
      <c r="D62" s="1097"/>
      <c r="E62" s="1011"/>
      <c r="F62" s="1011"/>
      <c r="G62" s="1011"/>
      <c r="H62" s="1051"/>
      <c r="I62" s="1051"/>
      <c r="J62" s="1011"/>
      <c r="K62" s="3"/>
    </row>
    <row r="63" spans="2:11">
      <c r="B63" s="1011"/>
      <c r="C63" s="1011"/>
      <c r="D63" s="1011"/>
      <c r="E63" s="1011"/>
      <c r="F63" s="1011"/>
      <c r="G63" s="1011"/>
      <c r="H63" s="1051"/>
      <c r="I63" s="1051"/>
      <c r="J63" s="1011"/>
      <c r="K63" s="3"/>
    </row>
    <row r="64" spans="2:11">
      <c r="B64" s="1011"/>
      <c r="C64" s="1011"/>
      <c r="D64" s="1011"/>
      <c r="E64" s="1011"/>
      <c r="F64" s="1011"/>
      <c r="G64" s="1011"/>
      <c r="H64" s="1051"/>
      <c r="I64" s="1051"/>
      <c r="J64" s="1011"/>
      <c r="K64" s="3"/>
    </row>
    <row r="65" spans="2:16" ht="20.399999999999999">
      <c r="B65" s="1011"/>
      <c r="C65" s="1011"/>
      <c r="D65" s="1098" t="s">
        <v>1761</v>
      </c>
      <c r="E65" s="1011"/>
      <c r="F65" s="1011"/>
      <c r="G65" s="1011"/>
      <c r="H65" s="1051"/>
      <c r="I65" s="1051"/>
      <c r="J65" s="1011"/>
      <c r="K65" s="3"/>
    </row>
    <row r="66" spans="2:16" ht="16.8" thickBot="1">
      <c r="B66" s="1099" t="s">
        <v>1762</v>
      </c>
      <c r="C66" s="1100"/>
      <c r="D66" s="1101"/>
      <c r="E66" s="1102"/>
      <c r="F66" s="1103"/>
      <c r="G66" s="1011"/>
      <c r="H66" s="1051"/>
      <c r="I66" s="1051"/>
      <c r="J66" s="1011"/>
      <c r="K66" s="3"/>
    </row>
    <row r="67" spans="2:16" ht="16.2" thickBot="1">
      <c r="B67" s="1011"/>
      <c r="C67" s="1014"/>
      <c r="D67" s="1014" t="s">
        <v>1763</v>
      </c>
      <c r="E67" s="1104" t="s">
        <v>1764</v>
      </c>
      <c r="F67" s="1015"/>
      <c r="G67" s="1015"/>
      <c r="H67" s="1105"/>
      <c r="I67" s="1051"/>
      <c r="J67" s="1011"/>
      <c r="K67" s="3"/>
    </row>
    <row r="68" spans="2:16" ht="16.2" thickBot="1">
      <c r="B68" s="1106" t="s">
        <v>1765</v>
      </c>
      <c r="C68" s="1107" t="s">
        <v>1766</v>
      </c>
      <c r="D68" s="1108" t="s">
        <v>1767</v>
      </c>
      <c r="E68" s="1109" t="s">
        <v>1768</v>
      </c>
      <c r="F68" s="1110" t="s">
        <v>1769</v>
      </c>
      <c r="G68" s="1063" t="s">
        <v>1769</v>
      </c>
      <c r="H68" s="1111" t="s">
        <v>1770</v>
      </c>
      <c r="I68" s="1051"/>
      <c r="J68" s="1011"/>
      <c r="K68" s="3"/>
    </row>
    <row r="69" spans="2:16" ht="187.2">
      <c r="B69" s="1112" t="s">
        <v>1718</v>
      </c>
      <c r="C69" s="1113" t="s">
        <v>1719</v>
      </c>
      <c r="D69" s="1114" t="s">
        <v>1720</v>
      </c>
      <c r="E69" s="1115" t="s">
        <v>1771</v>
      </c>
      <c r="F69" s="1116" t="s">
        <v>1772</v>
      </c>
      <c r="G69" s="1116" t="s">
        <v>1773</v>
      </c>
      <c r="H69" s="1117">
        <v>24645</v>
      </c>
      <c r="I69" s="1051"/>
      <c r="J69" s="1011"/>
      <c r="K69" s="3"/>
    </row>
    <row r="70" spans="2:16">
      <c r="B70" s="1118"/>
      <c r="C70" s="1119"/>
      <c r="D70" s="1120"/>
      <c r="E70" s="1121"/>
      <c r="F70" s="1116"/>
      <c r="G70" s="1116" t="s">
        <v>1774</v>
      </c>
      <c r="H70" s="1117">
        <f>3*9115</f>
        <v>27345</v>
      </c>
      <c r="I70" s="1051"/>
      <c r="J70" s="1011"/>
      <c r="K70" s="3"/>
    </row>
    <row r="71" spans="2:16">
      <c r="B71" s="1118"/>
      <c r="C71" s="1119"/>
      <c r="D71" s="1120"/>
      <c r="E71" s="1121"/>
      <c r="F71" s="1116"/>
      <c r="G71" s="1116" t="s">
        <v>1775</v>
      </c>
      <c r="H71" s="1117">
        <f>SUM(H69:H70)</f>
        <v>51990</v>
      </c>
      <c r="I71" s="1051"/>
      <c r="J71" s="1011"/>
      <c r="K71" s="3"/>
    </row>
    <row r="72" spans="2:16">
      <c r="B72" s="1118"/>
      <c r="C72" s="1119"/>
      <c r="D72" s="1120"/>
      <c r="E72" s="1121"/>
      <c r="F72" s="1116"/>
      <c r="G72" s="1116" t="s">
        <v>1776</v>
      </c>
      <c r="H72" s="1122">
        <f>(H70+H69)*-0.5</f>
        <v>-25995</v>
      </c>
      <c r="I72" s="1051"/>
      <c r="J72" s="1011"/>
      <c r="K72" s="3"/>
      <c r="L72" s="1042"/>
      <c r="M72" s="1042"/>
      <c r="N72" s="1042"/>
      <c r="O72" s="1042"/>
      <c r="P72" s="1042"/>
    </row>
    <row r="73" spans="2:16" ht="16.2" thickBot="1">
      <c r="B73" s="1118"/>
      <c r="C73" s="1119"/>
      <c r="D73" s="1120"/>
      <c r="E73" s="1121"/>
      <c r="F73" s="1116"/>
      <c r="G73" s="1116" t="s">
        <v>1777</v>
      </c>
      <c r="H73" s="1123">
        <f>SUM(H71:H72)</f>
        <v>25995</v>
      </c>
      <c r="I73" s="1051"/>
      <c r="J73" s="1011"/>
      <c r="K73" s="3"/>
    </row>
    <row r="74" spans="2:16" ht="81.599999999999994" customHeight="1" thickBot="1">
      <c r="B74" s="1124" t="s">
        <v>1728</v>
      </c>
      <c r="C74" s="1125" t="s">
        <v>1729</v>
      </c>
      <c r="D74" s="1126" t="s">
        <v>1730</v>
      </c>
      <c r="E74" s="1127" t="s">
        <v>1778</v>
      </c>
      <c r="F74" s="1127" t="s">
        <v>1779</v>
      </c>
      <c r="G74" s="1127" t="s">
        <v>1780</v>
      </c>
      <c r="H74" s="1128">
        <v>0</v>
      </c>
      <c r="I74" s="1051"/>
      <c r="J74" s="1011"/>
      <c r="K74" s="3"/>
    </row>
    <row r="75" spans="2:16" ht="92.4" customHeight="1" thickBot="1">
      <c r="B75" s="1124" t="s">
        <v>1734</v>
      </c>
      <c r="C75" s="1125" t="s">
        <v>1735</v>
      </c>
      <c r="D75" s="1126" t="s">
        <v>1733</v>
      </c>
      <c r="E75" s="1116" t="s">
        <v>1781</v>
      </c>
      <c r="F75" s="1116" t="s">
        <v>1782</v>
      </c>
      <c r="G75" s="1129" t="s">
        <v>1783</v>
      </c>
      <c r="H75" s="1123">
        <v>390326</v>
      </c>
      <c r="I75" s="1051"/>
      <c r="J75" s="1011"/>
      <c r="K75" s="3"/>
    </row>
    <row r="76" spans="2:16" ht="41.4" thickBot="1">
      <c r="B76" s="1124" t="s">
        <v>1784</v>
      </c>
      <c r="C76" s="1125">
        <f>40000+100000+400000</f>
        <v>540000</v>
      </c>
      <c r="D76" s="1130"/>
      <c r="E76" s="1131"/>
      <c r="F76" s="1132"/>
      <c r="G76" s="1133" t="s">
        <v>1785</v>
      </c>
      <c r="H76" s="1134">
        <f>+H75+H73</f>
        <v>416321</v>
      </c>
      <c r="I76" s="1051"/>
      <c r="J76" s="1011"/>
      <c r="K76" s="3"/>
    </row>
    <row r="77" spans="2:16" ht="20.399999999999999">
      <c r="B77" s="1067"/>
      <c r="C77" s="1135"/>
      <c r="D77" s="1136"/>
      <c r="E77" s="1137"/>
      <c r="F77" s="1138"/>
      <c r="G77" s="1139"/>
      <c r="H77" s="1140"/>
      <c r="I77" s="1051"/>
      <c r="J77" s="1011"/>
      <c r="K77" s="3"/>
    </row>
    <row r="78" spans="2:16" ht="20.399999999999999">
      <c r="B78" s="1067"/>
      <c r="C78" s="1135"/>
      <c r="D78" s="1136"/>
      <c r="E78" s="1137"/>
      <c r="F78" s="1138"/>
      <c r="G78" s="1139"/>
      <c r="H78" s="1140"/>
      <c r="I78" s="1051"/>
      <c r="J78" s="1011"/>
      <c r="K78" s="3"/>
    </row>
    <row r="79" spans="2:16" ht="20.399999999999999">
      <c r="B79" s="1067"/>
      <c r="C79" s="1135"/>
      <c r="D79" s="1136"/>
      <c r="E79" s="1137"/>
      <c r="F79" s="1138"/>
      <c r="G79" s="1139"/>
      <c r="H79" s="1140"/>
      <c r="I79" s="1051"/>
      <c r="J79" s="1011"/>
      <c r="K79" s="3"/>
    </row>
    <row r="80" spans="2:16">
      <c r="B80" s="1141"/>
      <c r="C80" s="1141"/>
      <c r="D80" s="1141"/>
      <c r="E80" s="1141"/>
      <c r="F80" s="1142" t="s">
        <v>1463</v>
      </c>
      <c r="G80" s="1142" t="s">
        <v>1463</v>
      </c>
      <c r="H80" s="1142" t="s">
        <v>1463</v>
      </c>
      <c r="I80" s="1142" t="s">
        <v>1463</v>
      </c>
      <c r="J80" s="1142" t="s">
        <v>1463</v>
      </c>
      <c r="K80" s="1142" t="s">
        <v>1463</v>
      </c>
    </row>
    <row r="81" spans="2:11" ht="16.2">
      <c r="B81" s="1143" t="s">
        <v>1786</v>
      </c>
      <c r="C81" s="13"/>
      <c r="D81" s="13"/>
      <c r="E81" s="13"/>
      <c r="F81" s="1144" t="s">
        <v>1464</v>
      </c>
      <c r="G81" s="1144" t="s">
        <v>1464</v>
      </c>
      <c r="H81" s="1144" t="s">
        <v>1464</v>
      </c>
      <c r="I81" s="1144" t="s">
        <v>1464</v>
      </c>
      <c r="J81" s="1144" t="s">
        <v>1464</v>
      </c>
      <c r="K81" s="1144" t="s">
        <v>1464</v>
      </c>
    </row>
    <row r="82" spans="2:11">
      <c r="B82" s="13"/>
      <c r="C82" s="13"/>
      <c r="D82" s="13"/>
      <c r="E82" s="13"/>
      <c r="F82" s="1145" t="s">
        <v>533</v>
      </c>
      <c r="G82" s="1145" t="s">
        <v>1471</v>
      </c>
      <c r="H82" s="1145" t="s">
        <v>1470</v>
      </c>
      <c r="I82" s="1145" t="s">
        <v>1469</v>
      </c>
      <c r="J82" s="1145" t="s">
        <v>410</v>
      </c>
      <c r="K82" s="1145" t="s">
        <v>1468</v>
      </c>
    </row>
    <row r="83" spans="2:11">
      <c r="B83" s="558" t="s">
        <v>1787</v>
      </c>
      <c r="C83" s="1146" t="s">
        <v>565</v>
      </c>
      <c r="D83" s="1146" t="s">
        <v>1788</v>
      </c>
      <c r="E83" s="1147" t="s">
        <v>1789</v>
      </c>
      <c r="F83" s="1148">
        <v>0</v>
      </c>
      <c r="G83" s="1148">
        <v>0</v>
      </c>
      <c r="H83" s="1149">
        <v>360156.62983463577</v>
      </c>
      <c r="I83" s="1149">
        <v>106757.93983463576</v>
      </c>
      <c r="J83" s="1149">
        <v>57914.239834635766</v>
      </c>
      <c r="K83" s="1149">
        <v>9777.0270621857799</v>
      </c>
    </row>
    <row r="84" spans="2:11">
      <c r="B84" s="76" t="s">
        <v>1790</v>
      </c>
      <c r="C84" s="1150" t="s">
        <v>565</v>
      </c>
      <c r="D84" s="1150" t="s">
        <v>1788</v>
      </c>
      <c r="E84" s="1151" t="s">
        <v>1789</v>
      </c>
      <c r="F84" s="1152">
        <v>0</v>
      </c>
      <c r="G84" s="1152">
        <v>0</v>
      </c>
      <c r="H84" s="1153">
        <v>1054828.3901653641</v>
      </c>
      <c r="I84" s="1153">
        <v>393622.54016536416</v>
      </c>
      <c r="J84" s="1153">
        <v>114116.94016536421</v>
      </c>
      <c r="K84" s="1153">
        <v>20340.1529378142</v>
      </c>
    </row>
    <row r="85" spans="2:11">
      <c r="B85" s="76" t="s">
        <v>1791</v>
      </c>
      <c r="C85" s="1150" t="s">
        <v>565</v>
      </c>
      <c r="D85" s="1150" t="s">
        <v>1788</v>
      </c>
      <c r="E85" s="1151" t="s">
        <v>1792</v>
      </c>
      <c r="F85" s="1152">
        <v>0</v>
      </c>
      <c r="G85" s="1152">
        <v>0</v>
      </c>
      <c r="H85" s="1153">
        <v>89169.45</v>
      </c>
      <c r="I85" s="1152">
        <v>0</v>
      </c>
      <c r="J85" s="1152">
        <v>0</v>
      </c>
      <c r="K85" s="1152">
        <v>0</v>
      </c>
    </row>
    <row r="86" spans="2:11">
      <c r="B86" s="76" t="s">
        <v>1787</v>
      </c>
      <c r="C86" s="1150" t="s">
        <v>510</v>
      </c>
      <c r="D86" s="1150" t="s">
        <v>1793</v>
      </c>
      <c r="E86" s="1151" t="s">
        <v>1792</v>
      </c>
      <c r="F86" s="1153">
        <v>383909.69123898563</v>
      </c>
      <c r="G86" s="1153">
        <v>373224.64619518688</v>
      </c>
      <c r="H86" s="1152">
        <v>0</v>
      </c>
      <c r="I86" s="1152">
        <v>0</v>
      </c>
      <c r="J86" s="1152">
        <v>0</v>
      </c>
      <c r="K86" s="1152">
        <v>0</v>
      </c>
    </row>
    <row r="87" spans="2:11">
      <c r="B87" s="76" t="s">
        <v>1790</v>
      </c>
      <c r="C87" s="1150" t="s">
        <v>510</v>
      </c>
      <c r="D87" s="1150" t="s">
        <v>1793</v>
      </c>
      <c r="E87" s="1151" t="s">
        <v>1792</v>
      </c>
      <c r="F87" s="1153">
        <v>1330189.3987610142</v>
      </c>
      <c r="G87" s="1153">
        <v>1309135.083804813</v>
      </c>
      <c r="H87" s="1152">
        <v>0</v>
      </c>
      <c r="I87" s="1152">
        <v>0</v>
      </c>
      <c r="J87" s="1152">
        <v>0</v>
      </c>
      <c r="K87" s="1152">
        <v>0</v>
      </c>
    </row>
    <row r="88" spans="2:11">
      <c r="B88" s="567" t="s">
        <v>1791</v>
      </c>
      <c r="C88" s="1154" t="s">
        <v>510</v>
      </c>
      <c r="D88" s="1154" t="s">
        <v>1793</v>
      </c>
      <c r="E88" s="1155" t="s">
        <v>1792</v>
      </c>
      <c r="F88" s="1156">
        <v>505758</v>
      </c>
      <c r="G88" s="1156">
        <v>147224.53</v>
      </c>
      <c r="H88" s="1157">
        <v>0</v>
      </c>
      <c r="I88" s="1157">
        <v>0</v>
      </c>
      <c r="J88" s="1157">
        <v>0</v>
      </c>
      <c r="K88" s="1157">
        <v>0</v>
      </c>
    </row>
    <row r="89" spans="2:11">
      <c r="B89" s="1158" t="s">
        <v>52</v>
      </c>
      <c r="C89" s="1158"/>
      <c r="D89" s="1158"/>
      <c r="E89" s="1158"/>
      <c r="F89" s="1159">
        <v>2219857.09</v>
      </c>
      <c r="G89" s="1159">
        <v>1829584.26</v>
      </c>
      <c r="H89" s="1159">
        <v>1504154.47</v>
      </c>
      <c r="I89" s="1159">
        <v>500380.47999999992</v>
      </c>
      <c r="J89" s="1159">
        <v>172031.18</v>
      </c>
      <c r="K89" s="1159">
        <v>30117.179999999978</v>
      </c>
    </row>
    <row r="90" spans="2:11" ht="20.399999999999999">
      <c r="B90" s="1067"/>
      <c r="C90" s="1135"/>
      <c r="D90" s="1136"/>
      <c r="E90" s="1137"/>
      <c r="F90" s="1138"/>
      <c r="G90" s="1139"/>
      <c r="H90" s="1140"/>
      <c r="I90" s="1051"/>
      <c r="J90" s="1011"/>
      <c r="K90" s="3"/>
    </row>
    <row r="91" spans="2:11" ht="20.399999999999999">
      <c r="B91" s="1160" t="s">
        <v>1794</v>
      </c>
      <c r="C91" s="1161"/>
      <c r="D91" s="1162" t="s">
        <v>1695</v>
      </c>
      <c r="E91" s="1163" t="s">
        <v>1696</v>
      </c>
      <c r="F91" s="1138" t="s">
        <v>1795</v>
      </c>
      <c r="G91" s="1139"/>
      <c r="H91" s="1140"/>
      <c r="I91" s="1051"/>
      <c r="J91" s="1011"/>
      <c r="K91" s="3"/>
    </row>
    <row r="92" spans="2:11" ht="20.399999999999999">
      <c r="B92" s="1038" t="s">
        <v>1787</v>
      </c>
      <c r="C92" s="1161"/>
      <c r="D92" s="1164"/>
      <c r="E92" s="1165">
        <f>+F86</f>
        <v>383909.69123898563</v>
      </c>
      <c r="F92" s="1166">
        <f>SUM(D92:E92)</f>
        <v>383909.69123898563</v>
      </c>
      <c r="G92" s="1139"/>
      <c r="H92" s="1140"/>
      <c r="I92" s="1051"/>
      <c r="J92" s="1011"/>
      <c r="K92" s="3"/>
    </row>
    <row r="93" spans="2:11" ht="20.399999999999999">
      <c r="B93" s="1038" t="s">
        <v>1790</v>
      </c>
      <c r="C93" s="1161"/>
      <c r="D93" s="1164">
        <f>+F87</f>
        <v>1330189.3987610142</v>
      </c>
      <c r="E93" s="1165"/>
      <c r="F93" s="1166">
        <f t="shared" ref="F93:F94" si="1">SUM(D93:E93)</f>
        <v>1330189.3987610142</v>
      </c>
      <c r="G93" s="1139"/>
      <c r="H93" s="1140"/>
      <c r="I93" s="1051"/>
      <c r="J93" s="1011"/>
      <c r="K93" s="3"/>
    </row>
    <row r="94" spans="2:11" ht="20.399999999999999">
      <c r="B94" s="1038" t="s">
        <v>1796</v>
      </c>
      <c r="C94" s="1161"/>
      <c r="D94" s="1164">
        <f>+F88*'[2]Pipeline Analysis Summary'!D6</f>
        <v>224262.17330161549</v>
      </c>
      <c r="E94" s="1165">
        <f>+F88*'[2]Pipeline Analysis Summary'!D7</f>
        <v>281495.82669838448</v>
      </c>
      <c r="F94" s="1166">
        <f t="shared" si="1"/>
        <v>505758</v>
      </c>
      <c r="G94" s="1139"/>
      <c r="H94" s="1140"/>
      <c r="I94" s="1051"/>
      <c r="J94" s="1011"/>
      <c r="K94" s="3"/>
    </row>
    <row r="95" spans="2:11" ht="21" thickBot="1">
      <c r="B95" s="1167"/>
      <c r="C95" s="1161"/>
      <c r="D95" s="1168">
        <f>SUM(D92:D94)</f>
        <v>1554451.5720626297</v>
      </c>
      <c r="E95" s="1168">
        <f t="shared" ref="E95:F95" si="2">SUM(E92:E94)</f>
        <v>665405.51793737011</v>
      </c>
      <c r="F95" s="1168">
        <f t="shared" si="2"/>
        <v>2219857.09</v>
      </c>
      <c r="G95" s="1139"/>
      <c r="H95" s="1140"/>
      <c r="I95" s="1051"/>
      <c r="J95" s="1011"/>
      <c r="K95" s="3"/>
    </row>
    <row r="96" spans="2:11" ht="21" thickTop="1">
      <c r="B96" s="1167"/>
      <c r="C96" s="1161"/>
      <c r="D96" s="1164"/>
      <c r="E96" s="1164"/>
      <c r="F96" s="1164"/>
      <c r="G96" s="1139"/>
      <c r="H96" s="1140"/>
      <c r="I96" s="1051"/>
      <c r="J96" s="1011"/>
      <c r="K96" s="3"/>
    </row>
    <row r="97" spans="2:11" ht="18">
      <c r="B97" s="1169" t="s">
        <v>1797</v>
      </c>
      <c r="C97" s="1161"/>
      <c r="D97" s="1164"/>
      <c r="E97" s="1170" t="s">
        <v>1798</v>
      </c>
      <c r="F97" s="1170" t="s">
        <v>1799</v>
      </c>
      <c r="G97" s="1171" t="s">
        <v>1800</v>
      </c>
      <c r="H97" s="1140"/>
      <c r="I97" s="1051"/>
      <c r="J97" s="1011"/>
      <c r="K97" s="3"/>
    </row>
    <row r="98" spans="2:11" ht="18">
      <c r="B98" s="1169" t="s">
        <v>1801</v>
      </c>
      <c r="C98" s="1161"/>
      <c r="D98" s="1164"/>
      <c r="E98" s="1172" t="s">
        <v>1802</v>
      </c>
      <c r="F98" s="1173">
        <v>1403100.0000000242</v>
      </c>
      <c r="G98" s="1174">
        <v>0.44341794554236513</v>
      </c>
      <c r="H98" s="1140"/>
      <c r="I98" s="1051"/>
      <c r="J98" s="1011"/>
      <c r="K98" s="3"/>
    </row>
    <row r="99" spans="2:11" ht="18">
      <c r="B99" s="1175" t="s">
        <v>1803</v>
      </c>
      <c r="C99" s="1161"/>
      <c r="D99" s="1164"/>
      <c r="E99" s="1172" t="s">
        <v>1804</v>
      </c>
      <c r="F99" s="1173">
        <v>1761183.2999999956</v>
      </c>
      <c r="G99" s="1174">
        <v>0.55658205445763487</v>
      </c>
      <c r="H99" s="1140"/>
      <c r="I99" s="1051"/>
      <c r="J99" s="1011"/>
      <c r="K99" s="3"/>
    </row>
    <row r="100" spans="2:11" ht="18">
      <c r="B100" s="1175" t="s">
        <v>1805</v>
      </c>
      <c r="C100" s="1161"/>
      <c r="D100" s="1164"/>
      <c r="E100" s="1176" t="s">
        <v>1795</v>
      </c>
      <c r="F100" s="1177">
        <v>3164283.3000000198</v>
      </c>
      <c r="G100" s="1174">
        <v>1</v>
      </c>
      <c r="H100" s="1140"/>
      <c r="I100" s="1051"/>
      <c r="J100" s="1011"/>
      <c r="K100" s="3"/>
    </row>
    <row r="101" spans="2:11" ht="20.399999999999999">
      <c r="B101" s="1175" t="s">
        <v>1806</v>
      </c>
      <c r="C101" s="1161"/>
      <c r="D101" s="1164"/>
      <c r="E101" s="1165"/>
      <c r="F101" s="1138"/>
      <c r="G101" s="1139"/>
      <c r="H101" s="1140"/>
      <c r="I101" s="1051"/>
      <c r="J101" s="1011"/>
      <c r="K101" s="3"/>
    </row>
    <row r="102" spans="2:11" ht="20.399999999999999">
      <c r="B102" s="1175"/>
      <c r="C102" s="1161"/>
      <c r="D102" s="1164"/>
      <c r="E102" s="1165"/>
      <c r="F102" s="1138"/>
      <c r="G102" s="1139"/>
      <c r="H102" s="1140"/>
      <c r="I102" s="1051"/>
      <c r="J102" s="1011"/>
      <c r="K102" s="3"/>
    </row>
    <row r="103" spans="2:11" ht="20.399999999999999">
      <c r="B103" s="1175"/>
      <c r="C103" s="1161"/>
      <c r="D103" s="1164"/>
      <c r="E103" s="1165"/>
      <c r="F103" s="1138"/>
      <c r="G103" s="1139"/>
      <c r="H103" s="1140"/>
      <c r="I103" s="1051"/>
      <c r="J103" s="1011"/>
      <c r="K103" s="3"/>
    </row>
    <row r="104" spans="2:11" ht="20.399999999999999">
      <c r="B104" s="1178"/>
      <c r="C104" s="1179" t="s">
        <v>1807</v>
      </c>
      <c r="D104" s="1011"/>
      <c r="E104" s="1011"/>
      <c r="F104" s="1011"/>
      <c r="G104" s="1011"/>
      <c r="H104" s="1051"/>
      <c r="I104" s="1051"/>
      <c r="J104" s="1011"/>
      <c r="K104" s="3"/>
    </row>
    <row r="105" spans="2:11" ht="16.2" thickBot="1">
      <c r="B105" s="7" t="s">
        <v>1808</v>
      </c>
      <c r="C105" s="1011"/>
      <c r="D105" s="1011"/>
      <c r="E105" s="1011"/>
      <c r="F105" s="1011"/>
      <c r="G105" s="1011"/>
      <c r="H105" s="1051"/>
      <c r="I105" s="1051"/>
      <c r="J105" s="1011"/>
      <c r="K105" s="3"/>
    </row>
    <row r="106" spans="2:11" ht="55.8" thickBot="1">
      <c r="B106" s="1180" t="s">
        <v>1809</v>
      </c>
      <c r="C106" s="1181" t="s">
        <v>1810</v>
      </c>
      <c r="D106" s="1181" t="s">
        <v>1811</v>
      </c>
      <c r="E106" s="1011"/>
      <c r="F106" s="1011"/>
      <c r="G106" s="1011"/>
      <c r="H106" s="1051"/>
      <c r="I106" s="1051"/>
      <c r="J106" s="1011"/>
      <c r="K106" s="3"/>
    </row>
    <row r="107" spans="2:11" ht="16.2" thickBot="1">
      <c r="B107" s="1182" t="s">
        <v>1812</v>
      </c>
      <c r="C107" s="1183"/>
      <c r="D107" s="1184"/>
      <c r="E107" s="1011"/>
      <c r="F107" s="1011"/>
      <c r="G107" s="1011"/>
      <c r="H107" s="1051"/>
      <c r="I107" s="1051"/>
      <c r="J107" s="1011"/>
      <c r="K107" s="3"/>
    </row>
    <row r="108" spans="2:11" ht="16.2" thickBot="1">
      <c r="B108" s="1124" t="s">
        <v>1813</v>
      </c>
      <c r="C108" s="1185">
        <v>12301</v>
      </c>
      <c r="D108" s="1185" t="s">
        <v>1790</v>
      </c>
      <c r="E108" s="1011"/>
      <c r="F108" s="1011"/>
      <c r="G108" s="1011"/>
      <c r="H108" s="1051"/>
      <c r="I108" s="1051"/>
      <c r="J108" s="1011"/>
      <c r="K108" s="3"/>
    </row>
    <row r="109" spans="2:11" ht="16.2" thickBot="1">
      <c r="B109" s="1124" t="s">
        <v>1701</v>
      </c>
      <c r="C109" s="1185">
        <v>14455</v>
      </c>
      <c r="D109" s="1185" t="s">
        <v>1790</v>
      </c>
      <c r="E109" s="1011"/>
      <c r="F109" s="1011"/>
      <c r="G109" s="1011"/>
      <c r="H109" s="1051"/>
      <c r="I109" s="1051"/>
      <c r="J109" s="1011"/>
      <c r="K109" s="3"/>
    </row>
    <row r="110" spans="2:11" ht="16.2" thickBot="1">
      <c r="B110" s="1124" t="s">
        <v>1702</v>
      </c>
      <c r="C110" s="1185">
        <v>26956</v>
      </c>
      <c r="D110" s="1185" t="s">
        <v>1787</v>
      </c>
      <c r="E110" s="1011"/>
      <c r="F110" s="1011"/>
      <c r="G110" s="1011"/>
      <c r="H110" s="1051"/>
      <c r="I110" s="1051"/>
      <c r="J110" s="1011"/>
      <c r="K110" s="3"/>
    </row>
    <row r="111" spans="2:11" ht="16.2" thickBot="1">
      <c r="B111" s="1186" t="s">
        <v>1814</v>
      </c>
      <c r="C111" s="1185" t="s">
        <v>1815</v>
      </c>
      <c r="D111" s="1185" t="s">
        <v>1790</v>
      </c>
      <c r="E111" s="1011"/>
      <c r="F111" s="1011"/>
      <c r="G111" s="1011"/>
      <c r="H111" s="1051"/>
      <c r="I111" s="1051"/>
      <c r="J111" s="1011"/>
      <c r="K111" s="3"/>
    </row>
    <row r="112" spans="2:11" ht="16.2" thickBot="1">
      <c r="B112" s="1186" t="s">
        <v>1816</v>
      </c>
      <c r="C112" s="1185" t="s">
        <v>1817</v>
      </c>
      <c r="D112" s="1185" t="s">
        <v>1787</v>
      </c>
      <c r="E112" s="1011"/>
      <c r="F112" s="1011"/>
      <c r="G112" s="1011"/>
      <c r="H112" s="1051"/>
      <c r="I112" s="1051"/>
      <c r="J112" s="1011"/>
      <c r="K112" s="3"/>
    </row>
    <row r="113" spans="2:11" ht="16.2" thickBot="1">
      <c r="B113" s="1124" t="s">
        <v>1818</v>
      </c>
      <c r="C113" s="1185">
        <v>14455</v>
      </c>
      <c r="D113" s="1185" t="s">
        <v>1790</v>
      </c>
      <c r="E113" s="1011"/>
      <c r="F113" s="1011"/>
      <c r="G113" s="1011"/>
      <c r="H113" s="1051"/>
      <c r="I113" s="1051"/>
      <c r="J113" s="1011"/>
      <c r="K113" s="3"/>
    </row>
    <row r="114" spans="2:11" ht="16.2" thickBot="1">
      <c r="B114" s="1186" t="s">
        <v>1819</v>
      </c>
      <c r="C114" s="1185" t="s">
        <v>1820</v>
      </c>
      <c r="D114" s="1185" t="s">
        <v>1790</v>
      </c>
      <c r="E114" s="1011"/>
      <c r="F114" s="1011"/>
      <c r="G114" s="1011"/>
      <c r="H114" s="1051"/>
      <c r="I114" s="1051"/>
      <c r="J114" s="1011"/>
      <c r="K114" s="3"/>
    </row>
    <row r="115" spans="2:11" ht="16.2" thickBot="1">
      <c r="B115" s="1186" t="s">
        <v>1821</v>
      </c>
      <c r="C115" s="1185" t="s">
        <v>1822</v>
      </c>
      <c r="D115" s="1185" t="s">
        <v>1790</v>
      </c>
      <c r="E115" s="1011"/>
      <c r="F115" s="1011"/>
      <c r="G115" s="1011"/>
      <c r="H115" s="1051"/>
      <c r="I115" s="1051"/>
      <c r="J115" s="1011"/>
      <c r="K115" s="3"/>
    </row>
    <row r="116" spans="2:11" ht="16.2" thickBot="1">
      <c r="B116" s="1186" t="s">
        <v>1823</v>
      </c>
      <c r="C116" s="1185">
        <v>2912</v>
      </c>
      <c r="D116" s="1185" t="s">
        <v>1790</v>
      </c>
      <c r="E116" s="1011"/>
      <c r="F116" s="1011"/>
      <c r="G116" s="1011"/>
      <c r="H116" s="1051"/>
      <c r="I116" s="1051"/>
      <c r="J116" s="1011"/>
      <c r="K116" s="3"/>
    </row>
    <row r="117" spans="2:11" ht="16.2" thickBot="1">
      <c r="B117" s="1186" t="s">
        <v>1824</v>
      </c>
      <c r="C117" s="1185">
        <v>26956</v>
      </c>
      <c r="D117" s="1185" t="s">
        <v>1787</v>
      </c>
      <c r="E117" s="1011"/>
      <c r="F117" s="1011"/>
      <c r="G117" s="1011"/>
      <c r="H117" s="1051"/>
      <c r="I117" s="1051"/>
      <c r="J117" s="1011"/>
      <c r="K117" s="3"/>
    </row>
    <row r="118" spans="2:11" ht="28.2" thickBot="1">
      <c r="B118" s="1186" t="s">
        <v>1825</v>
      </c>
      <c r="C118" s="1185">
        <v>18794</v>
      </c>
      <c r="D118" s="1185" t="s">
        <v>1787</v>
      </c>
      <c r="E118" s="1011"/>
      <c r="F118" s="1011"/>
      <c r="G118" s="1011"/>
      <c r="H118" s="1051"/>
      <c r="I118" s="1051"/>
      <c r="J118" s="1011"/>
      <c r="K118" s="3"/>
    </row>
    <row r="119" spans="2:11" ht="16.2" thickBot="1">
      <c r="B119" s="1186" t="s">
        <v>1826</v>
      </c>
      <c r="C119" s="1185">
        <v>26956</v>
      </c>
      <c r="D119" s="1185" t="s">
        <v>1787</v>
      </c>
      <c r="E119" s="1011"/>
      <c r="F119" s="1011"/>
      <c r="G119" s="1011"/>
      <c r="H119" s="1051"/>
      <c r="I119" s="1051"/>
      <c r="J119" s="1011"/>
      <c r="K119" s="3"/>
    </row>
    <row r="120" spans="2:11" ht="16.2" thickBot="1">
      <c r="B120" s="1187" t="s">
        <v>1827</v>
      </c>
      <c r="C120" s="1188"/>
      <c r="D120" s="1189"/>
      <c r="E120" s="1011"/>
      <c r="F120" s="1011"/>
      <c r="G120" s="1011"/>
      <c r="H120" s="1051"/>
      <c r="I120" s="1051"/>
      <c r="J120" s="1011"/>
      <c r="K120" s="3"/>
    </row>
    <row r="121" spans="2:11" ht="16.2" thickBot="1">
      <c r="B121" s="1091" t="s">
        <v>1752</v>
      </c>
      <c r="C121" s="1185" t="s">
        <v>1828</v>
      </c>
      <c r="D121" s="1185" t="s">
        <v>1790</v>
      </c>
      <c r="E121" s="1011"/>
      <c r="F121" s="1011"/>
      <c r="G121" s="1011"/>
      <c r="H121" s="1051"/>
      <c r="I121" s="1051"/>
      <c r="J121" s="1011"/>
      <c r="K121" s="3"/>
    </row>
    <row r="122" spans="2:11" ht="16.2" thickBot="1">
      <c r="B122" s="1091" t="s">
        <v>1753</v>
      </c>
      <c r="C122" s="1185" t="s">
        <v>1820</v>
      </c>
      <c r="D122" s="1185" t="s">
        <v>1790</v>
      </c>
      <c r="E122" s="1011"/>
      <c r="F122" s="1011"/>
      <c r="G122" s="1011"/>
      <c r="H122" s="1051"/>
      <c r="I122" s="1051"/>
      <c r="J122" s="1011"/>
      <c r="K122" s="3"/>
    </row>
    <row r="123" spans="2:11" ht="16.2" thickBot="1">
      <c r="B123" s="1091" t="s">
        <v>1754</v>
      </c>
      <c r="C123" s="1185">
        <v>14788</v>
      </c>
      <c r="D123" s="1185" t="s">
        <v>1790</v>
      </c>
      <c r="E123" s="1011"/>
      <c r="F123" s="1011"/>
      <c r="G123" s="1011"/>
      <c r="H123" s="1051"/>
      <c r="I123" s="1051"/>
      <c r="J123" s="1011"/>
      <c r="K123" s="3"/>
    </row>
    <row r="124" spans="2:11" ht="16.2" thickBot="1">
      <c r="B124" s="1091" t="s">
        <v>1829</v>
      </c>
      <c r="C124" s="1185" t="s">
        <v>1830</v>
      </c>
      <c r="D124" s="1185" t="s">
        <v>1790</v>
      </c>
      <c r="E124" s="1011"/>
      <c r="F124" s="1011"/>
      <c r="G124" s="1011"/>
      <c r="H124" s="1051"/>
      <c r="I124" s="1051"/>
      <c r="J124" s="1011"/>
      <c r="K124" s="3"/>
    </row>
    <row r="125" spans="2:11" ht="16.2" thickBot="1">
      <c r="B125" s="1091" t="s">
        <v>1831</v>
      </c>
      <c r="C125" s="1185" t="s">
        <v>1832</v>
      </c>
      <c r="D125" s="1185" t="s">
        <v>1790</v>
      </c>
      <c r="E125" s="1011"/>
      <c r="F125" s="1011"/>
      <c r="G125" s="1011"/>
      <c r="H125" s="1051"/>
      <c r="I125" s="1051"/>
      <c r="J125" s="1011"/>
      <c r="K125" s="3"/>
    </row>
    <row r="126" spans="2:11" ht="16.2" thickBot="1">
      <c r="B126" s="1091" t="s">
        <v>1756</v>
      </c>
      <c r="C126" s="1185" t="s">
        <v>1833</v>
      </c>
      <c r="D126" s="1185" t="s">
        <v>1790</v>
      </c>
      <c r="E126" s="1011"/>
      <c r="F126" s="1011"/>
      <c r="G126" s="1011"/>
      <c r="H126" s="1051"/>
      <c r="I126" s="1051"/>
      <c r="J126" s="1011"/>
      <c r="K126" s="3"/>
    </row>
    <row r="127" spans="2:11" ht="16.2" thickBot="1">
      <c r="B127" s="1091" t="s">
        <v>1757</v>
      </c>
      <c r="C127" s="1185" t="s">
        <v>1834</v>
      </c>
      <c r="D127" s="1185" t="s">
        <v>1790</v>
      </c>
      <c r="E127" s="1011"/>
      <c r="F127" s="1011"/>
      <c r="G127" s="1011"/>
      <c r="H127" s="1051"/>
      <c r="I127" s="1051"/>
      <c r="J127" s="1011"/>
      <c r="K127" s="3"/>
    </row>
    <row r="128" spans="2:11" ht="16.2" thickBot="1">
      <c r="B128" s="1091" t="s">
        <v>1758</v>
      </c>
      <c r="C128" s="1185" t="s">
        <v>1835</v>
      </c>
      <c r="D128" s="1185" t="s">
        <v>1790</v>
      </c>
      <c r="E128" s="1011"/>
      <c r="F128" s="1011"/>
      <c r="G128" s="1011"/>
      <c r="H128" s="1051"/>
      <c r="I128" s="1051"/>
      <c r="J128" s="1011"/>
      <c r="K128" s="3"/>
    </row>
    <row r="129" spans="2:11">
      <c r="J129" s="13"/>
      <c r="K129" s="3"/>
    </row>
    <row r="130" spans="2:11">
      <c r="B130" s="1018" t="s">
        <v>1836</v>
      </c>
      <c r="J130" s="13"/>
      <c r="K130" s="3"/>
    </row>
    <row r="131" spans="2:11">
      <c r="B131" s="1018" t="s">
        <v>1837</v>
      </c>
      <c r="J131" s="13"/>
      <c r="K131" s="3"/>
    </row>
    <row r="132" spans="2:11">
      <c r="J132" s="13"/>
      <c r="K132" s="3"/>
    </row>
    <row r="133" spans="2:11">
      <c r="J133" s="13"/>
    </row>
  </sheetData>
  <mergeCells count="8">
    <mergeCell ref="D41:D43"/>
    <mergeCell ref="D51:D53"/>
    <mergeCell ref="A1:B1"/>
    <mergeCell ref="A2:B2"/>
    <mergeCell ref="A3:B3"/>
    <mergeCell ref="A4:B4"/>
    <mergeCell ref="A5:B5"/>
    <mergeCell ref="A6:B6"/>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A3" sqref="A3:M3"/>
    </sheetView>
  </sheetViews>
  <sheetFormatPr defaultColWidth="11.44140625" defaultRowHeight="15.6"/>
  <cols>
    <col min="1" max="1" width="9.33203125" style="3" bestFit="1" customWidth="1"/>
    <col min="2" max="2" width="25" style="3" bestFit="1" customWidth="1"/>
    <col min="3" max="3" width="12.5546875" style="3" customWidth="1"/>
    <col min="4" max="4" width="5.88671875" style="3" customWidth="1"/>
    <col min="5" max="5" width="12.33203125" style="3" bestFit="1" customWidth="1"/>
    <col min="6" max="6" width="5.44140625" style="3" customWidth="1"/>
    <col min="7" max="7" width="10.33203125" style="3" bestFit="1" customWidth="1"/>
    <col min="8" max="8" width="4.88671875" style="3" customWidth="1"/>
    <col min="9" max="9" width="9.88671875" style="3" bestFit="1" customWidth="1"/>
    <col min="10" max="10" width="4.6640625" style="3" customWidth="1"/>
    <col min="11" max="11" width="9.88671875" style="3" bestFit="1" customWidth="1"/>
    <col min="12" max="12" width="3.33203125" style="3" customWidth="1"/>
    <col min="13" max="13" width="11" style="3" bestFit="1" customWidth="1"/>
    <col min="14" max="14" width="3.5546875" style="3" customWidth="1"/>
    <col min="15" max="15" width="11.88671875" style="3" customWidth="1"/>
    <col min="16" max="16384" width="11.44140625" style="3"/>
  </cols>
  <sheetData>
    <row r="1" spans="1:15">
      <c r="B1" s="1229" t="s">
        <v>54</v>
      </c>
      <c r="C1" s="1229"/>
      <c r="D1" s="1229"/>
      <c r="E1" s="1229"/>
      <c r="F1" s="1229"/>
      <c r="G1" s="1229"/>
      <c r="H1" s="1229"/>
      <c r="I1" s="1229"/>
      <c r="J1" s="1229"/>
      <c r="K1" s="1229"/>
      <c r="L1" s="1229"/>
      <c r="M1" s="1229"/>
    </row>
    <row r="2" spans="1:15">
      <c r="B2" s="1229" t="s">
        <v>1261</v>
      </c>
      <c r="C2" s="1229"/>
      <c r="D2" s="1229"/>
      <c r="E2" s="1229"/>
      <c r="F2" s="1229"/>
      <c r="G2" s="1229"/>
      <c r="H2" s="1229"/>
      <c r="I2" s="1229"/>
      <c r="J2" s="1229"/>
      <c r="K2" s="1229"/>
      <c r="L2" s="1229"/>
      <c r="M2" s="1229"/>
    </row>
    <row r="3" spans="1:15">
      <c r="B3" s="1229"/>
      <c r="C3" s="1229"/>
      <c r="D3" s="1229"/>
      <c r="E3" s="1229"/>
      <c r="F3" s="1229"/>
      <c r="G3" s="1229"/>
      <c r="H3" s="1229"/>
      <c r="I3" s="1229"/>
      <c r="J3" s="1229"/>
      <c r="K3" s="1229"/>
      <c r="L3" s="1229"/>
      <c r="M3" s="1229"/>
    </row>
    <row r="4" spans="1:15">
      <c r="B4" s="1229" t="s">
        <v>993</v>
      </c>
      <c r="C4" s="1229"/>
      <c r="D4" s="1229"/>
      <c r="E4" s="1229"/>
      <c r="F4" s="1229"/>
      <c r="G4" s="1229"/>
      <c r="H4" s="1229"/>
      <c r="I4" s="1229"/>
      <c r="J4" s="1229"/>
      <c r="K4" s="1229"/>
      <c r="L4" s="1229"/>
      <c r="M4" s="1229"/>
    </row>
    <row r="5" spans="1:15">
      <c r="B5" s="1229" t="s">
        <v>953</v>
      </c>
      <c r="C5" s="1229"/>
      <c r="D5" s="1229"/>
      <c r="E5" s="1229"/>
      <c r="F5" s="1229"/>
      <c r="G5" s="1229"/>
      <c r="H5" s="1229"/>
      <c r="I5" s="1229"/>
      <c r="J5" s="1229"/>
      <c r="K5" s="1229"/>
      <c r="L5" s="1229"/>
      <c r="M5" s="1229"/>
    </row>
    <row r="7" spans="1:15" s="5" customFormat="1">
      <c r="B7" s="5" t="s">
        <v>1272</v>
      </c>
      <c r="C7" s="5" t="s">
        <v>1270</v>
      </c>
      <c r="E7" s="5" t="s">
        <v>1271</v>
      </c>
      <c r="G7" s="5" t="s">
        <v>1274</v>
      </c>
      <c r="I7" s="5" t="s">
        <v>1275</v>
      </c>
      <c r="K7" s="5" t="s">
        <v>1276</v>
      </c>
      <c r="M7" s="5" t="s">
        <v>1277</v>
      </c>
      <c r="O7" s="5" t="s">
        <v>1278</v>
      </c>
    </row>
    <row r="8" spans="1:15" ht="78">
      <c r="A8" s="515" t="s">
        <v>883</v>
      </c>
      <c r="B8" s="515" t="s">
        <v>994</v>
      </c>
      <c r="C8" s="516" t="s">
        <v>1637</v>
      </c>
      <c r="D8" s="515"/>
      <c r="E8" s="516" t="s">
        <v>1638</v>
      </c>
      <c r="F8" s="515"/>
      <c r="G8" s="517" t="s">
        <v>1001</v>
      </c>
      <c r="H8" s="7"/>
      <c r="I8" s="516" t="s">
        <v>1639</v>
      </c>
      <c r="J8" s="516"/>
      <c r="K8" s="516" t="s">
        <v>1000</v>
      </c>
      <c r="L8" s="7"/>
      <c r="M8" s="516" t="s">
        <v>995</v>
      </c>
      <c r="O8" s="516" t="s">
        <v>1286</v>
      </c>
    </row>
    <row r="9" spans="1:15">
      <c r="B9" s="518"/>
      <c r="C9" s="518"/>
      <c r="D9" s="518"/>
      <c r="E9" s="519"/>
      <c r="F9" s="518"/>
      <c r="G9" s="515"/>
      <c r="H9" s="515"/>
      <c r="I9" s="515"/>
      <c r="J9" s="515"/>
      <c r="K9" s="515"/>
      <c r="L9" s="515"/>
      <c r="M9" s="515"/>
    </row>
    <row r="10" spans="1:15">
      <c r="A10" s="5">
        <v>1</v>
      </c>
      <c r="B10" s="520" t="s">
        <v>1513</v>
      </c>
      <c r="C10" s="521">
        <v>10</v>
      </c>
      <c r="D10" s="520"/>
      <c r="E10" s="522">
        <v>1297</v>
      </c>
      <c r="F10" s="520"/>
      <c r="G10" s="523">
        <f t="shared" ref="G10:G15" si="0">+C10*E10</f>
        <v>12970</v>
      </c>
      <c r="H10" s="524"/>
      <c r="I10" s="525">
        <v>12</v>
      </c>
      <c r="J10" s="526"/>
      <c r="K10" s="526">
        <f t="shared" ref="K10:K15" si="1">+I10*E10</f>
        <v>15564</v>
      </c>
      <c r="L10" s="524"/>
      <c r="M10" s="523">
        <f t="shared" ref="M10:M15" si="2">+K10-G10</f>
        <v>2594</v>
      </c>
      <c r="N10" s="524"/>
      <c r="O10" s="527">
        <f>(I10-C10)/C10</f>
        <v>0.2</v>
      </c>
    </row>
    <row r="11" spans="1:15">
      <c r="A11" s="5">
        <v>2</v>
      </c>
      <c r="B11" s="528" t="s">
        <v>1514</v>
      </c>
      <c r="C11" s="529">
        <v>18</v>
      </c>
      <c r="D11" s="528"/>
      <c r="E11" s="9">
        <v>4059</v>
      </c>
      <c r="F11" s="528"/>
      <c r="G11" s="530">
        <f t="shared" si="0"/>
        <v>73062</v>
      </c>
      <c r="H11" s="528"/>
      <c r="I11" s="531">
        <v>21</v>
      </c>
      <c r="J11" s="532"/>
      <c r="K11" s="532">
        <f t="shared" si="1"/>
        <v>85239</v>
      </c>
      <c r="L11" s="528"/>
      <c r="M11" s="533">
        <f t="shared" si="2"/>
        <v>12177</v>
      </c>
      <c r="O11" s="534">
        <f t="shared" ref="O11:O15" si="3">(I11-C11)/C11</f>
        <v>0.16666666666666666</v>
      </c>
    </row>
    <row r="12" spans="1:15">
      <c r="A12" s="5">
        <v>3</v>
      </c>
      <c r="B12" s="520" t="s">
        <v>996</v>
      </c>
      <c r="C12" s="521">
        <v>20</v>
      </c>
      <c r="D12" s="520"/>
      <c r="E12" s="522">
        <v>271</v>
      </c>
      <c r="F12" s="520"/>
      <c r="G12" s="535">
        <f t="shared" si="0"/>
        <v>5420</v>
      </c>
      <c r="H12" s="520"/>
      <c r="I12" s="536">
        <v>24</v>
      </c>
      <c r="J12" s="537"/>
      <c r="K12" s="537">
        <f t="shared" si="1"/>
        <v>6504</v>
      </c>
      <c r="L12" s="520"/>
      <c r="M12" s="538">
        <f t="shared" si="2"/>
        <v>1084</v>
      </c>
      <c r="N12" s="538"/>
      <c r="O12" s="539">
        <f t="shared" si="3"/>
        <v>0.2</v>
      </c>
    </row>
    <row r="13" spans="1:15">
      <c r="A13" s="5">
        <v>4</v>
      </c>
      <c r="B13" s="528" t="s">
        <v>997</v>
      </c>
      <c r="C13" s="529">
        <v>45</v>
      </c>
      <c r="D13" s="528"/>
      <c r="E13" s="9">
        <v>2916</v>
      </c>
      <c r="F13" s="528"/>
      <c r="G13" s="540">
        <f t="shared" si="0"/>
        <v>131220</v>
      </c>
      <c r="H13" s="528"/>
      <c r="I13" s="531">
        <v>0</v>
      </c>
      <c r="J13" s="532"/>
      <c r="K13" s="532">
        <f t="shared" si="1"/>
        <v>0</v>
      </c>
      <c r="L13" s="528"/>
      <c r="M13" s="533">
        <f t="shared" si="2"/>
        <v>-131220</v>
      </c>
      <c r="O13" s="541">
        <f t="shared" si="3"/>
        <v>-1</v>
      </c>
    </row>
    <row r="14" spans="1:15">
      <c r="A14" s="5">
        <v>5</v>
      </c>
      <c r="B14" s="520" t="s">
        <v>998</v>
      </c>
      <c r="C14" s="521">
        <v>24</v>
      </c>
      <c r="D14" s="520"/>
      <c r="E14" s="522">
        <v>1865</v>
      </c>
      <c r="F14" s="520"/>
      <c r="G14" s="535">
        <f t="shared" si="0"/>
        <v>44760</v>
      </c>
      <c r="H14" s="520"/>
      <c r="I14" s="536">
        <v>28</v>
      </c>
      <c r="J14" s="537"/>
      <c r="K14" s="537">
        <f t="shared" si="1"/>
        <v>52220</v>
      </c>
      <c r="L14" s="520"/>
      <c r="M14" s="538">
        <f t="shared" si="2"/>
        <v>7460</v>
      </c>
      <c r="N14" s="538"/>
      <c r="O14" s="539">
        <f t="shared" si="3"/>
        <v>0.16666666666666666</v>
      </c>
    </row>
    <row r="15" spans="1:15">
      <c r="A15" s="5">
        <v>6</v>
      </c>
      <c r="B15" s="528" t="s">
        <v>999</v>
      </c>
      <c r="C15" s="529">
        <v>60</v>
      </c>
      <c r="D15" s="528"/>
      <c r="E15" s="9">
        <v>626</v>
      </c>
      <c r="F15" s="528"/>
      <c r="G15" s="530">
        <f t="shared" si="0"/>
        <v>37560</v>
      </c>
      <c r="H15" s="528"/>
      <c r="I15" s="531">
        <v>70</v>
      </c>
      <c r="J15" s="532"/>
      <c r="K15" s="532">
        <f t="shared" si="1"/>
        <v>43820</v>
      </c>
      <c r="L15" s="528"/>
      <c r="M15" s="532">
        <f t="shared" si="2"/>
        <v>6260</v>
      </c>
      <c r="O15" s="534">
        <f t="shared" si="3"/>
        <v>0.16666666666666666</v>
      </c>
    </row>
    <row r="16" spans="1:15">
      <c r="B16" s="7"/>
      <c r="C16" s="7"/>
      <c r="D16" s="7"/>
      <c r="E16" s="7"/>
      <c r="F16" s="7"/>
      <c r="G16" s="7"/>
      <c r="H16" s="7"/>
      <c r="I16" s="7"/>
      <c r="J16" s="7"/>
      <c r="K16" s="7"/>
      <c r="L16" s="7"/>
      <c r="M16" s="530">
        <f>SUM(M10:M15)</f>
        <v>-101645</v>
      </c>
    </row>
    <row r="17" spans="1:13">
      <c r="B17" s="1281" t="s">
        <v>1574</v>
      </c>
      <c r="C17" s="1281"/>
      <c r="D17" s="1281"/>
      <c r="E17" s="1281"/>
      <c r="F17" s="1281"/>
      <c r="G17" s="1281"/>
      <c r="H17" s="1281"/>
      <c r="I17" s="1281"/>
      <c r="J17" s="1281"/>
      <c r="K17" s="1281"/>
      <c r="L17" s="1281"/>
      <c r="M17" s="7"/>
    </row>
    <row r="18" spans="1:13">
      <c r="B18" s="1281"/>
      <c r="C18" s="1281"/>
      <c r="D18" s="1281"/>
      <c r="E18" s="1281"/>
      <c r="F18" s="1281"/>
      <c r="G18" s="1281"/>
      <c r="H18" s="1281"/>
      <c r="I18" s="1281"/>
      <c r="J18" s="1281"/>
      <c r="K18" s="1281"/>
      <c r="L18" s="1281"/>
    </row>
    <row r="20" spans="1:13">
      <c r="A20" s="3" t="s">
        <v>1251</v>
      </c>
    </row>
    <row r="21" spans="1:13">
      <c r="A21" s="5" t="s">
        <v>1634</v>
      </c>
      <c r="B21" s="3" t="s">
        <v>1635</v>
      </c>
    </row>
    <row r="22" spans="1:13">
      <c r="A22" s="5" t="s">
        <v>1632</v>
      </c>
      <c r="B22" s="3" t="s">
        <v>1636</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47"/>
  <sheetViews>
    <sheetView tabSelected="1" zoomScale="80" zoomScaleNormal="80" workbookViewId="0">
      <selection activeCell="B17" sqref="B17"/>
    </sheetView>
  </sheetViews>
  <sheetFormatPr defaultColWidth="9.109375" defaultRowHeight="15.6"/>
  <cols>
    <col min="1" max="1" width="3.5546875" style="3" bestFit="1" customWidth="1"/>
    <col min="2" max="2" width="35.109375" style="3" bestFit="1" customWidth="1"/>
    <col min="3" max="3" width="1" style="3" customWidth="1"/>
    <col min="4" max="4" width="14.5546875" style="3" bestFit="1" customWidth="1"/>
    <col min="5" max="5" width="1" style="3" customWidth="1"/>
    <col min="6" max="6" width="0.88671875" style="3" customWidth="1"/>
    <col min="7" max="7" width="12.88671875" style="3" bestFit="1" customWidth="1"/>
    <col min="8" max="8" width="1.33203125" style="3" customWidth="1"/>
    <col min="9" max="9" width="16.6640625" style="3" customWidth="1"/>
    <col min="10" max="10" width="1.33203125" style="3" customWidth="1"/>
    <col min="11" max="11" width="14" style="3" bestFit="1" customWidth="1"/>
    <col min="12" max="12" width="0.88671875" style="3" customWidth="1"/>
    <col min="13" max="13" width="1.44140625" style="3" customWidth="1"/>
    <col min="14" max="14" width="12.88671875" style="3" bestFit="1" customWidth="1"/>
    <col min="15" max="15" width="1" style="3" customWidth="1"/>
    <col min="16" max="16" width="0.88671875" style="3" customWidth="1"/>
    <col min="17" max="17" width="16" style="3" bestFit="1" customWidth="1"/>
    <col min="18" max="18" width="20.33203125" style="3" customWidth="1"/>
    <col min="19" max="19" width="1.109375" style="3" customWidth="1"/>
    <col min="20" max="20" width="18.33203125" style="507" customWidth="1"/>
    <col min="21" max="21" width="11.88671875" style="3" customWidth="1"/>
    <col min="22" max="22" width="12.33203125" style="3" bestFit="1" customWidth="1"/>
    <col min="23" max="23" width="10.5546875" style="3" bestFit="1" customWidth="1"/>
    <col min="24" max="16384" width="9.109375" style="3"/>
  </cols>
  <sheetData>
    <row r="1" spans="1:22">
      <c r="A1" s="1214" t="s">
        <v>111</v>
      </c>
      <c r="B1" s="1214"/>
      <c r="C1" s="1214"/>
      <c r="D1" s="1214"/>
      <c r="E1" s="1214"/>
      <c r="F1" s="1214"/>
      <c r="G1" s="1214"/>
      <c r="H1" s="1214"/>
      <c r="I1" s="1214"/>
      <c r="J1" s="1214"/>
      <c r="K1" s="1214"/>
      <c r="L1" s="1214"/>
      <c r="M1" s="1214"/>
      <c r="N1" s="1214"/>
      <c r="O1" s="1214"/>
      <c r="P1" s="1214"/>
      <c r="Q1" s="1214"/>
      <c r="R1" s="1214"/>
      <c r="S1" s="11"/>
    </row>
    <row r="2" spans="1:22">
      <c r="A2" s="1214" t="s">
        <v>1260</v>
      </c>
      <c r="B2" s="1214"/>
      <c r="C2" s="1214"/>
      <c r="D2" s="1214"/>
      <c r="E2" s="1214"/>
      <c r="F2" s="1214"/>
      <c r="G2" s="1214"/>
      <c r="H2" s="1214"/>
      <c r="I2" s="1214"/>
      <c r="J2" s="1214"/>
      <c r="K2" s="1214"/>
      <c r="L2" s="1214"/>
      <c r="M2" s="1214"/>
      <c r="N2" s="1214"/>
      <c r="O2" s="1214"/>
      <c r="P2" s="1214"/>
      <c r="Q2" s="1214"/>
      <c r="R2" s="1214"/>
      <c r="S2" s="19"/>
    </row>
    <row r="3" spans="1:22">
      <c r="A3" s="1215" t="s">
        <v>953</v>
      </c>
      <c r="B3" s="1215"/>
      <c r="C3" s="1215"/>
      <c r="D3" s="1215"/>
      <c r="E3" s="1215"/>
      <c r="F3" s="1215"/>
      <c r="G3" s="1215"/>
      <c r="H3" s="1215"/>
      <c r="I3" s="1215"/>
      <c r="J3" s="1215"/>
      <c r="K3" s="1215"/>
      <c r="L3" s="1215"/>
      <c r="M3" s="1215"/>
      <c r="N3" s="1215"/>
      <c r="O3" s="1215"/>
      <c r="P3" s="1215"/>
      <c r="Q3" s="1215"/>
      <c r="R3" s="1215"/>
      <c r="S3" s="19"/>
    </row>
    <row r="4" spans="1:22">
      <c r="A4" s="20"/>
      <c r="B4" s="20"/>
      <c r="C4" s="20"/>
      <c r="D4" s="20"/>
      <c r="E4" s="20"/>
      <c r="F4" s="20"/>
      <c r="G4" s="20"/>
      <c r="H4" s="20"/>
      <c r="I4" s="20"/>
      <c r="J4" s="20"/>
      <c r="K4" s="20"/>
      <c r="L4" s="20"/>
      <c r="M4" s="20"/>
      <c r="N4" s="20"/>
      <c r="O4" s="20"/>
      <c r="P4" s="20"/>
      <c r="Q4" s="20"/>
      <c r="R4" s="20"/>
      <c r="S4" s="19"/>
    </row>
    <row r="5" spans="1:22">
      <c r="A5" s="21"/>
      <c r="B5" s="21"/>
      <c r="C5" s="22"/>
      <c r="D5" s="23">
        <v>42735</v>
      </c>
      <c r="E5" s="24"/>
      <c r="F5" s="25"/>
      <c r="G5" s="26" t="s">
        <v>73</v>
      </c>
      <c r="H5" s="24"/>
      <c r="I5" s="26" t="s">
        <v>73</v>
      </c>
      <c r="J5" s="24"/>
      <c r="K5" s="26" t="s">
        <v>63</v>
      </c>
      <c r="L5" s="24"/>
      <c r="M5" s="25"/>
      <c r="N5" s="26" t="s">
        <v>1842</v>
      </c>
      <c r="O5" s="26"/>
      <c r="P5" s="24"/>
      <c r="Q5" s="27" t="s">
        <v>2</v>
      </c>
      <c r="R5" s="27" t="s">
        <v>1842</v>
      </c>
      <c r="S5" s="19"/>
    </row>
    <row r="6" spans="1:22">
      <c r="A6" s="19"/>
      <c r="B6" s="19"/>
      <c r="C6" s="29"/>
      <c r="D6" s="30" t="s">
        <v>0</v>
      </c>
      <c r="E6" s="29"/>
      <c r="F6" s="19"/>
      <c r="G6" s="31" t="s">
        <v>74</v>
      </c>
      <c r="H6" s="32"/>
      <c r="I6" s="31" t="s">
        <v>74</v>
      </c>
      <c r="J6" s="32"/>
      <c r="K6" s="34" t="s">
        <v>64</v>
      </c>
      <c r="L6" s="29"/>
      <c r="M6" s="19"/>
      <c r="N6" s="31" t="s">
        <v>1843</v>
      </c>
      <c r="O6" s="31"/>
      <c r="P6" s="29"/>
      <c r="Q6" s="35" t="s">
        <v>1253</v>
      </c>
      <c r="R6" s="35" t="s">
        <v>1840</v>
      </c>
      <c r="S6" s="19"/>
    </row>
    <row r="7" spans="1:22">
      <c r="A7" s="19"/>
      <c r="B7" s="19"/>
      <c r="C7" s="29"/>
      <c r="D7" s="30" t="s">
        <v>3</v>
      </c>
      <c r="E7" s="29"/>
      <c r="F7" s="19"/>
      <c r="G7" s="5" t="s">
        <v>1665</v>
      </c>
      <c r="H7" s="29"/>
      <c r="I7" s="5" t="s">
        <v>901</v>
      </c>
      <c r="J7" s="29"/>
      <c r="K7" s="31" t="s">
        <v>52</v>
      </c>
      <c r="L7" s="29"/>
      <c r="M7" s="19"/>
      <c r="N7" s="31" t="s">
        <v>940</v>
      </c>
      <c r="O7" s="31"/>
      <c r="P7" s="29"/>
      <c r="Q7" s="36" t="s">
        <v>75</v>
      </c>
      <c r="R7" s="36" t="s">
        <v>56</v>
      </c>
      <c r="S7" s="19"/>
    </row>
    <row r="8" spans="1:22">
      <c r="A8" s="19"/>
      <c r="B8" s="19"/>
      <c r="C8" s="29"/>
      <c r="D8" s="30" t="s">
        <v>4</v>
      </c>
      <c r="E8" s="29"/>
      <c r="F8" s="19"/>
      <c r="G8" s="31" t="s">
        <v>1</v>
      </c>
      <c r="H8" s="29"/>
      <c r="I8" s="31" t="s">
        <v>1</v>
      </c>
      <c r="J8" s="29"/>
      <c r="K8" s="31"/>
      <c r="L8" s="29"/>
      <c r="M8" s="19"/>
      <c r="N8" s="31" t="s">
        <v>1841</v>
      </c>
      <c r="O8" s="31"/>
      <c r="P8" s="29"/>
      <c r="Q8" s="36" t="s">
        <v>76</v>
      </c>
      <c r="R8" s="36"/>
      <c r="S8" s="19"/>
    </row>
    <row r="9" spans="1:22">
      <c r="A9" s="19"/>
      <c r="B9" s="19"/>
      <c r="C9" s="29"/>
      <c r="D9" s="30"/>
      <c r="E9" s="29"/>
      <c r="F9" s="19"/>
      <c r="G9" s="31"/>
      <c r="H9" s="29"/>
      <c r="I9" s="31"/>
      <c r="J9" s="29"/>
      <c r="K9" s="31"/>
      <c r="L9" s="29"/>
      <c r="M9" s="19"/>
      <c r="N9" s="34"/>
      <c r="O9" s="34"/>
      <c r="P9" s="29"/>
      <c r="Q9" s="36" t="s">
        <v>1839</v>
      </c>
      <c r="R9" s="39" t="s">
        <v>1657</v>
      </c>
      <c r="S9" s="19"/>
    </row>
    <row r="10" spans="1:22">
      <c r="A10" s="19"/>
      <c r="B10" s="18" t="s">
        <v>5</v>
      </c>
      <c r="C10" s="29"/>
      <c r="D10" s="37"/>
      <c r="E10" s="29"/>
      <c r="F10" s="19"/>
      <c r="G10" s="38"/>
      <c r="H10" s="29"/>
      <c r="I10" s="38"/>
      <c r="J10" s="29"/>
      <c r="K10" s="34"/>
      <c r="L10" s="29"/>
      <c r="M10" s="19"/>
      <c r="N10" s="38"/>
      <c r="O10" s="38"/>
      <c r="P10" s="29"/>
      <c r="Q10" s="39" t="s">
        <v>56</v>
      </c>
      <c r="R10" s="39"/>
      <c r="S10" s="19"/>
    </row>
    <row r="11" spans="1:22">
      <c r="A11" s="19"/>
      <c r="B11" s="19"/>
      <c r="C11" s="29"/>
      <c r="D11" s="1204" t="s">
        <v>108</v>
      </c>
      <c r="E11" s="1205"/>
      <c r="F11" s="1206"/>
      <c r="G11" s="1206" t="s">
        <v>109</v>
      </c>
      <c r="H11" s="1205"/>
      <c r="I11" s="1206" t="s">
        <v>1844</v>
      </c>
      <c r="J11" s="1205"/>
      <c r="K11" s="1206" t="s">
        <v>1845</v>
      </c>
      <c r="L11" s="1205"/>
      <c r="M11" s="1206"/>
      <c r="N11" s="1206" t="s">
        <v>1846</v>
      </c>
      <c r="O11" s="1206"/>
      <c r="P11" s="1205"/>
      <c r="Q11" s="1205" t="s">
        <v>1847</v>
      </c>
      <c r="R11" s="1207" t="s">
        <v>1848</v>
      </c>
      <c r="S11" s="19"/>
    </row>
    <row r="12" spans="1:22">
      <c r="A12" s="19"/>
      <c r="B12" s="18" t="s">
        <v>6</v>
      </c>
      <c r="C12" s="29"/>
      <c r="D12" s="44"/>
      <c r="E12" s="29"/>
      <c r="F12" s="19"/>
      <c r="G12" s="45"/>
      <c r="H12" s="29"/>
      <c r="I12" s="19"/>
      <c r="J12" s="29"/>
      <c r="K12" s="19"/>
      <c r="L12" s="29"/>
      <c r="M12" s="19"/>
      <c r="N12" s="19"/>
      <c r="O12" s="19"/>
      <c r="P12" s="29"/>
      <c r="Q12" s="29"/>
      <c r="R12" s="29"/>
      <c r="S12" s="19"/>
    </row>
    <row r="13" spans="1:22">
      <c r="A13" s="19">
        <v>1</v>
      </c>
      <c r="B13" s="46" t="s">
        <v>24</v>
      </c>
      <c r="C13" s="47"/>
      <c r="D13" s="48">
        <f>+'Operating Report'!G17</f>
        <v>182902832.87</v>
      </c>
      <c r="E13" s="49"/>
      <c r="F13" s="50"/>
      <c r="G13" s="50">
        <v>6986320.955462968</v>
      </c>
      <c r="H13" s="49"/>
      <c r="I13" s="965">
        <v>5181807.734831797</v>
      </c>
      <c r="J13" s="80"/>
      <c r="K13" s="51">
        <f>+D13+G13+I13</f>
        <v>195070961.56029478</v>
      </c>
      <c r="L13" s="49"/>
      <c r="M13" s="50"/>
      <c r="N13" s="51">
        <f>+'Rev Req Calc'!D21-N14</f>
        <v>-8007123.8682734566</v>
      </c>
      <c r="O13" s="51"/>
      <c r="P13" s="49"/>
      <c r="Q13" s="52">
        <f>+K13+N13</f>
        <v>187063837.69202131</v>
      </c>
      <c r="R13" s="52">
        <f>187063838-190546486</f>
        <v>-3482648</v>
      </c>
      <c r="S13" s="53"/>
      <c r="U13" s="54"/>
      <c r="V13" s="54"/>
    </row>
    <row r="14" spans="1:22">
      <c r="A14" s="19">
        <v>2</v>
      </c>
      <c r="B14" s="46" t="s">
        <v>25</v>
      </c>
      <c r="C14" s="47"/>
      <c r="D14" s="55">
        <f>+'Operating Report'!G21</f>
        <v>21216454.399999999</v>
      </c>
      <c r="E14" s="49"/>
      <c r="F14" s="50"/>
      <c r="G14" s="50">
        <v>-346008.79999999795</v>
      </c>
      <c r="H14" s="49"/>
      <c r="I14" s="965">
        <v>2133460.9</v>
      </c>
      <c r="J14" s="80"/>
      <c r="K14" s="51">
        <f>+D14+G14+I14</f>
        <v>23003906.5</v>
      </c>
      <c r="L14" s="49"/>
      <c r="M14" s="50"/>
      <c r="N14" s="50">
        <v>1200000</v>
      </c>
      <c r="O14" s="50"/>
      <c r="P14" s="49"/>
      <c r="Q14" s="52">
        <f>+K14+N14</f>
        <v>24203906.5</v>
      </c>
      <c r="R14" s="52"/>
      <c r="S14" s="56"/>
      <c r="U14" s="54"/>
      <c r="V14" s="54"/>
    </row>
    <row r="15" spans="1:22">
      <c r="A15" s="19">
        <v>3</v>
      </c>
      <c r="B15" s="46" t="s">
        <v>26</v>
      </c>
      <c r="C15" s="57"/>
      <c r="D15" s="58">
        <f>+'Operating Report'!G26-'Operating Report'!G21</f>
        <v>1011374.9600000009</v>
      </c>
      <c r="E15" s="49"/>
      <c r="F15" s="50"/>
      <c r="G15" s="50">
        <v>0</v>
      </c>
      <c r="H15" s="49"/>
      <c r="I15" s="967">
        <v>87366</v>
      </c>
      <c r="J15" s="80"/>
      <c r="K15" s="51">
        <f>+D15+G15+I15</f>
        <v>1098740.9600000009</v>
      </c>
      <c r="L15" s="49"/>
      <c r="M15" s="50"/>
      <c r="N15" s="50"/>
      <c r="O15" s="50"/>
      <c r="P15" s="49"/>
      <c r="Q15" s="52">
        <f>+K15+N15</f>
        <v>1098740.9600000009</v>
      </c>
      <c r="R15" s="1191"/>
      <c r="S15" s="56"/>
      <c r="U15" s="54"/>
      <c r="V15" s="54"/>
    </row>
    <row r="16" spans="1:22">
      <c r="A16" s="19">
        <v>4</v>
      </c>
      <c r="B16" s="59" t="s">
        <v>1245</v>
      </c>
      <c r="C16" s="47"/>
      <c r="D16" s="55">
        <f>SUM(D13:D15)</f>
        <v>205130662.23000002</v>
      </c>
      <c r="E16" s="49"/>
      <c r="F16" s="50"/>
      <c r="G16" s="60">
        <f>SUM(G13:G15)</f>
        <v>6640312.15546297</v>
      </c>
      <c r="H16" s="49"/>
      <c r="I16" s="965">
        <f>SUM(I13:I15)</f>
        <v>7402634.6348317973</v>
      </c>
      <c r="J16" s="80"/>
      <c r="K16" s="60">
        <f>SUM(K13:K15)</f>
        <v>219173609.02029479</v>
      </c>
      <c r="L16" s="49"/>
      <c r="M16" s="50"/>
      <c r="N16" s="60">
        <f>SUM(N13:N15)</f>
        <v>-6807123.8682734566</v>
      </c>
      <c r="O16" s="54"/>
      <c r="P16" s="49"/>
      <c r="Q16" s="61">
        <f>SUM(Q13:Q15)</f>
        <v>212366485.15202132</v>
      </c>
      <c r="R16" s="62">
        <f>SUM(R13:R15)</f>
        <v>-3482648</v>
      </c>
      <c r="S16" s="56"/>
      <c r="U16" s="54"/>
      <c r="V16" s="54"/>
    </row>
    <row r="17" spans="1:23">
      <c r="A17" s="19"/>
      <c r="B17" s="46"/>
      <c r="C17" s="47"/>
      <c r="D17" s="55"/>
      <c r="E17" s="49"/>
      <c r="F17" s="50"/>
      <c r="G17" s="54"/>
      <c r="H17" s="49"/>
      <c r="I17" s="965"/>
      <c r="J17" s="80"/>
      <c r="K17" s="54"/>
      <c r="L17" s="49"/>
      <c r="M17" s="50"/>
      <c r="N17" s="54"/>
      <c r="O17" s="54"/>
      <c r="P17" s="49"/>
      <c r="Q17" s="62"/>
      <c r="R17" s="62"/>
      <c r="S17" s="56"/>
      <c r="T17" s="1213"/>
      <c r="U17" s="54"/>
      <c r="V17" s="54"/>
      <c r="W17" s="54"/>
    </row>
    <row r="18" spans="1:23">
      <c r="A18" s="19"/>
      <c r="B18" s="59" t="s">
        <v>7</v>
      </c>
      <c r="C18" s="47"/>
      <c r="D18" s="55"/>
      <c r="E18" s="49"/>
      <c r="F18" s="50"/>
      <c r="G18" s="54"/>
      <c r="H18" s="49"/>
      <c r="I18" s="965"/>
      <c r="J18" s="80"/>
      <c r="K18" s="54"/>
      <c r="L18" s="49"/>
      <c r="M18" s="50"/>
      <c r="N18" s="54"/>
      <c r="O18" s="54"/>
      <c r="P18" s="49"/>
      <c r="Q18" s="62"/>
      <c r="R18" s="62"/>
      <c r="S18" s="56"/>
      <c r="U18" s="54"/>
      <c r="V18" s="54"/>
    </row>
    <row r="19" spans="1:23">
      <c r="A19" s="19">
        <v>5</v>
      </c>
      <c r="B19" s="46" t="s">
        <v>1246</v>
      </c>
      <c r="C19" s="47"/>
      <c r="D19" s="55">
        <f>+'Operating Report'!G36</f>
        <v>103593864.52000001</v>
      </c>
      <c r="E19" s="49"/>
      <c r="F19" s="50"/>
      <c r="G19" s="50">
        <v>4981076.2482290007</v>
      </c>
      <c r="H19" s="49"/>
      <c r="I19" s="965">
        <v>0</v>
      </c>
      <c r="J19" s="80"/>
      <c r="K19" s="51">
        <f t="shared" ref="K19:K30" si="0">+D19+G19+I19</f>
        <v>108574940.76822901</v>
      </c>
      <c r="L19" s="49"/>
      <c r="M19" s="50"/>
      <c r="N19" s="50"/>
      <c r="O19" s="50"/>
      <c r="P19" s="49"/>
      <c r="Q19" s="52">
        <f>+K19+N19</f>
        <v>108574940.76822901</v>
      </c>
      <c r="R19" s="52"/>
      <c r="S19" s="56"/>
      <c r="U19" s="54"/>
      <c r="V19" s="63"/>
      <c r="W19" s="54"/>
    </row>
    <row r="20" spans="1:23">
      <c r="A20" s="19">
        <v>6</v>
      </c>
      <c r="B20" s="46" t="s">
        <v>1247</v>
      </c>
      <c r="C20" s="47"/>
      <c r="D20" s="55">
        <f>+'Operating Report'!G52</f>
        <v>16946340.530000001</v>
      </c>
      <c r="E20" s="49"/>
      <c r="F20" s="50"/>
      <c r="G20" s="50">
        <v>269065.44853935961</v>
      </c>
      <c r="H20" s="49"/>
      <c r="I20" s="965">
        <v>299954.75540338439</v>
      </c>
      <c r="J20" s="80"/>
      <c r="K20" s="51">
        <f t="shared" si="0"/>
        <v>17515360.733942747</v>
      </c>
      <c r="L20" s="49"/>
      <c r="M20" s="50"/>
      <c r="N20" s="50">
        <f>+N16*('Conversion Factor using 21%'!C9+'Conversion Factor using 21%'!C10)</f>
        <v>-275824.65914244048</v>
      </c>
      <c r="O20" s="50"/>
      <c r="P20" s="49"/>
      <c r="Q20" s="64">
        <f>+K20+N20</f>
        <v>17239536.074800305</v>
      </c>
      <c r="R20" s="52">
        <f>17239536-17380653</f>
        <v>-141117</v>
      </c>
      <c r="S20" s="56"/>
      <c r="U20" s="54"/>
    </row>
    <row r="21" spans="1:23">
      <c r="A21" s="19">
        <v>7</v>
      </c>
      <c r="B21" s="65" t="s">
        <v>28</v>
      </c>
      <c r="C21" s="47"/>
      <c r="D21" s="55">
        <f>+'Operating Report'!G56</f>
        <v>518988.74</v>
      </c>
      <c r="E21" s="49"/>
      <c r="F21" s="50"/>
      <c r="G21" s="50">
        <v>0</v>
      </c>
      <c r="H21" s="49"/>
      <c r="I21" s="965">
        <v>7924.4900311199854</v>
      </c>
      <c r="J21" s="80"/>
      <c r="K21" s="51">
        <f t="shared" si="0"/>
        <v>526913.23003112001</v>
      </c>
      <c r="L21" s="49"/>
      <c r="M21" s="50"/>
      <c r="N21" s="50"/>
      <c r="O21" s="50"/>
      <c r="P21" s="49"/>
      <c r="Q21" s="52">
        <f t="shared" ref="Q21:Q30" si="1">+K21+N21</f>
        <v>526913.23003112001</v>
      </c>
      <c r="R21" s="52"/>
      <c r="S21" s="66"/>
      <c r="U21" s="67"/>
      <c r="W21" s="67"/>
    </row>
    <row r="22" spans="1:23">
      <c r="A22" s="19">
        <v>8</v>
      </c>
      <c r="B22" s="65" t="s">
        <v>8</v>
      </c>
      <c r="C22" s="47"/>
      <c r="D22" s="55">
        <f>+'Operating Report'!G84</f>
        <v>16326277.390000001</v>
      </c>
      <c r="E22" s="49"/>
      <c r="F22" s="50"/>
      <c r="G22" s="50">
        <v>67686.843944628941</v>
      </c>
      <c r="H22" s="49"/>
      <c r="I22" s="965">
        <v>914844.85815534927</v>
      </c>
      <c r="J22" s="80"/>
      <c r="K22" s="51">
        <f t="shared" si="0"/>
        <v>17308809.09209998</v>
      </c>
      <c r="L22" s="49"/>
      <c r="M22" s="50"/>
      <c r="N22" s="50"/>
      <c r="O22" s="50"/>
      <c r="P22" s="49"/>
      <c r="Q22" s="52">
        <f t="shared" si="1"/>
        <v>17308809.09209998</v>
      </c>
      <c r="R22" s="52"/>
      <c r="S22" s="66"/>
      <c r="U22" s="68"/>
      <c r="W22" s="67"/>
    </row>
    <row r="23" spans="1:23">
      <c r="A23" s="19">
        <v>9</v>
      </c>
      <c r="B23" s="65" t="s">
        <v>29</v>
      </c>
      <c r="C23" s="47"/>
      <c r="D23" s="55">
        <f>+'Operating Report'!G92</f>
        <v>6383108.290000001</v>
      </c>
      <c r="E23" s="49"/>
      <c r="F23" s="50"/>
      <c r="G23" s="50">
        <v>28990.493716057063</v>
      </c>
      <c r="H23" s="49"/>
      <c r="I23" s="965">
        <v>68968.896126038773</v>
      </c>
      <c r="J23" s="80"/>
      <c r="K23" s="51">
        <f t="shared" si="0"/>
        <v>6481067.6798420968</v>
      </c>
      <c r="L23" s="49"/>
      <c r="M23" s="50"/>
      <c r="N23" s="50">
        <f>+N16*'Conversion Factor using 21%'!C8</f>
        <v>-25819.657707481412</v>
      </c>
      <c r="O23" s="50"/>
      <c r="P23" s="49"/>
      <c r="Q23" s="52">
        <f t="shared" si="1"/>
        <v>6455248.0221346151</v>
      </c>
      <c r="R23" s="52">
        <f>6455248-6468458</f>
        <v>-13210</v>
      </c>
      <c r="S23" s="66"/>
      <c r="W23" s="67"/>
    </row>
    <row r="24" spans="1:23">
      <c r="A24" s="19">
        <v>10</v>
      </c>
      <c r="B24" s="65" t="s">
        <v>9</v>
      </c>
      <c r="C24" s="47"/>
      <c r="D24" s="55">
        <f>+'Operating Report'!G99</f>
        <v>824095.64</v>
      </c>
      <c r="E24" s="49"/>
      <c r="F24" s="50"/>
      <c r="G24" s="50">
        <v>-533333.36</v>
      </c>
      <c r="H24" s="49"/>
      <c r="I24" s="965">
        <v>0</v>
      </c>
      <c r="J24" s="80"/>
      <c r="K24" s="51">
        <f t="shared" si="0"/>
        <v>290762.28000000003</v>
      </c>
      <c r="L24" s="49"/>
      <c r="M24" s="50"/>
      <c r="N24" s="50"/>
      <c r="O24" s="50"/>
      <c r="P24" s="49"/>
      <c r="Q24" s="52">
        <f t="shared" si="1"/>
        <v>290762.28000000003</v>
      </c>
      <c r="R24" s="52"/>
      <c r="S24" s="66"/>
    </row>
    <row r="25" spans="1:23">
      <c r="A25" s="19">
        <v>11</v>
      </c>
      <c r="B25" s="65" t="s">
        <v>10</v>
      </c>
      <c r="C25" s="47"/>
      <c r="D25" s="55">
        <f>+'Operating Report'!G106</f>
        <v>4916.59</v>
      </c>
      <c r="E25" s="49"/>
      <c r="F25" s="50"/>
      <c r="G25" s="50">
        <v>-4916.5899999999992</v>
      </c>
      <c r="H25" s="49"/>
      <c r="I25" s="965">
        <v>0</v>
      </c>
      <c r="J25" s="80"/>
      <c r="K25" s="51">
        <f t="shared" si="0"/>
        <v>9.0949470177292824E-13</v>
      </c>
      <c r="L25" s="49"/>
      <c r="M25" s="50"/>
      <c r="N25" s="69"/>
      <c r="O25" s="69"/>
      <c r="P25" s="49"/>
      <c r="Q25" s="52">
        <f t="shared" si="1"/>
        <v>9.0949470177292824E-13</v>
      </c>
      <c r="R25" s="52"/>
      <c r="S25" s="66"/>
    </row>
    <row r="26" spans="1:23">
      <c r="A26" s="19">
        <v>12</v>
      </c>
      <c r="B26" s="65" t="s">
        <v>11</v>
      </c>
      <c r="C26" s="57"/>
      <c r="D26" s="55">
        <f>+'Operating Report'!G122</f>
        <v>16459957.959999999</v>
      </c>
      <c r="E26" s="49"/>
      <c r="F26" s="50"/>
      <c r="G26" s="50">
        <v>-1805094.2512815839</v>
      </c>
      <c r="H26" s="49"/>
      <c r="I26" s="965">
        <v>402629.20704709634</v>
      </c>
      <c r="J26" s="80"/>
      <c r="K26" s="51">
        <f t="shared" si="0"/>
        <v>15057492.915765511</v>
      </c>
      <c r="L26" s="49"/>
      <c r="M26" s="50"/>
      <c r="N26" s="69"/>
      <c r="O26" s="69"/>
      <c r="P26" s="49"/>
      <c r="Q26" s="52">
        <f t="shared" si="1"/>
        <v>15057492.915765511</v>
      </c>
      <c r="R26" s="52"/>
      <c r="S26" s="53"/>
    </row>
    <row r="27" spans="1:23">
      <c r="A27" s="19">
        <v>13</v>
      </c>
      <c r="B27" s="65" t="s">
        <v>30</v>
      </c>
      <c r="C27" s="47"/>
      <c r="D27" s="48">
        <f>+'Operating Report'!G134</f>
        <v>19218442.350000001</v>
      </c>
      <c r="E27" s="49"/>
      <c r="F27" s="50"/>
      <c r="G27" s="50">
        <v>0</v>
      </c>
      <c r="H27" s="49"/>
      <c r="I27" s="965">
        <v>230313.81653059204</v>
      </c>
      <c r="J27" s="80"/>
      <c r="K27" s="51">
        <f t="shared" si="0"/>
        <v>19448756.166530594</v>
      </c>
      <c r="L27" s="49"/>
      <c r="M27" s="50"/>
      <c r="N27" s="69"/>
      <c r="O27" s="69"/>
      <c r="P27" s="49"/>
      <c r="Q27" s="52">
        <f t="shared" si="1"/>
        <v>19448756.166530594</v>
      </c>
      <c r="R27" s="52"/>
      <c r="S27" s="56"/>
    </row>
    <row r="28" spans="1:23">
      <c r="A28" s="19">
        <v>14</v>
      </c>
      <c r="B28" s="65" t="s">
        <v>31</v>
      </c>
      <c r="C28" s="47"/>
      <c r="D28" s="70"/>
      <c r="E28" s="49"/>
      <c r="F28" s="50"/>
      <c r="G28" s="50">
        <v>0</v>
      </c>
      <c r="H28" s="49"/>
      <c r="I28" s="965">
        <v>0</v>
      </c>
      <c r="J28" s="80"/>
      <c r="K28" s="51">
        <f t="shared" si="0"/>
        <v>0</v>
      </c>
      <c r="L28" s="49"/>
      <c r="M28" s="50"/>
      <c r="N28" s="50"/>
      <c r="O28" s="50"/>
      <c r="P28" s="49"/>
      <c r="Q28" s="52">
        <f t="shared" si="1"/>
        <v>0</v>
      </c>
      <c r="R28" s="52"/>
      <c r="S28" s="56"/>
    </row>
    <row r="29" spans="1:23">
      <c r="A29" s="19">
        <v>15</v>
      </c>
      <c r="B29" s="65" t="s">
        <v>32</v>
      </c>
      <c r="C29" s="47"/>
      <c r="D29" s="55">
        <f>+'Operating Report'!G139</f>
        <v>4095633.81</v>
      </c>
      <c r="E29" s="49"/>
      <c r="F29" s="50"/>
      <c r="G29" s="50">
        <v>5473.850499682937</v>
      </c>
      <c r="H29" s="965"/>
      <c r="I29" s="968">
        <v>135947.87560586585</v>
      </c>
      <c r="J29" s="80"/>
      <c r="K29" s="51">
        <f t="shared" si="0"/>
        <v>4237055.536105549</v>
      </c>
      <c r="L29" s="49"/>
      <c r="M29" s="50"/>
      <c r="N29" s="50"/>
      <c r="O29" s="50"/>
      <c r="P29" s="49"/>
      <c r="Q29" s="52">
        <f t="shared" si="1"/>
        <v>4237055.536105549</v>
      </c>
      <c r="R29" s="52"/>
      <c r="S29" s="56"/>
      <c r="U29" s="67"/>
    </row>
    <row r="30" spans="1:23">
      <c r="A30" s="19">
        <v>16</v>
      </c>
      <c r="B30" s="65" t="s">
        <v>33</v>
      </c>
      <c r="C30" s="47"/>
      <c r="D30" s="1203">
        <f>+'Operating Report'!G148</f>
        <v>2477671.574</v>
      </c>
      <c r="E30" s="49"/>
      <c r="F30" s="50"/>
      <c r="G30" s="50">
        <v>762586.82908132311</v>
      </c>
      <c r="H30" s="965"/>
      <c r="I30" s="968">
        <v>1333623.546686657</v>
      </c>
      <c r="J30" s="80"/>
      <c r="K30" s="51">
        <f t="shared" si="0"/>
        <v>4573881.9497679798</v>
      </c>
      <c r="L30" s="49"/>
      <c r="M30" s="50"/>
      <c r="N30" s="50">
        <f>(+N16-N20-N23)*'Conversion Factor using 21%'!C31</f>
        <v>-1366150.7057989424</v>
      </c>
      <c r="O30" s="50"/>
      <c r="P30" s="49"/>
      <c r="Q30" s="52">
        <f t="shared" si="1"/>
        <v>3207731.2439690372</v>
      </c>
      <c r="R30" s="1199">
        <f>3207731-6536052</f>
        <v>-3328321</v>
      </c>
      <c r="S30" s="56"/>
      <c r="U30" s="67"/>
    </row>
    <row r="31" spans="1:23" ht="16.2" thickBot="1">
      <c r="A31" s="19">
        <v>17</v>
      </c>
      <c r="B31" s="71" t="s">
        <v>34</v>
      </c>
      <c r="C31" s="29"/>
      <c r="D31" s="1192">
        <f>SUM(D19:D30)</f>
        <v>186849297.39399999</v>
      </c>
      <c r="E31" s="1193"/>
      <c r="F31" s="69"/>
      <c r="G31" s="1194">
        <f>SUM(G19:G30)</f>
        <v>3771535.5127284685</v>
      </c>
      <c r="H31" s="1200"/>
      <c r="I31" s="1201">
        <f>SUM(I19:I30)</f>
        <v>3394207.4455861039</v>
      </c>
      <c r="J31" s="1195"/>
      <c r="K31" s="1194">
        <f>SUM(K19:K30)</f>
        <v>194015040.35231459</v>
      </c>
      <c r="L31" s="1193"/>
      <c r="M31" s="69"/>
      <c r="N31" s="1194">
        <f>SUM(N19:N30)</f>
        <v>-1667795.0226488642</v>
      </c>
      <c r="O31" s="1196"/>
      <c r="P31" s="1193"/>
      <c r="Q31" s="1197">
        <f>SUM(Q19:Q30)</f>
        <v>192347245.32966569</v>
      </c>
      <c r="R31" s="1197">
        <f>SUM(R19:R30)</f>
        <v>-3482648</v>
      </c>
      <c r="S31" s="53"/>
      <c r="U31" s="67"/>
    </row>
    <row r="32" spans="1:23" ht="16.8" thickTop="1" thickBot="1">
      <c r="A32" s="19">
        <v>18</v>
      </c>
      <c r="B32" s="71" t="s">
        <v>1849</v>
      </c>
      <c r="C32" s="29"/>
      <c r="D32" s="1192">
        <f>+D16-D31</f>
        <v>18281364.836000025</v>
      </c>
      <c r="E32" s="1193"/>
      <c r="F32" s="69"/>
      <c r="G32" s="1194">
        <f>+G16-G31</f>
        <v>2868776.6427345015</v>
      </c>
      <c r="H32" s="1194"/>
      <c r="I32" s="1202">
        <f>I16-I31</f>
        <v>4008427.1892456934</v>
      </c>
      <c r="J32" s="1195"/>
      <c r="K32" s="1194">
        <f>+K16-K31</f>
        <v>25158568.667980194</v>
      </c>
      <c r="L32" s="1193"/>
      <c r="M32" s="69"/>
      <c r="N32" s="1194">
        <f>+N16-N31</f>
        <v>-5139328.8456245922</v>
      </c>
      <c r="O32" s="1196"/>
      <c r="P32" s="1193"/>
      <c r="Q32" s="1197">
        <f>+Q16-Q31</f>
        <v>20019239.822355628</v>
      </c>
      <c r="R32" s="1197">
        <f>+R16-R31</f>
        <v>0</v>
      </c>
      <c r="S32" s="53"/>
      <c r="U32" s="76"/>
    </row>
    <row r="33" spans="1:21" ht="16.2" thickTop="1">
      <c r="A33" s="19"/>
      <c r="B33" s="71"/>
      <c r="C33" s="29"/>
      <c r="D33" s="1198"/>
      <c r="E33" s="1193"/>
      <c r="F33" s="69"/>
      <c r="G33" s="1196"/>
      <c r="H33" s="1196"/>
      <c r="I33" s="1198"/>
      <c r="J33" s="1195"/>
      <c r="K33" s="1196"/>
      <c r="L33" s="1193"/>
      <c r="M33" s="69"/>
      <c r="N33" s="1196"/>
      <c r="O33" s="1196"/>
      <c r="P33" s="1193"/>
      <c r="Q33" s="1199"/>
      <c r="R33" s="1199"/>
      <c r="S33" s="53"/>
      <c r="U33" s="76"/>
    </row>
    <row r="34" spans="1:21">
      <c r="A34" s="19"/>
      <c r="B34" s="71" t="s">
        <v>35</v>
      </c>
      <c r="C34" s="47"/>
      <c r="D34" s="79"/>
      <c r="E34" s="49"/>
      <c r="F34" s="50"/>
      <c r="G34" s="50"/>
      <c r="H34" s="965"/>
      <c r="I34" s="968"/>
      <c r="J34" s="80"/>
      <c r="K34" s="50"/>
      <c r="L34" s="49"/>
      <c r="M34" s="50"/>
      <c r="N34" s="50"/>
      <c r="O34" s="50"/>
      <c r="P34" s="49"/>
      <c r="Q34" s="80"/>
      <c r="R34" s="80"/>
      <c r="S34" s="66"/>
    </row>
    <row r="35" spans="1:21">
      <c r="A35" s="19">
        <v>19</v>
      </c>
      <c r="B35" s="46" t="s">
        <v>37</v>
      </c>
      <c r="C35" s="47"/>
      <c r="D35" s="48">
        <f>+'Rate Base'!D13</f>
        <v>677314165.18981874</v>
      </c>
      <c r="E35" s="49"/>
      <c r="F35" s="50"/>
      <c r="G35" s="50">
        <v>0</v>
      </c>
      <c r="H35" s="49"/>
      <c r="I35" s="965">
        <v>10548581.277154002</v>
      </c>
      <c r="J35" s="80"/>
      <c r="K35" s="51">
        <f>+D35+G35+I35</f>
        <v>687862746.46697271</v>
      </c>
      <c r="L35" s="49"/>
      <c r="M35" s="50"/>
      <c r="N35" s="51"/>
      <c r="O35" s="51"/>
      <c r="P35" s="49"/>
      <c r="Q35" s="52">
        <f t="shared" ref="Q35:Q39" si="2">+K35+N35</f>
        <v>687862746.46697271</v>
      </c>
      <c r="R35" s="52"/>
      <c r="S35" s="53"/>
    </row>
    <row r="36" spans="1:21">
      <c r="A36" s="19">
        <v>20</v>
      </c>
      <c r="B36" s="46" t="s">
        <v>38</v>
      </c>
      <c r="C36" s="47"/>
      <c r="D36" s="55">
        <f>+'Rate Base'!D14</f>
        <v>-345424354.83661753</v>
      </c>
      <c r="E36" s="49"/>
      <c r="F36" s="50"/>
      <c r="G36" s="50">
        <v>0</v>
      </c>
      <c r="H36" s="49"/>
      <c r="I36" s="965">
        <v>-115156.90826529602</v>
      </c>
      <c r="J36" s="80"/>
      <c r="K36" s="51">
        <f>+D36+G36+I36</f>
        <v>-345539511.74488282</v>
      </c>
      <c r="L36" s="49"/>
      <c r="M36" s="50"/>
      <c r="N36" s="51"/>
      <c r="O36" s="51"/>
      <c r="P36" s="49"/>
      <c r="Q36" s="52">
        <f t="shared" si="2"/>
        <v>-345539511.74488282</v>
      </c>
      <c r="R36" s="52"/>
      <c r="S36" s="56"/>
    </row>
    <row r="37" spans="1:21">
      <c r="A37" s="19">
        <v>21</v>
      </c>
      <c r="B37" s="57" t="s">
        <v>12</v>
      </c>
      <c r="C37" s="57"/>
      <c r="D37" s="55">
        <f>+'Rate Base'!D16</f>
        <v>-3771590.387083333</v>
      </c>
      <c r="E37" s="49"/>
      <c r="F37" s="50"/>
      <c r="G37" s="50">
        <v>0</v>
      </c>
      <c r="H37" s="49"/>
      <c r="I37" s="965">
        <v>0</v>
      </c>
      <c r="J37" s="80"/>
      <c r="K37" s="51">
        <f>+D37+G37+I37</f>
        <v>-3771590.387083333</v>
      </c>
      <c r="L37" s="49"/>
      <c r="M37" s="50"/>
      <c r="N37" s="51"/>
      <c r="O37" s="51"/>
      <c r="P37" s="49"/>
      <c r="Q37" s="52">
        <f t="shared" si="2"/>
        <v>-3771590.387083333</v>
      </c>
      <c r="R37" s="52"/>
      <c r="S37" s="56"/>
    </row>
    <row r="38" spans="1:21">
      <c r="A38" s="19">
        <v>22</v>
      </c>
      <c r="B38" s="57" t="s">
        <v>39</v>
      </c>
      <c r="C38" s="47"/>
      <c r="D38" s="55">
        <f>+'Rate Base'!D17</f>
        <v>-73667038.139583334</v>
      </c>
      <c r="E38" s="49"/>
      <c r="F38" s="50"/>
      <c r="G38" s="50">
        <v>0</v>
      </c>
      <c r="H38" s="49"/>
      <c r="I38" s="965">
        <v>-28920.146738469524</v>
      </c>
      <c r="J38" s="80"/>
      <c r="K38" s="51">
        <f>+D38+G38+I38</f>
        <v>-73695958.286321804</v>
      </c>
      <c r="L38" s="49"/>
      <c r="M38" s="50"/>
      <c r="N38" s="51"/>
      <c r="O38" s="51"/>
      <c r="P38" s="49"/>
      <c r="Q38" s="52">
        <f t="shared" si="2"/>
        <v>-73695958.286321804</v>
      </c>
      <c r="R38" s="52"/>
      <c r="S38" s="56"/>
    </row>
    <row r="39" spans="1:21">
      <c r="A39" s="19">
        <v>23</v>
      </c>
      <c r="B39" s="57" t="s">
        <v>40</v>
      </c>
      <c r="C39" s="47"/>
      <c r="D39" s="55">
        <f>+'Rate Base'!D18</f>
        <v>25610869.595646363</v>
      </c>
      <c r="E39" s="49"/>
      <c r="F39" s="50"/>
      <c r="G39" s="50">
        <v>-12922679</v>
      </c>
      <c r="H39" s="49"/>
      <c r="I39" s="967">
        <v>0</v>
      </c>
      <c r="J39" s="80"/>
      <c r="K39" s="51">
        <f>+D39+G39+I39</f>
        <v>12688190.595646363</v>
      </c>
      <c r="L39" s="49"/>
      <c r="M39" s="50"/>
      <c r="N39" s="51"/>
      <c r="O39" s="51"/>
      <c r="P39" s="49"/>
      <c r="Q39" s="52">
        <f t="shared" si="2"/>
        <v>12688190.595646363</v>
      </c>
      <c r="R39" s="52"/>
      <c r="S39" s="56"/>
    </row>
    <row r="40" spans="1:21" ht="16.2" thickBot="1">
      <c r="A40" s="19">
        <v>24</v>
      </c>
      <c r="B40" s="71" t="s">
        <v>36</v>
      </c>
      <c r="C40" s="19"/>
      <c r="D40" s="81">
        <f>SUM(D35:D39)</f>
        <v>280062051.42218089</v>
      </c>
      <c r="E40" s="49"/>
      <c r="F40" s="50"/>
      <c r="G40" s="81">
        <f>SUM(G35:G39)</f>
        <v>-12922679</v>
      </c>
      <c r="H40" s="49"/>
      <c r="I40" s="969">
        <f>SUM(I35:I39)</f>
        <v>10404504.222150236</v>
      </c>
      <c r="J40" s="80"/>
      <c r="K40" s="966">
        <f>SUM(K35:K39)</f>
        <v>277543876.6443311</v>
      </c>
      <c r="L40" s="49"/>
      <c r="M40" s="50"/>
      <c r="N40" s="81">
        <f>SUM(N35:N39)</f>
        <v>0</v>
      </c>
      <c r="O40" s="77"/>
      <c r="P40" s="49"/>
      <c r="Q40" s="81">
        <f>SUM(Q35:Q39)</f>
        <v>277543876.6443311</v>
      </c>
      <c r="R40" s="81">
        <f>SUM(R35:R39)</f>
        <v>0</v>
      </c>
      <c r="S40" s="53"/>
    </row>
    <row r="41" spans="1:21" ht="16.2" thickTop="1">
      <c r="A41" s="19">
        <v>25</v>
      </c>
      <c r="B41" s="71" t="s">
        <v>13</v>
      </c>
      <c r="C41" s="47"/>
      <c r="D41" s="82">
        <f>+D32/D40</f>
        <v>6.5276122713397153E-2</v>
      </c>
      <c r="E41" s="29"/>
      <c r="F41" s="19"/>
      <c r="G41" s="19"/>
      <c r="H41" s="29"/>
      <c r="I41" s="19"/>
      <c r="J41" s="29"/>
      <c r="K41" s="83">
        <f>+K32/K40</f>
        <v>9.0647176122788595E-2</v>
      </c>
      <c r="L41" s="29"/>
      <c r="M41" s="19"/>
      <c r="N41" s="84"/>
      <c r="O41" s="84"/>
      <c r="P41" s="29"/>
      <c r="Q41" s="85">
        <f>+Q32/Q40</f>
        <v>7.2130000000000097E-2</v>
      </c>
      <c r="R41" s="85"/>
      <c r="S41" s="19"/>
    </row>
    <row r="42" spans="1:21">
      <c r="A42" s="86"/>
      <c r="B42" s="87"/>
      <c r="C42" s="88"/>
      <c r="D42" s="89"/>
      <c r="E42" s="41"/>
      <c r="F42" s="42"/>
      <c r="G42" s="42"/>
      <c r="H42" s="41"/>
      <c r="I42" s="42"/>
      <c r="J42" s="41"/>
      <c r="K42" s="90"/>
      <c r="L42" s="41"/>
      <c r="M42" s="42"/>
      <c r="N42" s="42"/>
      <c r="O42" s="42"/>
      <c r="P42" s="42"/>
      <c r="Q42" s="91"/>
      <c r="R42" s="1190"/>
      <c r="S42" s="19"/>
    </row>
    <row r="43" spans="1:21">
      <c r="A43" s="20"/>
      <c r="B43" s="20"/>
      <c r="C43" s="20"/>
      <c r="D43" s="20"/>
      <c r="E43" s="20"/>
      <c r="F43" s="20"/>
      <c r="G43" s="20"/>
      <c r="H43" s="20"/>
      <c r="I43" s="20"/>
      <c r="J43" s="20"/>
      <c r="K43" s="20"/>
      <c r="L43" s="20"/>
      <c r="M43" s="20"/>
      <c r="N43" s="20"/>
      <c r="O43" s="20"/>
      <c r="P43" s="20"/>
      <c r="Q43" s="20"/>
      <c r="R43" s="20"/>
      <c r="S43" s="20"/>
    </row>
    <row r="45" spans="1:21">
      <c r="N45" s="93"/>
    </row>
    <row r="47" spans="1:21">
      <c r="N47" s="68"/>
    </row>
  </sheetData>
  <mergeCells count="3">
    <mergeCell ref="A1:R1"/>
    <mergeCell ref="A2:R2"/>
    <mergeCell ref="A3:R3"/>
  </mergeCells>
  <printOptions horizontalCentered="1"/>
  <pageMargins left="0.5" right="0.5" top="1" bottom="1" header="0.3" footer="0.3"/>
  <pageSetup scale="70" orientation="landscape" r:id="rId1"/>
  <headerFooter scaleWithDoc="0" alignWithMargins="0">
    <oddHeader>&amp;RExh.   BAE-9
Docket UG-170929
Page 1 of 1</oddHeader>
    <oddFooter>&amp;L&amp;F&amp;C&amp;A&amp;R&amp;D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L35"/>
  <sheetViews>
    <sheetView zoomScaleNormal="100" workbookViewId="0">
      <selection activeCell="A3" sqref="A3:E3"/>
    </sheetView>
  </sheetViews>
  <sheetFormatPr defaultColWidth="9.109375" defaultRowHeight="15.6"/>
  <cols>
    <col min="1" max="1" width="10.109375" style="463" customWidth="1"/>
    <col min="2" max="2" width="61.88671875" style="124" bestFit="1" customWidth="1"/>
    <col min="3" max="3" width="18" style="124" bestFit="1" customWidth="1"/>
    <col min="4" max="4" width="12.6640625" style="124" bestFit="1" customWidth="1"/>
    <col min="5" max="16384" width="9.109375" style="124"/>
  </cols>
  <sheetData>
    <row r="1" spans="1:12">
      <c r="A1" s="1229" t="s">
        <v>54</v>
      </c>
      <c r="B1" s="1229"/>
      <c r="C1" s="1229"/>
      <c r="D1" s="1229"/>
      <c r="E1" s="1229"/>
      <c r="F1" s="2"/>
      <c r="G1" s="2"/>
      <c r="H1" s="2"/>
      <c r="I1" s="2"/>
      <c r="J1" s="2"/>
      <c r="K1" s="2"/>
      <c r="L1" s="2"/>
    </row>
    <row r="2" spans="1:12">
      <c r="A2" s="1229" t="s">
        <v>1261</v>
      </c>
      <c r="B2" s="1229"/>
      <c r="C2" s="1229"/>
      <c r="D2" s="1229"/>
      <c r="E2" s="1229"/>
      <c r="F2" s="2"/>
      <c r="G2" s="2"/>
      <c r="H2" s="2"/>
      <c r="I2" s="2"/>
      <c r="J2" s="2"/>
      <c r="K2" s="2"/>
      <c r="L2" s="2"/>
    </row>
    <row r="3" spans="1:12">
      <c r="A3" s="1229"/>
      <c r="B3" s="1229"/>
      <c r="C3" s="1229"/>
      <c r="D3" s="1229"/>
      <c r="E3" s="1229"/>
      <c r="F3" s="2"/>
      <c r="G3" s="2"/>
      <c r="H3" s="2"/>
      <c r="I3" s="2"/>
      <c r="J3" s="2"/>
      <c r="K3" s="2"/>
      <c r="L3" s="2"/>
    </row>
    <row r="4" spans="1:12">
      <c r="A4" s="1229" t="s">
        <v>1267</v>
      </c>
      <c r="B4" s="1229"/>
      <c r="C4" s="1229"/>
      <c r="D4" s="1229"/>
      <c r="E4" s="1229"/>
      <c r="F4" s="2"/>
      <c r="G4" s="2"/>
      <c r="H4" s="2"/>
      <c r="I4" s="2"/>
      <c r="J4" s="2"/>
      <c r="K4" s="2"/>
      <c r="L4" s="2"/>
    </row>
    <row r="5" spans="1:12">
      <c r="A5" s="1229" t="s">
        <v>953</v>
      </c>
      <c r="B5" s="1229"/>
      <c r="C5" s="1229"/>
      <c r="D5" s="1229"/>
      <c r="E5" s="1229"/>
      <c r="F5" s="2"/>
      <c r="G5" s="2"/>
      <c r="H5" s="2"/>
      <c r="I5" s="2"/>
      <c r="J5" s="2"/>
      <c r="K5" s="2"/>
      <c r="L5" s="2"/>
    </row>
    <row r="8" spans="1:12" s="463" customFormat="1">
      <c r="A8" s="513" t="s">
        <v>883</v>
      </c>
      <c r="B8" s="463" t="s">
        <v>1272</v>
      </c>
      <c r="C8" s="463" t="s">
        <v>1270</v>
      </c>
      <c r="D8" s="463" t="s">
        <v>1271</v>
      </c>
      <c r="E8" s="463" t="s">
        <v>1274</v>
      </c>
    </row>
    <row r="9" spans="1:12">
      <c r="A9" s="463">
        <v>1</v>
      </c>
      <c r="B9" s="124" t="s">
        <v>1241</v>
      </c>
      <c r="C9" s="542"/>
      <c r="D9" s="542">
        <v>14908023</v>
      </c>
    </row>
    <row r="10" spans="1:12" ht="16.2" thickBot="1">
      <c r="A10" s="463">
        <v>2</v>
      </c>
      <c r="B10" s="124" t="s">
        <v>1242</v>
      </c>
      <c r="C10" s="542"/>
      <c r="D10" s="543">
        <f>+'CRM Adjustment (b)'!AA79</f>
        <v>11884345.086249998</v>
      </c>
    </row>
    <row r="11" spans="1:12">
      <c r="A11" s="463">
        <v>3</v>
      </c>
      <c r="B11" s="124" t="s">
        <v>1243</v>
      </c>
      <c r="C11" s="542"/>
      <c r="D11" s="544">
        <f>+D9-D10</f>
        <v>3023677.9137500022</v>
      </c>
    </row>
    <row r="12" spans="1:12">
      <c r="C12" s="542"/>
      <c r="D12" s="542"/>
    </row>
    <row r="13" spans="1:12">
      <c r="C13" s="542"/>
      <c r="D13" s="542"/>
    </row>
    <row r="14" spans="1:12">
      <c r="A14" s="463">
        <v>4</v>
      </c>
      <c r="B14" s="124" t="s">
        <v>879</v>
      </c>
      <c r="C14" s="544">
        <f>+D11</f>
        <v>3023677.9137500022</v>
      </c>
      <c r="D14" s="542"/>
    </row>
    <row r="15" spans="1:12">
      <c r="C15" s="542"/>
      <c r="D15" s="542"/>
      <c r="E15" s="514" t="s">
        <v>1512</v>
      </c>
    </row>
    <row r="16" spans="1:12">
      <c r="A16" s="463">
        <v>5</v>
      </c>
      <c r="B16" s="124" t="s">
        <v>885</v>
      </c>
      <c r="C16" s="542">
        <f>+C14*0.0258</f>
        <v>78010.890174750049</v>
      </c>
      <c r="D16" s="542"/>
      <c r="E16" s="514">
        <f>+C16</f>
        <v>78010.890174750049</v>
      </c>
    </row>
    <row r="17" spans="1:6">
      <c r="A17" s="463">
        <v>6</v>
      </c>
      <c r="B17" s="124" t="s">
        <v>886</v>
      </c>
      <c r="C17" s="544">
        <f>+C16/2</f>
        <v>39005.445087375025</v>
      </c>
      <c r="D17" s="542"/>
      <c r="E17" s="514"/>
      <c r="F17" s="514"/>
    </row>
    <row r="18" spans="1:6">
      <c r="A18" s="463">
        <v>7</v>
      </c>
      <c r="B18" s="124" t="s">
        <v>887</v>
      </c>
      <c r="C18" s="542">
        <f>+C14*0.0375</f>
        <v>113387.92176562508</v>
      </c>
      <c r="D18" s="542"/>
      <c r="E18" s="514"/>
      <c r="F18" s="514"/>
    </row>
    <row r="19" spans="1:6" ht="16.2" thickBot="1">
      <c r="A19" s="463">
        <v>8</v>
      </c>
      <c r="B19" s="124" t="s">
        <v>98</v>
      </c>
      <c r="C19" s="542">
        <f>(+C18-C16)*0.35</f>
        <v>12381.961056806262</v>
      </c>
      <c r="D19" s="542"/>
      <c r="E19" s="514"/>
      <c r="F19" s="514"/>
    </row>
    <row r="20" spans="1:6" ht="16.2" thickBot="1">
      <c r="A20" s="463">
        <v>9</v>
      </c>
      <c r="B20" s="124" t="s">
        <v>888</v>
      </c>
      <c r="C20" s="544">
        <f>+C19/2</f>
        <v>6190.9805284031308</v>
      </c>
      <c r="D20" s="958"/>
      <c r="E20" s="514"/>
      <c r="F20" s="514"/>
    </row>
    <row r="21" spans="1:6">
      <c r="C21" s="542"/>
      <c r="D21" s="542"/>
      <c r="E21" s="514"/>
      <c r="F21" s="514"/>
    </row>
    <row r="22" spans="1:6">
      <c r="C22" s="542"/>
      <c r="D22" s="542"/>
      <c r="E22" s="514"/>
      <c r="F22" s="514"/>
    </row>
    <row r="23" spans="1:6">
      <c r="A23" s="463">
        <v>10</v>
      </c>
      <c r="B23" s="124" t="s">
        <v>889</v>
      </c>
      <c r="C23" s="545">
        <f>+C14-C17-C20</f>
        <v>2978481.488134224</v>
      </c>
      <c r="D23" s="542"/>
      <c r="E23" s="514"/>
    </row>
    <row r="24" spans="1:6">
      <c r="C24" s="542"/>
      <c r="D24" s="542"/>
    </row>
    <row r="25" spans="1:6">
      <c r="C25" s="542"/>
      <c r="D25" s="542"/>
      <c r="F25" s="546"/>
    </row>
    <row r="26" spans="1:6">
      <c r="C26" s="546"/>
      <c r="D26" s="546"/>
      <c r="E26" s="546"/>
      <c r="F26" s="546"/>
    </row>
    <row r="27" spans="1:6">
      <c r="C27" s="546"/>
      <c r="D27" s="546"/>
      <c r="E27" s="546"/>
    </row>
    <row r="28" spans="1:6">
      <c r="F28" s="547"/>
    </row>
    <row r="29" spans="1:6">
      <c r="C29" s="547"/>
      <c r="E29" s="547"/>
      <c r="F29" s="546"/>
    </row>
    <row r="30" spans="1:6">
      <c r="C30" s="547"/>
      <c r="E30" s="547"/>
      <c r="F30" s="546"/>
    </row>
    <row r="31" spans="1:6">
      <c r="E31" s="547"/>
    </row>
    <row r="32" spans="1:6">
      <c r="C32" s="547"/>
      <c r="E32" s="547"/>
    </row>
    <row r="33" spans="3:5">
      <c r="C33" s="547"/>
      <c r="E33" s="547"/>
    </row>
    <row r="34" spans="3:5">
      <c r="C34" s="547"/>
      <c r="E34" s="547"/>
    </row>
    <row r="35" spans="3:5">
      <c r="C35" s="547"/>
      <c r="E35" s="547"/>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view="pageBreakPreview" zoomScaleNormal="100" zoomScaleSheetLayoutView="100" workbookViewId="0">
      <selection activeCell="B3" sqref="B3:H3"/>
    </sheetView>
  </sheetViews>
  <sheetFormatPr defaultColWidth="9.109375" defaultRowHeight="15.6"/>
  <cols>
    <col min="1" max="1" width="12.109375" style="16" bestFit="1" customWidth="1"/>
    <col min="2" max="2" width="12.6640625" style="3" bestFit="1" customWidth="1"/>
    <col min="3" max="3" width="17.5546875" style="3" bestFit="1" customWidth="1"/>
    <col min="4" max="4" width="61.88671875" style="3" bestFit="1" customWidth="1"/>
    <col min="5" max="5" width="14" style="3" bestFit="1" customWidth="1"/>
    <col min="6" max="6" width="16.109375" style="3" bestFit="1" customWidth="1"/>
    <col min="7" max="7" width="9.44140625" style="3" bestFit="1" customWidth="1"/>
    <col min="8" max="8" width="9.33203125" style="3" bestFit="1" customWidth="1"/>
    <col min="9" max="9" width="13" style="3" bestFit="1" customWidth="1"/>
    <col min="10" max="10" width="12.33203125" style="3" customWidth="1"/>
    <col min="11" max="11" width="16.109375" style="3" bestFit="1" customWidth="1"/>
    <col min="12" max="12" width="18.33203125" style="3" bestFit="1" customWidth="1"/>
    <col min="13" max="13" width="17.6640625" style="3" bestFit="1" customWidth="1"/>
    <col min="14" max="15" width="17.33203125" style="3" bestFit="1" customWidth="1"/>
    <col min="16" max="19" width="18.33203125" style="3" bestFit="1" customWidth="1"/>
    <col min="20" max="20" width="18.6640625" style="3" bestFit="1" customWidth="1"/>
    <col min="21" max="22" width="18.33203125" style="3" bestFit="1" customWidth="1"/>
    <col min="23" max="25" width="19.109375" style="3" bestFit="1" customWidth="1"/>
    <col min="26" max="26" width="18.6640625" style="3" bestFit="1" customWidth="1"/>
    <col min="27" max="27" width="19.109375" style="3" bestFit="1" customWidth="1"/>
    <col min="28" max="28" width="6.5546875" style="3" customWidth="1"/>
    <col min="29" max="29" width="19.109375" style="3" bestFit="1" customWidth="1"/>
    <col min="30" max="16384" width="9.109375" style="3"/>
  </cols>
  <sheetData>
    <row r="1" spans="2:29">
      <c r="B1" s="1229" t="s">
        <v>54</v>
      </c>
      <c r="C1" s="1229"/>
      <c r="D1" s="1229"/>
      <c r="E1" s="1229"/>
      <c r="F1" s="1229"/>
      <c r="G1" s="1229"/>
      <c r="H1" s="1229"/>
      <c r="M1" s="2"/>
      <c r="N1" s="1229" t="s">
        <v>54</v>
      </c>
      <c r="O1" s="1229"/>
      <c r="P1" s="1229"/>
      <c r="Q1" s="1229"/>
      <c r="R1" s="2"/>
      <c r="X1" s="1229" t="s">
        <v>54</v>
      </c>
      <c r="Y1" s="1229"/>
      <c r="Z1" s="1229"/>
      <c r="AA1" s="2"/>
      <c r="AB1" s="2"/>
    </row>
    <row r="2" spans="2:29">
      <c r="B2" s="1229" t="s">
        <v>1261</v>
      </c>
      <c r="C2" s="1229"/>
      <c r="D2" s="1229"/>
      <c r="E2" s="1229"/>
      <c r="F2" s="1229"/>
      <c r="G2" s="1229"/>
      <c r="H2" s="1229"/>
      <c r="M2" s="2"/>
      <c r="N2" s="1229" t="s">
        <v>1261</v>
      </c>
      <c r="O2" s="1229"/>
      <c r="P2" s="1229"/>
      <c r="Q2" s="1229"/>
      <c r="R2" s="2"/>
      <c r="X2" s="1229" t="s">
        <v>1261</v>
      </c>
      <c r="Y2" s="1229"/>
      <c r="Z2" s="1229"/>
      <c r="AA2" s="2"/>
      <c r="AB2" s="2"/>
    </row>
    <row r="3" spans="2:29">
      <c r="B3" s="1229"/>
      <c r="C3" s="1229"/>
      <c r="D3" s="1229"/>
      <c r="E3" s="1229"/>
      <c r="F3" s="1229"/>
      <c r="G3" s="1229"/>
      <c r="H3" s="1229"/>
      <c r="M3" s="2"/>
      <c r="N3" s="1229" t="s">
        <v>1555</v>
      </c>
      <c r="O3" s="1229"/>
      <c r="P3" s="1229"/>
      <c r="Q3" s="1229"/>
      <c r="R3" s="2"/>
      <c r="X3" s="1229" t="s">
        <v>1555</v>
      </c>
      <c r="Y3" s="1229"/>
      <c r="Z3" s="1229"/>
      <c r="AA3" s="2"/>
      <c r="AB3" s="2"/>
    </row>
    <row r="4" spans="2:29">
      <c r="B4" s="1229" t="s">
        <v>1268</v>
      </c>
      <c r="C4" s="1229"/>
      <c r="D4" s="1229"/>
      <c r="E4" s="1229"/>
      <c r="F4" s="1229"/>
      <c r="G4" s="1229"/>
      <c r="H4" s="1229"/>
      <c r="M4" s="2"/>
      <c r="N4" s="1229" t="s">
        <v>1268</v>
      </c>
      <c r="O4" s="1229"/>
      <c r="P4" s="1229"/>
      <c r="Q4" s="1229"/>
      <c r="R4" s="2"/>
      <c r="X4" s="1229" t="s">
        <v>1268</v>
      </c>
      <c r="Y4" s="1229"/>
      <c r="Z4" s="1229"/>
      <c r="AA4" s="2"/>
      <c r="AB4" s="2"/>
    </row>
    <row r="5" spans="2:29">
      <c r="B5" s="1229" t="s">
        <v>953</v>
      </c>
      <c r="C5" s="1229"/>
      <c r="D5" s="1229"/>
      <c r="E5" s="1229"/>
      <c r="F5" s="1229"/>
      <c r="G5" s="1229"/>
      <c r="H5" s="1229"/>
      <c r="M5" s="2"/>
      <c r="N5" s="1229" t="s">
        <v>953</v>
      </c>
      <c r="O5" s="1229"/>
      <c r="P5" s="1229"/>
      <c r="Q5" s="1229"/>
      <c r="R5" s="2"/>
      <c r="X5" s="1229" t="s">
        <v>953</v>
      </c>
      <c r="Y5" s="1229"/>
      <c r="Z5" s="1229"/>
      <c r="AA5" s="2"/>
      <c r="AB5" s="2"/>
    </row>
    <row r="6" spans="2:29">
      <c r="B6" s="15"/>
      <c r="C6" s="15"/>
      <c r="D6" s="15"/>
      <c r="E6" s="15"/>
      <c r="F6" s="15"/>
      <c r="G6" s="15"/>
      <c r="H6" s="15"/>
    </row>
    <row r="7" spans="2:29" s="16" customFormat="1">
      <c r="B7" s="16" t="s">
        <v>1272</v>
      </c>
      <c r="C7" s="16" t="s">
        <v>1270</v>
      </c>
      <c r="D7" s="16" t="s">
        <v>1271</v>
      </c>
      <c r="E7" s="16" t="s">
        <v>1274</v>
      </c>
      <c r="F7" s="16" t="s">
        <v>1276</v>
      </c>
      <c r="G7" s="16" t="s">
        <v>1277</v>
      </c>
      <c r="H7" s="16" t="s">
        <v>1278</v>
      </c>
      <c r="I7" s="16" t="s">
        <v>1279</v>
      </c>
      <c r="J7" s="16" t="s">
        <v>1280</v>
      </c>
      <c r="K7" s="16" t="s">
        <v>1281</v>
      </c>
      <c r="L7" s="16" t="s">
        <v>1282</v>
      </c>
      <c r="M7" s="16" t="s">
        <v>1283</v>
      </c>
      <c r="N7" s="16" t="s">
        <v>1284</v>
      </c>
      <c r="O7" s="16" t="s">
        <v>1285</v>
      </c>
      <c r="P7" s="16" t="s">
        <v>1539</v>
      </c>
      <c r="Q7" s="16" t="s">
        <v>1540</v>
      </c>
      <c r="R7" s="16" t="s">
        <v>1541</v>
      </c>
      <c r="S7" s="16" t="s">
        <v>1542</v>
      </c>
      <c r="T7" s="16" t="s">
        <v>1543</v>
      </c>
      <c r="U7" s="16" t="s">
        <v>1544</v>
      </c>
      <c r="V7" s="16" t="s">
        <v>1545</v>
      </c>
      <c r="W7" s="16" t="s">
        <v>1546</v>
      </c>
      <c r="X7" s="16" t="s">
        <v>1547</v>
      </c>
      <c r="Y7" s="16" t="s">
        <v>1548</v>
      </c>
      <c r="Z7" s="16" t="s">
        <v>1549</v>
      </c>
      <c r="AA7" s="16" t="s">
        <v>1059</v>
      </c>
      <c r="AC7" s="16" t="s">
        <v>1550</v>
      </c>
    </row>
    <row r="8" spans="2:29">
      <c r="B8" s="15"/>
      <c r="C8" s="15"/>
      <c r="D8" s="15"/>
      <c r="E8" s="15"/>
      <c r="F8" s="15"/>
      <c r="G8" s="15"/>
      <c r="H8" s="15"/>
    </row>
    <row r="9" spans="2:29">
      <c r="I9" s="343" t="s">
        <v>1059</v>
      </c>
      <c r="J9" s="343" t="s">
        <v>1059</v>
      </c>
      <c r="K9" s="343" t="s">
        <v>1059</v>
      </c>
      <c r="L9" s="343" t="s">
        <v>1059</v>
      </c>
      <c r="M9" s="343" t="s">
        <v>1059</v>
      </c>
      <c r="N9" s="343" t="s">
        <v>1059</v>
      </c>
      <c r="O9" s="343" t="s">
        <v>1059</v>
      </c>
      <c r="P9" s="343" t="s">
        <v>1059</v>
      </c>
      <c r="Q9" s="343" t="s">
        <v>1059</v>
      </c>
      <c r="R9" s="343" t="s">
        <v>1059</v>
      </c>
      <c r="S9" s="343" t="s">
        <v>1059</v>
      </c>
      <c r="T9" s="343" t="s">
        <v>1059</v>
      </c>
      <c r="U9" s="343" t="s">
        <v>1059</v>
      </c>
      <c r="V9" s="343" t="s">
        <v>1059</v>
      </c>
      <c r="W9" s="343" t="s">
        <v>1059</v>
      </c>
      <c r="X9" s="343" t="s">
        <v>52</v>
      </c>
      <c r="Y9" s="343" t="s">
        <v>1059</v>
      </c>
      <c r="Z9" s="343" t="s">
        <v>1059</v>
      </c>
      <c r="AA9" s="343" t="s">
        <v>1059</v>
      </c>
      <c r="AC9" s="345"/>
    </row>
    <row r="10" spans="2:29">
      <c r="I10" s="548">
        <v>2015</v>
      </c>
      <c r="J10" s="548">
        <v>2015</v>
      </c>
      <c r="K10" s="548">
        <v>2015</v>
      </c>
      <c r="L10" s="548">
        <v>2015</v>
      </c>
      <c r="M10" s="548">
        <v>2015</v>
      </c>
      <c r="N10" s="548">
        <v>2015</v>
      </c>
      <c r="O10" s="548">
        <v>2016</v>
      </c>
      <c r="P10" s="548">
        <v>2016</v>
      </c>
      <c r="Q10" s="548">
        <v>2016</v>
      </c>
      <c r="R10" s="548">
        <v>2016</v>
      </c>
      <c r="S10" s="548">
        <v>2016</v>
      </c>
      <c r="T10" s="548">
        <v>2016</v>
      </c>
      <c r="U10" s="548">
        <v>2016</v>
      </c>
      <c r="V10" s="548">
        <v>2016</v>
      </c>
      <c r="W10" s="548">
        <v>2016</v>
      </c>
      <c r="X10" s="548" t="s">
        <v>1532</v>
      </c>
      <c r="Y10" s="548">
        <v>2016</v>
      </c>
      <c r="Z10" s="548">
        <v>2016</v>
      </c>
      <c r="AA10" s="548">
        <v>2016</v>
      </c>
      <c r="AC10" s="549"/>
    </row>
    <row r="11" spans="2:29">
      <c r="B11" s="5"/>
      <c r="C11" s="14"/>
      <c r="E11" s="5"/>
      <c r="G11" s="550"/>
      <c r="H11" s="551"/>
      <c r="I11" s="343" t="s">
        <v>1060</v>
      </c>
      <c r="J11" s="343" t="s">
        <v>1060</v>
      </c>
      <c r="K11" s="343" t="s">
        <v>1060</v>
      </c>
      <c r="L11" s="343" t="s">
        <v>1060</v>
      </c>
      <c r="M11" s="343" t="s">
        <v>1060</v>
      </c>
      <c r="N11" s="343" t="s">
        <v>1060</v>
      </c>
      <c r="O11" s="343" t="s">
        <v>1060</v>
      </c>
      <c r="P11" s="343" t="s">
        <v>1060</v>
      </c>
      <c r="Q11" s="343" t="s">
        <v>1060</v>
      </c>
      <c r="R11" s="343" t="s">
        <v>1060</v>
      </c>
      <c r="S11" s="343" t="s">
        <v>1060</v>
      </c>
      <c r="T11" s="343" t="s">
        <v>1060</v>
      </c>
      <c r="U11" s="343" t="s">
        <v>1060</v>
      </c>
      <c r="V11" s="343" t="s">
        <v>1060</v>
      </c>
      <c r="W11" s="343" t="s">
        <v>1061</v>
      </c>
      <c r="X11" s="343" t="s">
        <v>1533</v>
      </c>
      <c r="Y11" s="343" t="s">
        <v>1061</v>
      </c>
      <c r="Z11" s="343" t="s">
        <v>1061</v>
      </c>
      <c r="AA11" s="343" t="s">
        <v>1061</v>
      </c>
      <c r="AC11" s="345"/>
    </row>
    <row r="12" spans="2:29">
      <c r="B12" s="5"/>
      <c r="C12" s="14"/>
      <c r="E12" s="5"/>
      <c r="G12" s="550"/>
      <c r="H12" s="551"/>
      <c r="I12" s="548" t="s">
        <v>1249</v>
      </c>
      <c r="J12" s="548" t="s">
        <v>1250</v>
      </c>
      <c r="K12" s="548" t="s">
        <v>1528</v>
      </c>
      <c r="L12" s="548" t="s">
        <v>1529</v>
      </c>
      <c r="M12" s="548" t="s">
        <v>1530</v>
      </c>
      <c r="N12" s="548" t="s">
        <v>1531</v>
      </c>
      <c r="O12" s="548" t="s">
        <v>1015</v>
      </c>
      <c r="P12" s="548" t="s">
        <v>1016</v>
      </c>
      <c r="Q12" s="548" t="s">
        <v>1017</v>
      </c>
      <c r="R12" s="548" t="s">
        <v>1018</v>
      </c>
      <c r="S12" s="548" t="s">
        <v>1019</v>
      </c>
      <c r="T12" s="548" t="s">
        <v>1020</v>
      </c>
      <c r="U12" s="548" t="s">
        <v>1021</v>
      </c>
      <c r="V12" s="548" t="s">
        <v>1022</v>
      </c>
      <c r="W12" s="548" t="s">
        <v>1528</v>
      </c>
      <c r="X12" s="548" t="s">
        <v>1534</v>
      </c>
      <c r="Y12" s="548" t="s">
        <v>1529</v>
      </c>
      <c r="Z12" s="548" t="s">
        <v>1530</v>
      </c>
      <c r="AA12" s="548" t="s">
        <v>1531</v>
      </c>
      <c r="AC12" s="549"/>
    </row>
    <row r="13" spans="2:29">
      <c r="B13" s="5"/>
      <c r="C13" s="14"/>
      <c r="E13" s="5"/>
      <c r="G13" s="550"/>
      <c r="H13" s="551"/>
      <c r="I13" s="343" t="s">
        <v>959</v>
      </c>
      <c r="J13" s="343" t="s">
        <v>959</v>
      </c>
      <c r="K13" s="343" t="s">
        <v>959</v>
      </c>
      <c r="L13" s="343" t="s">
        <v>959</v>
      </c>
      <c r="M13" s="343" t="s">
        <v>959</v>
      </c>
      <c r="N13" s="343" t="s">
        <v>959</v>
      </c>
      <c r="O13" s="343" t="s">
        <v>959</v>
      </c>
      <c r="P13" s="343" t="s">
        <v>959</v>
      </c>
      <c r="Q13" s="343" t="s">
        <v>959</v>
      </c>
      <c r="R13" s="343" t="s">
        <v>959</v>
      </c>
      <c r="S13" s="343" t="s">
        <v>959</v>
      </c>
      <c r="T13" s="343" t="s">
        <v>959</v>
      </c>
      <c r="U13" s="343" t="s">
        <v>959</v>
      </c>
      <c r="V13" s="343" t="s">
        <v>959</v>
      </c>
      <c r="W13" s="343" t="s">
        <v>959</v>
      </c>
      <c r="X13" s="343" t="s">
        <v>1535</v>
      </c>
      <c r="Y13" s="343" t="s">
        <v>959</v>
      </c>
      <c r="Z13" s="343" t="s">
        <v>959</v>
      </c>
      <c r="AA13" s="343" t="s">
        <v>959</v>
      </c>
      <c r="AC13" s="345"/>
    </row>
    <row r="14" spans="2:29">
      <c r="B14" s="5"/>
      <c r="C14" s="14"/>
      <c r="E14" s="5"/>
      <c r="G14" s="550"/>
      <c r="H14" s="551"/>
      <c r="I14" s="343" t="s">
        <v>1062</v>
      </c>
      <c r="J14" s="343" t="s">
        <v>1062</v>
      </c>
      <c r="K14" s="343" t="s">
        <v>1062</v>
      </c>
      <c r="L14" s="343" t="s">
        <v>1062</v>
      </c>
      <c r="M14" s="343" t="s">
        <v>1062</v>
      </c>
      <c r="N14" s="343" t="s">
        <v>1062</v>
      </c>
      <c r="O14" s="343" t="s">
        <v>1062</v>
      </c>
      <c r="P14" s="343" t="s">
        <v>1062</v>
      </c>
      <c r="Q14" s="343" t="s">
        <v>1062</v>
      </c>
      <c r="R14" s="343" t="s">
        <v>1062</v>
      </c>
      <c r="S14" s="343" t="s">
        <v>1062</v>
      </c>
      <c r="T14" s="343" t="s">
        <v>1062</v>
      </c>
      <c r="U14" s="343" t="s">
        <v>1062</v>
      </c>
      <c r="V14" s="343" t="s">
        <v>1062</v>
      </c>
      <c r="W14" s="343" t="s">
        <v>1062</v>
      </c>
      <c r="X14" s="343" t="s">
        <v>1536</v>
      </c>
      <c r="Y14" s="343" t="s">
        <v>1062</v>
      </c>
      <c r="Z14" s="343" t="s">
        <v>1062</v>
      </c>
      <c r="AA14" s="343" t="s">
        <v>1062</v>
      </c>
      <c r="AC14" s="345"/>
    </row>
    <row r="15" spans="2:29">
      <c r="B15" s="5"/>
      <c r="C15" s="14"/>
      <c r="E15" s="5"/>
      <c r="G15" s="550"/>
      <c r="H15" s="551"/>
      <c r="I15" s="343" t="s">
        <v>402</v>
      </c>
      <c r="J15" s="343" t="s">
        <v>402</v>
      </c>
      <c r="K15" s="343" t="s">
        <v>402</v>
      </c>
      <c r="L15" s="343" t="s">
        <v>402</v>
      </c>
      <c r="M15" s="343" t="s">
        <v>402</v>
      </c>
      <c r="N15" s="343" t="s">
        <v>402</v>
      </c>
      <c r="O15" s="343" t="s">
        <v>402</v>
      </c>
      <c r="P15" s="343" t="s">
        <v>402</v>
      </c>
      <c r="Q15" s="343" t="s">
        <v>402</v>
      </c>
      <c r="R15" s="343" t="s">
        <v>402</v>
      </c>
      <c r="S15" s="343" t="s">
        <v>402</v>
      </c>
      <c r="T15" s="343" t="s">
        <v>402</v>
      </c>
      <c r="U15" s="343" t="s">
        <v>402</v>
      </c>
      <c r="V15" s="343" t="s">
        <v>402</v>
      </c>
      <c r="W15" s="343" t="s">
        <v>402</v>
      </c>
      <c r="X15" s="343"/>
      <c r="Y15" s="343" t="s">
        <v>402</v>
      </c>
      <c r="Z15" s="343" t="s">
        <v>402</v>
      </c>
      <c r="AA15" s="343" t="s">
        <v>402</v>
      </c>
      <c r="AC15" s="345"/>
    </row>
    <row r="16" spans="2:29">
      <c r="B16" s="5"/>
      <c r="C16" s="14"/>
      <c r="E16" s="5"/>
      <c r="G16" s="552"/>
      <c r="H16" s="553"/>
      <c r="I16" s="351"/>
      <c r="J16" s="351"/>
      <c r="K16" s="351"/>
      <c r="L16" s="351"/>
      <c r="M16" s="351"/>
      <c r="N16" s="351"/>
      <c r="O16" s="351"/>
      <c r="P16" s="351"/>
      <c r="Q16" s="351"/>
      <c r="R16" s="351"/>
      <c r="S16" s="351"/>
      <c r="T16" s="351"/>
      <c r="U16" s="351"/>
      <c r="V16" s="351"/>
      <c r="W16" s="351"/>
      <c r="X16" s="351"/>
      <c r="Y16" s="351"/>
      <c r="Z16" s="351"/>
      <c r="AA16" s="351"/>
      <c r="AC16" s="351"/>
    </row>
    <row r="17" spans="1:29">
      <c r="A17" s="16" t="s">
        <v>883</v>
      </c>
      <c r="B17" s="14" t="s">
        <v>1063</v>
      </c>
      <c r="C17" s="14" t="s">
        <v>1064</v>
      </c>
      <c r="D17" s="14" t="s">
        <v>1065</v>
      </c>
      <c r="E17" s="14" t="s">
        <v>1066</v>
      </c>
      <c r="F17" s="5" t="s">
        <v>1067</v>
      </c>
      <c r="G17" s="550" t="s">
        <v>944</v>
      </c>
      <c r="H17" s="554" t="s">
        <v>1068</v>
      </c>
      <c r="I17" s="10"/>
      <c r="J17" s="10"/>
      <c r="K17" s="10"/>
      <c r="L17" s="10"/>
      <c r="M17" s="10"/>
      <c r="N17" s="10"/>
      <c r="O17" s="10"/>
      <c r="P17" s="10"/>
      <c r="Q17" s="10"/>
      <c r="R17" s="10"/>
      <c r="S17" s="10"/>
      <c r="T17" s="10"/>
      <c r="U17" s="10"/>
      <c r="V17" s="10"/>
      <c r="W17" s="10"/>
      <c r="X17" s="10"/>
      <c r="Y17" s="10"/>
      <c r="Z17" s="10"/>
      <c r="AA17" s="10"/>
      <c r="AB17" s="5"/>
      <c r="AC17" s="424" t="s">
        <v>878</v>
      </c>
    </row>
    <row r="18" spans="1:29">
      <c r="A18" s="16">
        <v>1</v>
      </c>
      <c r="B18" s="555"/>
      <c r="C18" s="555" t="s">
        <v>1069</v>
      </c>
      <c r="D18" s="556" t="s">
        <v>1070</v>
      </c>
      <c r="E18" s="557"/>
      <c r="F18" s="558"/>
      <c r="G18" s="555"/>
      <c r="H18" s="559"/>
      <c r="I18" s="560"/>
      <c r="J18" s="560"/>
      <c r="K18" s="560"/>
      <c r="L18" s="560"/>
      <c r="M18" s="560"/>
      <c r="N18" s="560"/>
      <c r="O18" s="560"/>
      <c r="P18" s="560"/>
      <c r="Q18" s="560"/>
      <c r="R18" s="560"/>
      <c r="S18" s="560"/>
      <c r="T18" s="560"/>
      <c r="U18" s="560"/>
      <c r="V18" s="560"/>
      <c r="W18" s="560"/>
      <c r="X18" s="560"/>
      <c r="Y18" s="560"/>
      <c r="Z18" s="560"/>
      <c r="AA18" s="560"/>
      <c r="AB18" s="11"/>
      <c r="AC18" s="561"/>
    </row>
    <row r="19" spans="1:29">
      <c r="A19" s="16">
        <v>2</v>
      </c>
      <c r="B19" s="343" t="s">
        <v>1071</v>
      </c>
      <c r="C19" s="343" t="s">
        <v>1069</v>
      </c>
      <c r="D19" s="76" t="s">
        <v>1072</v>
      </c>
      <c r="E19" s="460" t="s">
        <v>1073</v>
      </c>
      <c r="F19" s="76" t="s">
        <v>1074</v>
      </c>
      <c r="G19" s="343" t="s">
        <v>1075</v>
      </c>
      <c r="H19" s="562">
        <v>4.1300000000000003E-2</v>
      </c>
      <c r="I19" s="563"/>
      <c r="J19" s="563"/>
      <c r="K19" s="563"/>
      <c r="L19" s="563">
        <v>0</v>
      </c>
      <c r="M19" s="563">
        <v>0</v>
      </c>
      <c r="N19" s="563">
        <v>0</v>
      </c>
      <c r="O19" s="563">
        <v>0</v>
      </c>
      <c r="P19" s="563">
        <v>0</v>
      </c>
      <c r="Q19" s="563">
        <v>0</v>
      </c>
      <c r="R19" s="563">
        <v>-47.47</v>
      </c>
      <c r="S19" s="563">
        <v>0</v>
      </c>
      <c r="T19" s="563">
        <v>0</v>
      </c>
      <c r="U19" s="563">
        <v>0</v>
      </c>
      <c r="V19" s="563">
        <v>0</v>
      </c>
      <c r="W19" s="563">
        <v>0</v>
      </c>
      <c r="X19" s="563">
        <f>SUM(I19:W19)</f>
        <v>-47.47</v>
      </c>
      <c r="Y19" s="563">
        <v>0</v>
      </c>
      <c r="Z19" s="563">
        <v>0</v>
      </c>
      <c r="AA19" s="563">
        <v>0</v>
      </c>
      <c r="AB19" s="11"/>
      <c r="AC19" s="564">
        <f t="shared" ref="AC19:AC30" si="0">SUM(I19:AB19)-X19</f>
        <v>-47.47</v>
      </c>
    </row>
    <row r="20" spans="1:29">
      <c r="A20" s="16">
        <v>3</v>
      </c>
      <c r="B20" s="343" t="s">
        <v>1076</v>
      </c>
      <c r="C20" s="343" t="s">
        <v>1069</v>
      </c>
      <c r="D20" s="76" t="s">
        <v>1077</v>
      </c>
      <c r="E20" s="460" t="s">
        <v>1078</v>
      </c>
      <c r="F20" s="76" t="s">
        <v>1074</v>
      </c>
      <c r="G20" s="343" t="s">
        <v>1079</v>
      </c>
      <c r="H20" s="562">
        <v>3.3300000000000003E-2</v>
      </c>
      <c r="I20" s="563"/>
      <c r="J20" s="563"/>
      <c r="K20" s="563"/>
      <c r="L20" s="563">
        <v>0</v>
      </c>
      <c r="M20" s="563">
        <v>0</v>
      </c>
      <c r="N20" s="563">
        <v>0</v>
      </c>
      <c r="O20" s="563">
        <v>0</v>
      </c>
      <c r="P20" s="563">
        <v>0</v>
      </c>
      <c r="Q20" s="563">
        <v>0</v>
      </c>
      <c r="R20" s="563">
        <v>0</v>
      </c>
      <c r="S20" s="563">
        <v>0</v>
      </c>
      <c r="T20" s="563">
        <v>0</v>
      </c>
      <c r="U20" s="563">
        <v>0</v>
      </c>
      <c r="V20" s="563">
        <v>0</v>
      </c>
      <c r="W20" s="563">
        <v>0</v>
      </c>
      <c r="X20" s="563">
        <f t="shared" ref="X20:X71" si="1">SUM(I20:W20)</f>
        <v>0</v>
      </c>
      <c r="Y20" s="563">
        <v>0</v>
      </c>
      <c r="Z20" s="563">
        <v>0</v>
      </c>
      <c r="AA20" s="563">
        <v>0</v>
      </c>
      <c r="AB20" s="11"/>
      <c r="AC20" s="564">
        <f t="shared" si="0"/>
        <v>0</v>
      </c>
    </row>
    <row r="21" spans="1:29">
      <c r="A21" s="16">
        <v>4</v>
      </c>
      <c r="B21" s="343" t="s">
        <v>1080</v>
      </c>
      <c r="C21" s="343" t="s">
        <v>1069</v>
      </c>
      <c r="D21" s="76" t="s">
        <v>1077</v>
      </c>
      <c r="E21" s="460" t="s">
        <v>1081</v>
      </c>
      <c r="F21" s="76" t="s">
        <v>1074</v>
      </c>
      <c r="G21" s="343" t="s">
        <v>1079</v>
      </c>
      <c r="H21" s="562">
        <v>3.3300000000000003E-2</v>
      </c>
      <c r="I21" s="563"/>
      <c r="J21" s="563"/>
      <c r="K21" s="563"/>
      <c r="L21" s="563">
        <v>0</v>
      </c>
      <c r="M21" s="563">
        <v>0</v>
      </c>
      <c r="N21" s="563">
        <v>0</v>
      </c>
      <c r="O21" s="563">
        <v>0</v>
      </c>
      <c r="P21" s="563">
        <v>0</v>
      </c>
      <c r="Q21" s="563">
        <v>0</v>
      </c>
      <c r="R21" s="563">
        <v>0</v>
      </c>
      <c r="S21" s="563">
        <v>0</v>
      </c>
      <c r="T21" s="563">
        <v>0</v>
      </c>
      <c r="U21" s="563">
        <v>0</v>
      </c>
      <c r="V21" s="563">
        <v>0</v>
      </c>
      <c r="W21" s="563">
        <v>0</v>
      </c>
      <c r="X21" s="563">
        <f t="shared" si="1"/>
        <v>0</v>
      </c>
      <c r="Y21" s="563">
        <v>0</v>
      </c>
      <c r="Z21" s="563">
        <v>0</v>
      </c>
      <c r="AA21" s="563">
        <v>0</v>
      </c>
      <c r="AB21" s="11"/>
      <c r="AC21" s="564">
        <f t="shared" si="0"/>
        <v>0</v>
      </c>
    </row>
    <row r="22" spans="1:29">
      <c r="A22" s="16">
        <v>5</v>
      </c>
      <c r="B22" s="343" t="s">
        <v>1082</v>
      </c>
      <c r="C22" s="343" t="s">
        <v>1069</v>
      </c>
      <c r="D22" s="76" t="s">
        <v>1083</v>
      </c>
      <c r="E22" s="460" t="s">
        <v>1084</v>
      </c>
      <c r="F22" s="76" t="s">
        <v>1074</v>
      </c>
      <c r="G22" s="343" t="s">
        <v>1079</v>
      </c>
      <c r="H22" s="562">
        <v>3.3300000000000003E-2</v>
      </c>
      <c r="I22" s="563"/>
      <c r="J22" s="563"/>
      <c r="K22" s="563"/>
      <c r="L22" s="563">
        <v>0</v>
      </c>
      <c r="M22" s="563">
        <v>0</v>
      </c>
      <c r="N22" s="563">
        <v>0</v>
      </c>
      <c r="O22" s="563">
        <v>0</v>
      </c>
      <c r="P22" s="563">
        <v>0</v>
      </c>
      <c r="Q22" s="563">
        <v>0</v>
      </c>
      <c r="R22" s="563">
        <v>47.47</v>
      </c>
      <c r="S22" s="563">
        <v>0</v>
      </c>
      <c r="T22" s="563">
        <v>0</v>
      </c>
      <c r="U22" s="563">
        <v>0</v>
      </c>
      <c r="V22" s="563">
        <v>0</v>
      </c>
      <c r="W22" s="563">
        <v>0</v>
      </c>
      <c r="X22" s="563">
        <f t="shared" si="1"/>
        <v>47.47</v>
      </c>
      <c r="Y22" s="563">
        <v>0</v>
      </c>
      <c r="Z22" s="563">
        <v>0</v>
      </c>
      <c r="AA22" s="563">
        <v>0</v>
      </c>
      <c r="AB22" s="11"/>
      <c r="AC22" s="564">
        <f t="shared" si="0"/>
        <v>47.47</v>
      </c>
    </row>
    <row r="23" spans="1:29">
      <c r="A23" s="16">
        <v>6</v>
      </c>
      <c r="B23" s="343" t="s">
        <v>1085</v>
      </c>
      <c r="C23" s="343" t="s">
        <v>1069</v>
      </c>
      <c r="D23" s="76" t="s">
        <v>1086</v>
      </c>
      <c r="E23" s="460" t="s">
        <v>1087</v>
      </c>
      <c r="F23" s="76" t="s">
        <v>1074</v>
      </c>
      <c r="G23" s="343" t="s">
        <v>1079</v>
      </c>
      <c r="H23" s="562">
        <v>1.2500000000000001E-2</v>
      </c>
      <c r="I23" s="563"/>
      <c r="J23" s="563"/>
      <c r="K23" s="563"/>
      <c r="L23" s="563">
        <v>496358.98</v>
      </c>
      <c r="M23" s="563">
        <v>107295.45</v>
      </c>
      <c r="N23" s="563">
        <v>0</v>
      </c>
      <c r="O23" s="563">
        <v>784.15</v>
      </c>
      <c r="P23" s="563">
        <v>692.25</v>
      </c>
      <c r="Q23" s="563">
        <v>0</v>
      </c>
      <c r="R23" s="563">
        <v>3780.9</v>
      </c>
      <c r="S23" s="563">
        <v>6007.19</v>
      </c>
      <c r="T23" s="563">
        <v>0</v>
      </c>
      <c r="U23" s="563">
        <v>321.2</v>
      </c>
      <c r="V23" s="563">
        <v>0</v>
      </c>
      <c r="W23" s="563">
        <v>0</v>
      </c>
      <c r="X23" s="563">
        <f t="shared" si="1"/>
        <v>615240.11999999988</v>
      </c>
      <c r="Y23" s="563">
        <v>0</v>
      </c>
      <c r="Z23" s="563">
        <v>0</v>
      </c>
      <c r="AA23" s="563">
        <v>0</v>
      </c>
      <c r="AB23" s="11"/>
      <c r="AC23" s="564">
        <f t="shared" si="0"/>
        <v>615240.11999999988</v>
      </c>
    </row>
    <row r="24" spans="1:29">
      <c r="A24" s="16">
        <v>7</v>
      </c>
      <c r="B24" s="343" t="s">
        <v>1088</v>
      </c>
      <c r="C24" s="343" t="s">
        <v>1069</v>
      </c>
      <c r="D24" s="76" t="s">
        <v>1089</v>
      </c>
      <c r="E24" s="460" t="s">
        <v>1090</v>
      </c>
      <c r="F24" s="76" t="s">
        <v>1074</v>
      </c>
      <c r="G24" s="343" t="s">
        <v>1075</v>
      </c>
      <c r="H24" s="562">
        <v>4.1300000000000003E-2</v>
      </c>
      <c r="I24" s="563"/>
      <c r="J24" s="563"/>
      <c r="K24" s="563"/>
      <c r="L24" s="563">
        <v>19344.52</v>
      </c>
      <c r="M24" s="563">
        <v>17842.55</v>
      </c>
      <c r="N24" s="563">
        <v>919.46</v>
      </c>
      <c r="O24" s="563">
        <v>111681.13</v>
      </c>
      <c r="P24" s="563">
        <v>17571.3</v>
      </c>
      <c r="Q24" s="563">
        <v>3957.35</v>
      </c>
      <c r="R24" s="563">
        <v>3756.31</v>
      </c>
      <c r="S24" s="563">
        <v>75505.39</v>
      </c>
      <c r="T24" s="563">
        <v>0</v>
      </c>
      <c r="U24" s="563">
        <v>0</v>
      </c>
      <c r="V24" s="563">
        <v>0</v>
      </c>
      <c r="W24" s="563">
        <v>0</v>
      </c>
      <c r="X24" s="563">
        <f t="shared" si="1"/>
        <v>250578.01</v>
      </c>
      <c r="Y24" s="563">
        <v>0</v>
      </c>
      <c r="Z24" s="563">
        <v>0</v>
      </c>
      <c r="AA24" s="563">
        <v>0</v>
      </c>
      <c r="AB24" s="11"/>
      <c r="AC24" s="564">
        <f t="shared" si="0"/>
        <v>250578.01</v>
      </c>
    </row>
    <row r="25" spans="1:29">
      <c r="A25" s="16">
        <v>8</v>
      </c>
      <c r="B25" s="343" t="s">
        <v>1091</v>
      </c>
      <c r="C25" s="343" t="s">
        <v>1069</v>
      </c>
      <c r="D25" s="76" t="s">
        <v>1092</v>
      </c>
      <c r="E25" s="460" t="s">
        <v>1093</v>
      </c>
      <c r="F25" s="76" t="s">
        <v>1074</v>
      </c>
      <c r="G25" s="343" t="s">
        <v>1075</v>
      </c>
      <c r="H25" s="562">
        <v>4.1300000000000003E-2</v>
      </c>
      <c r="I25" s="563"/>
      <c r="J25" s="563"/>
      <c r="K25" s="563"/>
      <c r="L25" s="563">
        <v>137632.98000000001</v>
      </c>
      <c r="M25" s="563">
        <v>0</v>
      </c>
      <c r="N25" s="563">
        <v>2091.09</v>
      </c>
      <c r="O25" s="563">
        <v>572.14</v>
      </c>
      <c r="P25" s="563">
        <v>2191.7800000000002</v>
      </c>
      <c r="Q25" s="563">
        <v>1446.56</v>
      </c>
      <c r="R25" s="563">
        <v>856.26</v>
      </c>
      <c r="S25" s="563">
        <v>10426.48</v>
      </c>
      <c r="T25" s="563">
        <v>0</v>
      </c>
      <c r="U25" s="563">
        <v>0</v>
      </c>
      <c r="V25" s="563">
        <v>0</v>
      </c>
      <c r="W25" s="563">
        <v>0</v>
      </c>
      <c r="X25" s="563">
        <f t="shared" si="1"/>
        <v>155217.29000000004</v>
      </c>
      <c r="Y25" s="563">
        <v>0</v>
      </c>
      <c r="Z25" s="563">
        <v>0</v>
      </c>
      <c r="AA25" s="563">
        <v>0</v>
      </c>
      <c r="AB25" s="11"/>
      <c r="AC25" s="564">
        <f t="shared" si="0"/>
        <v>155217.29000000004</v>
      </c>
    </row>
    <row r="26" spans="1:29">
      <c r="A26" s="16">
        <v>9</v>
      </c>
      <c r="B26" s="343" t="s">
        <v>1094</v>
      </c>
      <c r="C26" s="343" t="s">
        <v>1069</v>
      </c>
      <c r="D26" s="76" t="s">
        <v>1095</v>
      </c>
      <c r="E26" s="460" t="s">
        <v>1096</v>
      </c>
      <c r="F26" s="76" t="s">
        <v>1074</v>
      </c>
      <c r="G26" s="343" t="s">
        <v>1075</v>
      </c>
      <c r="H26" s="562">
        <v>4.1300000000000003E-2</v>
      </c>
      <c r="I26" s="563"/>
      <c r="J26" s="563"/>
      <c r="K26" s="563"/>
      <c r="L26" s="563">
        <v>87559.86</v>
      </c>
      <c r="M26" s="563">
        <v>100089.63</v>
      </c>
      <c r="N26" s="563">
        <v>63297.49</v>
      </c>
      <c r="O26" s="563">
        <v>29531.54</v>
      </c>
      <c r="P26" s="563">
        <v>14359.95</v>
      </c>
      <c r="Q26" s="563">
        <v>735.72</v>
      </c>
      <c r="R26" s="563">
        <v>1071.99</v>
      </c>
      <c r="S26" s="563">
        <v>54404.55</v>
      </c>
      <c r="T26" s="563">
        <v>0</v>
      </c>
      <c r="U26" s="563">
        <v>0</v>
      </c>
      <c r="V26" s="563">
        <v>0</v>
      </c>
      <c r="W26" s="563">
        <v>0</v>
      </c>
      <c r="X26" s="563">
        <f t="shared" si="1"/>
        <v>351050.72999999992</v>
      </c>
      <c r="Y26" s="563">
        <v>0</v>
      </c>
      <c r="Z26" s="563">
        <v>0</v>
      </c>
      <c r="AA26" s="563">
        <v>0</v>
      </c>
      <c r="AB26" s="11"/>
      <c r="AC26" s="564">
        <f t="shared" si="0"/>
        <v>351050.72999999992</v>
      </c>
    </row>
    <row r="27" spans="1:29">
      <c r="A27" s="16">
        <v>10</v>
      </c>
      <c r="B27" s="343" t="s">
        <v>1097</v>
      </c>
      <c r="C27" s="343" t="s">
        <v>1069</v>
      </c>
      <c r="D27" s="76" t="s">
        <v>1098</v>
      </c>
      <c r="E27" s="460" t="s">
        <v>1099</v>
      </c>
      <c r="F27" s="76" t="s">
        <v>1074</v>
      </c>
      <c r="G27" s="343" t="s">
        <v>1075</v>
      </c>
      <c r="H27" s="562">
        <v>4.1300000000000003E-2</v>
      </c>
      <c r="I27" s="563"/>
      <c r="J27" s="563"/>
      <c r="K27" s="563"/>
      <c r="L27" s="563">
        <v>37813.14</v>
      </c>
      <c r="M27" s="563">
        <v>22981.22</v>
      </c>
      <c r="N27" s="563">
        <v>366999.34</v>
      </c>
      <c r="O27" s="563">
        <v>2520.9499999999998</v>
      </c>
      <c r="P27" s="563">
        <v>22261.99</v>
      </c>
      <c r="Q27" s="563">
        <v>9451.68</v>
      </c>
      <c r="R27" s="563">
        <v>10116.379999999999</v>
      </c>
      <c r="S27" s="563">
        <v>81627.14</v>
      </c>
      <c r="T27" s="563">
        <v>0</v>
      </c>
      <c r="U27" s="563">
        <v>0</v>
      </c>
      <c r="V27" s="563">
        <v>0</v>
      </c>
      <c r="W27" s="563">
        <v>0</v>
      </c>
      <c r="X27" s="563">
        <f t="shared" si="1"/>
        <v>553771.84</v>
      </c>
      <c r="Y27" s="563">
        <v>0</v>
      </c>
      <c r="Z27" s="563">
        <v>0</v>
      </c>
      <c r="AA27" s="563">
        <v>0</v>
      </c>
      <c r="AB27" s="11"/>
      <c r="AC27" s="564">
        <f t="shared" si="0"/>
        <v>553771.84</v>
      </c>
    </row>
    <row r="28" spans="1:29">
      <c r="A28" s="16">
        <v>11</v>
      </c>
      <c r="B28" s="343" t="s">
        <v>1100</v>
      </c>
      <c r="C28" s="343" t="s">
        <v>1069</v>
      </c>
      <c r="D28" s="76" t="s">
        <v>1101</v>
      </c>
      <c r="E28" s="460" t="s">
        <v>1102</v>
      </c>
      <c r="F28" s="76" t="s">
        <v>1074</v>
      </c>
      <c r="G28" s="343" t="s">
        <v>1075</v>
      </c>
      <c r="H28" s="562">
        <v>4.1300000000000003E-2</v>
      </c>
      <c r="I28" s="563"/>
      <c r="J28" s="563"/>
      <c r="K28" s="563"/>
      <c r="L28" s="563">
        <v>56461.45</v>
      </c>
      <c r="M28" s="563">
        <v>8360.2000000000007</v>
      </c>
      <c r="N28" s="563">
        <v>8252.6200000000008</v>
      </c>
      <c r="O28" s="563">
        <v>0</v>
      </c>
      <c r="P28" s="563">
        <v>0</v>
      </c>
      <c r="Q28" s="563">
        <v>0</v>
      </c>
      <c r="R28" s="563">
        <v>0</v>
      </c>
      <c r="S28" s="563">
        <v>37231.06</v>
      </c>
      <c r="T28" s="563">
        <v>0</v>
      </c>
      <c r="U28" s="563">
        <v>0</v>
      </c>
      <c r="V28" s="563">
        <v>0</v>
      </c>
      <c r="W28" s="563">
        <v>0</v>
      </c>
      <c r="X28" s="563">
        <f t="shared" si="1"/>
        <v>110305.32999999999</v>
      </c>
      <c r="Y28" s="563">
        <v>0</v>
      </c>
      <c r="Z28" s="563">
        <v>0</v>
      </c>
      <c r="AA28" s="563">
        <v>0</v>
      </c>
      <c r="AB28" s="11"/>
      <c r="AC28" s="564">
        <f t="shared" si="0"/>
        <v>110305.32999999999</v>
      </c>
    </row>
    <row r="29" spans="1:29">
      <c r="A29" s="16">
        <v>12</v>
      </c>
      <c r="B29" s="565" t="s">
        <v>1103</v>
      </c>
      <c r="C29" s="566" t="s">
        <v>1069</v>
      </c>
      <c r="D29" s="567" t="s">
        <v>1104</v>
      </c>
      <c r="E29" s="568" t="s">
        <v>1105</v>
      </c>
      <c r="F29" s="567" t="s">
        <v>1074</v>
      </c>
      <c r="G29" s="566" t="s">
        <v>1075</v>
      </c>
      <c r="H29" s="562">
        <v>4.1300000000000003E-2</v>
      </c>
      <c r="I29" s="563"/>
      <c r="J29" s="563"/>
      <c r="K29" s="563"/>
      <c r="L29" s="563">
        <v>0</v>
      </c>
      <c r="M29" s="563">
        <v>0</v>
      </c>
      <c r="N29" s="563">
        <v>0</v>
      </c>
      <c r="O29" s="563">
        <v>0</v>
      </c>
      <c r="P29" s="563">
        <v>0</v>
      </c>
      <c r="Q29" s="563">
        <v>0</v>
      </c>
      <c r="R29" s="563">
        <v>0</v>
      </c>
      <c r="S29" s="563">
        <v>143.84</v>
      </c>
      <c r="T29" s="563">
        <v>1678.71</v>
      </c>
      <c r="U29" s="563">
        <v>45350.63</v>
      </c>
      <c r="V29" s="563">
        <v>17059.03</v>
      </c>
      <c r="W29" s="563">
        <v>10396.68</v>
      </c>
      <c r="X29" s="563">
        <f t="shared" si="1"/>
        <v>74628.89</v>
      </c>
      <c r="Y29" s="563">
        <v>491494.78</v>
      </c>
      <c r="Z29" s="563">
        <v>378425.64</v>
      </c>
      <c r="AA29" s="563">
        <v>1349738.71</v>
      </c>
      <c r="AB29" s="11"/>
      <c r="AC29" s="564">
        <f t="shared" si="0"/>
        <v>2294288.02</v>
      </c>
    </row>
    <row r="30" spans="1:29">
      <c r="A30" s="16">
        <v>13</v>
      </c>
      <c r="B30" s="555" t="s">
        <v>1106</v>
      </c>
      <c r="C30" s="555" t="s">
        <v>1107</v>
      </c>
      <c r="D30" s="558" t="s">
        <v>1108</v>
      </c>
      <c r="E30" s="569" t="s">
        <v>1105</v>
      </c>
      <c r="F30" s="558" t="s">
        <v>1074</v>
      </c>
      <c r="G30" s="555" t="s">
        <v>1109</v>
      </c>
      <c r="H30" s="559">
        <v>1.2500000000000001E-2</v>
      </c>
      <c r="I30" s="560">
        <v>0</v>
      </c>
      <c r="J30" s="560">
        <v>0</v>
      </c>
      <c r="K30" s="560">
        <v>0</v>
      </c>
      <c r="L30" s="560">
        <v>0</v>
      </c>
      <c r="M30" s="560">
        <v>0</v>
      </c>
      <c r="N30" s="560">
        <v>0</v>
      </c>
      <c r="O30" s="560">
        <v>0</v>
      </c>
      <c r="P30" s="560">
        <v>0</v>
      </c>
      <c r="Q30" s="560">
        <v>0</v>
      </c>
      <c r="R30" s="560">
        <v>34057.68</v>
      </c>
      <c r="S30" s="560">
        <v>16919.71</v>
      </c>
      <c r="T30" s="560">
        <v>57710.06</v>
      </c>
      <c r="U30" s="560">
        <v>16298.62</v>
      </c>
      <c r="V30" s="560">
        <v>159971.60999999999</v>
      </c>
      <c r="W30" s="560">
        <v>2178.64</v>
      </c>
      <c r="X30" s="563">
        <f t="shared" si="1"/>
        <v>287136.32</v>
      </c>
      <c r="Y30" s="560">
        <v>140721.99</v>
      </c>
      <c r="Z30" s="560">
        <v>2111.88</v>
      </c>
      <c r="AA30" s="560">
        <v>53927.27</v>
      </c>
      <c r="AB30" s="11"/>
      <c r="AC30" s="570">
        <f t="shared" si="0"/>
        <v>483897.46</v>
      </c>
    </row>
    <row r="31" spans="1:29">
      <c r="A31" s="16">
        <v>14</v>
      </c>
      <c r="B31" s="555"/>
      <c r="C31" s="555" t="s">
        <v>1110</v>
      </c>
      <c r="D31" s="556" t="s">
        <v>1111</v>
      </c>
      <c r="E31" s="557"/>
      <c r="F31" s="558"/>
      <c r="G31" s="555"/>
      <c r="H31" s="559"/>
      <c r="I31" s="560">
        <v>0</v>
      </c>
      <c r="J31" s="560">
        <v>0</v>
      </c>
      <c r="K31" s="560">
        <v>0</v>
      </c>
      <c r="L31" s="560">
        <v>0</v>
      </c>
      <c r="M31" s="560">
        <v>0</v>
      </c>
      <c r="N31" s="560">
        <v>0</v>
      </c>
      <c r="O31" s="560">
        <v>0</v>
      </c>
      <c r="P31" s="560">
        <v>0</v>
      </c>
      <c r="Q31" s="560">
        <v>0</v>
      </c>
      <c r="R31" s="560">
        <v>0</v>
      </c>
      <c r="S31" s="560">
        <v>0</v>
      </c>
      <c r="T31" s="560">
        <v>0</v>
      </c>
      <c r="U31" s="560">
        <v>0</v>
      </c>
      <c r="V31" s="560">
        <v>0</v>
      </c>
      <c r="W31" s="560">
        <v>0</v>
      </c>
      <c r="X31" s="563">
        <f t="shared" si="1"/>
        <v>0</v>
      </c>
      <c r="Y31" s="560">
        <v>0</v>
      </c>
      <c r="Z31" s="560">
        <v>0</v>
      </c>
      <c r="AA31" s="560">
        <v>0</v>
      </c>
      <c r="AB31" s="11"/>
      <c r="AC31" s="564"/>
    </row>
    <row r="32" spans="1:29">
      <c r="A32" s="16">
        <v>15</v>
      </c>
      <c r="B32" s="343" t="s">
        <v>1112</v>
      </c>
      <c r="C32" s="343" t="s">
        <v>1110</v>
      </c>
      <c r="D32" s="76" t="s">
        <v>1113</v>
      </c>
      <c r="E32" s="460" t="s">
        <v>1105</v>
      </c>
      <c r="F32" s="76" t="s">
        <v>1114</v>
      </c>
      <c r="G32" s="343" t="s">
        <v>1115</v>
      </c>
      <c r="H32" s="562">
        <v>1.9199999999999998E-2</v>
      </c>
      <c r="I32" s="563">
        <v>0</v>
      </c>
      <c r="J32" s="563">
        <v>0</v>
      </c>
      <c r="K32" s="563">
        <v>577.02</v>
      </c>
      <c r="L32" s="563">
        <v>3.24</v>
      </c>
      <c r="M32" s="563">
        <v>2952.26</v>
      </c>
      <c r="N32" s="563">
        <v>918.6</v>
      </c>
      <c r="O32" s="563">
        <v>13201.96</v>
      </c>
      <c r="P32" s="563">
        <v>9068.6299999999992</v>
      </c>
      <c r="Q32" s="563">
        <v>137.9</v>
      </c>
      <c r="R32" s="563">
        <v>84.77</v>
      </c>
      <c r="S32" s="563">
        <v>192.36</v>
      </c>
      <c r="T32" s="563">
        <v>130.05000000000001</v>
      </c>
      <c r="U32" s="563">
        <v>123.06</v>
      </c>
      <c r="V32" s="563">
        <v>144.04</v>
      </c>
      <c r="W32" s="563">
        <v>210.51</v>
      </c>
      <c r="X32" s="563">
        <f t="shared" si="1"/>
        <v>27744.400000000001</v>
      </c>
      <c r="Y32" s="563">
        <v>151.09</v>
      </c>
      <c r="Z32" s="563">
        <v>-62.45</v>
      </c>
      <c r="AA32" s="563">
        <v>136.83000000000001</v>
      </c>
      <c r="AB32" s="76"/>
      <c r="AC32" s="564">
        <f t="shared" ref="AC32:AC39" si="2">SUM(I32:AB32)-X32</f>
        <v>27969.870000000003</v>
      </c>
    </row>
    <row r="33" spans="1:29">
      <c r="A33" s="16">
        <v>16</v>
      </c>
      <c r="B33" s="343" t="s">
        <v>1116</v>
      </c>
      <c r="C33" s="343" t="s">
        <v>1110</v>
      </c>
      <c r="D33" s="571" t="s">
        <v>1117</v>
      </c>
      <c r="E33" s="343" t="s">
        <v>1105</v>
      </c>
      <c r="F33" s="571" t="s">
        <v>1114</v>
      </c>
      <c r="G33" s="343" t="s">
        <v>1118</v>
      </c>
      <c r="H33" s="562">
        <v>1.8200000000000001E-2</v>
      </c>
      <c r="I33" s="563">
        <v>0</v>
      </c>
      <c r="J33" s="563">
        <v>0</v>
      </c>
      <c r="K33" s="563">
        <v>0</v>
      </c>
      <c r="L33" s="563">
        <v>0</v>
      </c>
      <c r="M33" s="563">
        <v>0</v>
      </c>
      <c r="N33" s="563">
        <v>1056.42</v>
      </c>
      <c r="O33" s="563">
        <v>-1235.98</v>
      </c>
      <c r="P33" s="563">
        <v>0</v>
      </c>
      <c r="Q33" s="563">
        <v>0</v>
      </c>
      <c r="R33" s="563">
        <v>0</v>
      </c>
      <c r="S33" s="563">
        <v>0</v>
      </c>
      <c r="T33" s="563">
        <v>0</v>
      </c>
      <c r="U33" s="563">
        <v>0</v>
      </c>
      <c r="V33" s="563">
        <v>0</v>
      </c>
      <c r="W33" s="563">
        <v>0</v>
      </c>
      <c r="X33" s="563">
        <f t="shared" si="1"/>
        <v>-179.55999999999995</v>
      </c>
      <c r="Y33" s="563">
        <v>0</v>
      </c>
      <c r="Z33" s="563">
        <v>0</v>
      </c>
      <c r="AA33" s="563">
        <v>0</v>
      </c>
      <c r="AB33" s="11"/>
      <c r="AC33" s="564">
        <f t="shared" si="2"/>
        <v>-179.55999999999995</v>
      </c>
    </row>
    <row r="34" spans="1:29">
      <c r="A34" s="16">
        <v>17</v>
      </c>
      <c r="B34" s="343" t="s">
        <v>1119</v>
      </c>
      <c r="C34" s="343" t="s">
        <v>1110</v>
      </c>
      <c r="D34" s="571" t="s">
        <v>1120</v>
      </c>
      <c r="E34" s="343" t="s">
        <v>1121</v>
      </c>
      <c r="F34" s="571" t="s">
        <v>1114</v>
      </c>
      <c r="G34" s="343" t="s">
        <v>1118</v>
      </c>
      <c r="H34" s="562">
        <v>1.8200000000000001E-2</v>
      </c>
      <c r="I34" s="563">
        <v>0</v>
      </c>
      <c r="J34" s="563">
        <v>0</v>
      </c>
      <c r="K34" s="563">
        <v>0</v>
      </c>
      <c r="L34" s="563">
        <v>0</v>
      </c>
      <c r="M34" s="563">
        <v>2283.4</v>
      </c>
      <c r="N34" s="563">
        <v>102941.2</v>
      </c>
      <c r="O34" s="563">
        <v>28654.240000000002</v>
      </c>
      <c r="P34" s="563">
        <v>40385.589999999997</v>
      </c>
      <c r="Q34" s="563">
        <v>140584.06</v>
      </c>
      <c r="R34" s="563">
        <v>14479.45</v>
      </c>
      <c r="S34" s="563">
        <v>14623.13</v>
      </c>
      <c r="T34" s="563">
        <v>0</v>
      </c>
      <c r="U34" s="563">
        <v>0</v>
      </c>
      <c r="V34" s="563">
        <v>0</v>
      </c>
      <c r="W34" s="563">
        <v>0</v>
      </c>
      <c r="X34" s="563">
        <f t="shared" si="1"/>
        <v>343951.07</v>
      </c>
      <c r="Y34" s="563">
        <v>0</v>
      </c>
      <c r="Z34" s="563">
        <v>0</v>
      </c>
      <c r="AA34" s="563">
        <v>0</v>
      </c>
      <c r="AB34" s="11"/>
      <c r="AC34" s="564">
        <f t="shared" si="2"/>
        <v>343951.07</v>
      </c>
    </row>
    <row r="35" spans="1:29">
      <c r="A35" s="16">
        <v>18</v>
      </c>
      <c r="B35" s="566" t="s">
        <v>1122</v>
      </c>
      <c r="C35" s="343" t="s">
        <v>1110</v>
      </c>
      <c r="D35" s="567" t="s">
        <v>1123</v>
      </c>
      <c r="E35" s="460" t="s">
        <v>1124</v>
      </c>
      <c r="F35" s="571" t="s">
        <v>1114</v>
      </c>
      <c r="G35" s="566" t="s">
        <v>1109</v>
      </c>
      <c r="H35" s="572">
        <v>1.2500000000000001E-2</v>
      </c>
      <c r="I35" s="573">
        <v>0</v>
      </c>
      <c r="J35" s="573">
        <v>0</v>
      </c>
      <c r="K35" s="573">
        <v>0</v>
      </c>
      <c r="L35" s="573">
        <v>0</v>
      </c>
      <c r="M35" s="573">
        <v>0</v>
      </c>
      <c r="N35" s="573">
        <v>19581.27</v>
      </c>
      <c r="O35" s="573">
        <v>15841.61</v>
      </c>
      <c r="P35" s="573">
        <v>7001.95</v>
      </c>
      <c r="Q35" s="573">
        <v>0</v>
      </c>
      <c r="R35" s="573">
        <v>0</v>
      </c>
      <c r="S35" s="573">
        <v>921.69</v>
      </c>
      <c r="T35" s="573">
        <v>0</v>
      </c>
      <c r="U35" s="573">
        <v>0</v>
      </c>
      <c r="V35" s="573">
        <v>0</v>
      </c>
      <c r="W35" s="573">
        <v>0</v>
      </c>
      <c r="X35" s="563">
        <f t="shared" si="1"/>
        <v>43346.520000000004</v>
      </c>
      <c r="Y35" s="573">
        <v>0</v>
      </c>
      <c r="Z35" s="573">
        <v>0</v>
      </c>
      <c r="AA35" s="573">
        <v>0</v>
      </c>
      <c r="AB35" s="11"/>
      <c r="AC35" s="564">
        <f t="shared" si="2"/>
        <v>43346.520000000004</v>
      </c>
    </row>
    <row r="36" spans="1:29">
      <c r="A36" s="16">
        <v>19</v>
      </c>
      <c r="B36" s="574" t="s">
        <v>1125</v>
      </c>
      <c r="C36" s="574" t="s">
        <v>1126</v>
      </c>
      <c r="D36" s="575" t="s">
        <v>1127</v>
      </c>
      <c r="E36" s="576" t="s">
        <v>1128</v>
      </c>
      <c r="F36" s="575" t="s">
        <v>1129</v>
      </c>
      <c r="G36" s="577" t="s">
        <v>1109</v>
      </c>
      <c r="H36" s="578">
        <v>1.2500000000000001E-2</v>
      </c>
      <c r="I36" s="579">
        <v>936.32</v>
      </c>
      <c r="J36" s="579">
        <v>269.57</v>
      </c>
      <c r="K36" s="579">
        <v>16480.060000000001</v>
      </c>
      <c r="L36" s="579">
        <v>11692.24</v>
      </c>
      <c r="M36" s="579">
        <v>753238.6</v>
      </c>
      <c r="N36" s="579">
        <v>475027.76</v>
      </c>
      <c r="O36" s="579">
        <v>2852.36</v>
      </c>
      <c r="P36" s="579">
        <v>20.93</v>
      </c>
      <c r="Q36" s="579">
        <v>0</v>
      </c>
      <c r="R36" s="579">
        <v>0</v>
      </c>
      <c r="S36" s="579">
        <v>0</v>
      </c>
      <c r="T36" s="579">
        <v>-417.25</v>
      </c>
      <c r="U36" s="579">
        <v>0</v>
      </c>
      <c r="V36" s="579">
        <v>0</v>
      </c>
      <c r="W36" s="579">
        <v>0</v>
      </c>
      <c r="X36" s="563">
        <f t="shared" si="1"/>
        <v>1260100.5900000001</v>
      </c>
      <c r="Y36" s="579">
        <v>0</v>
      </c>
      <c r="Z36" s="579">
        <v>0</v>
      </c>
      <c r="AA36" s="579">
        <v>0</v>
      </c>
      <c r="AB36" s="11"/>
      <c r="AC36" s="570">
        <f t="shared" si="2"/>
        <v>1260100.5900000001</v>
      </c>
    </row>
    <row r="37" spans="1:29">
      <c r="A37" s="16">
        <v>20</v>
      </c>
      <c r="B37" s="580" t="s">
        <v>1130</v>
      </c>
      <c r="C37" s="580" t="s">
        <v>1131</v>
      </c>
      <c r="D37" s="558" t="s">
        <v>1132</v>
      </c>
      <c r="E37" s="569" t="s">
        <v>1133</v>
      </c>
      <c r="F37" s="558" t="s">
        <v>1134</v>
      </c>
      <c r="G37" s="555" t="s">
        <v>1109</v>
      </c>
      <c r="H37" s="581">
        <v>1.2500000000000001E-2</v>
      </c>
      <c r="I37" s="560">
        <v>0</v>
      </c>
      <c r="J37" s="560">
        <v>42746</v>
      </c>
      <c r="K37" s="560">
        <v>646272.68000000005</v>
      </c>
      <c r="L37" s="560">
        <v>646741.66</v>
      </c>
      <c r="M37" s="560">
        <v>389376.8</v>
      </c>
      <c r="N37" s="560">
        <v>96345.52</v>
      </c>
      <c r="O37" s="560">
        <v>7803.93</v>
      </c>
      <c r="P37" s="560">
        <v>112.47</v>
      </c>
      <c r="Q37" s="560">
        <v>62.62</v>
      </c>
      <c r="R37" s="560">
        <v>912.03</v>
      </c>
      <c r="S37" s="560">
        <v>300.18</v>
      </c>
      <c r="T37" s="560">
        <v>0</v>
      </c>
      <c r="U37" s="560">
        <v>0</v>
      </c>
      <c r="V37" s="560">
        <v>0</v>
      </c>
      <c r="W37" s="560">
        <v>0</v>
      </c>
      <c r="X37" s="563">
        <f t="shared" si="1"/>
        <v>1830673.8900000001</v>
      </c>
      <c r="Y37" s="560">
        <v>0</v>
      </c>
      <c r="Z37" s="560">
        <v>0</v>
      </c>
      <c r="AA37" s="560">
        <v>0</v>
      </c>
      <c r="AB37" s="11"/>
      <c r="AC37" s="570">
        <f t="shared" si="2"/>
        <v>1830673.8900000001</v>
      </c>
    </row>
    <row r="38" spans="1:29">
      <c r="A38" s="16">
        <v>21</v>
      </c>
      <c r="B38" s="574" t="s">
        <v>1135</v>
      </c>
      <c r="C38" s="574" t="s">
        <v>1136</v>
      </c>
      <c r="D38" s="575" t="s">
        <v>1137</v>
      </c>
      <c r="E38" s="576" t="s">
        <v>1138</v>
      </c>
      <c r="F38" s="575" t="s">
        <v>1114</v>
      </c>
      <c r="G38" s="577" t="s">
        <v>1109</v>
      </c>
      <c r="H38" s="578">
        <v>1.2500000000000001E-2</v>
      </c>
      <c r="I38" s="560">
        <v>0</v>
      </c>
      <c r="J38" s="560">
        <v>0</v>
      </c>
      <c r="K38" s="560">
        <v>0</v>
      </c>
      <c r="L38" s="560">
        <v>0</v>
      </c>
      <c r="M38" s="560">
        <v>32262.57</v>
      </c>
      <c r="N38" s="560">
        <v>0</v>
      </c>
      <c r="O38" s="560">
        <v>0</v>
      </c>
      <c r="P38" s="560">
        <v>0</v>
      </c>
      <c r="Q38" s="560">
        <v>0</v>
      </c>
      <c r="R38" s="560">
        <v>0</v>
      </c>
      <c r="S38" s="560">
        <v>0</v>
      </c>
      <c r="T38" s="560">
        <v>0</v>
      </c>
      <c r="U38" s="560">
        <v>0</v>
      </c>
      <c r="V38" s="560">
        <v>0</v>
      </c>
      <c r="W38" s="560">
        <v>0</v>
      </c>
      <c r="X38" s="563">
        <f t="shared" si="1"/>
        <v>32262.57</v>
      </c>
      <c r="Y38" s="560">
        <v>0</v>
      </c>
      <c r="Z38" s="560">
        <v>0</v>
      </c>
      <c r="AA38" s="560">
        <v>0</v>
      </c>
      <c r="AB38" s="11"/>
      <c r="AC38" s="570">
        <f t="shared" si="2"/>
        <v>32262.57</v>
      </c>
    </row>
    <row r="39" spans="1:29">
      <c r="A39" s="16">
        <v>22</v>
      </c>
      <c r="B39" s="580" t="s">
        <v>1139</v>
      </c>
      <c r="C39" s="580" t="s">
        <v>1140</v>
      </c>
      <c r="D39" s="558" t="s">
        <v>1141</v>
      </c>
      <c r="E39" s="569" t="s">
        <v>1142</v>
      </c>
      <c r="F39" s="558" t="s">
        <v>1134</v>
      </c>
      <c r="G39" s="555"/>
      <c r="H39" s="581">
        <v>2.1999999999999999E-2</v>
      </c>
      <c r="I39" s="560">
        <v>0</v>
      </c>
      <c r="J39" s="560">
        <v>0</v>
      </c>
      <c r="K39" s="560">
        <v>0</v>
      </c>
      <c r="L39" s="560">
        <v>3917.49</v>
      </c>
      <c r="M39" s="560">
        <v>14511.94</v>
      </c>
      <c r="N39" s="560">
        <v>61616.03</v>
      </c>
      <c r="O39" s="560">
        <v>503.21</v>
      </c>
      <c r="P39" s="560">
        <v>466.24</v>
      </c>
      <c r="Q39" s="560">
        <v>11529.23</v>
      </c>
      <c r="R39" s="560">
        <v>0</v>
      </c>
      <c r="S39" s="560">
        <v>0</v>
      </c>
      <c r="T39" s="560">
        <v>0</v>
      </c>
      <c r="U39" s="560">
        <v>0</v>
      </c>
      <c r="V39" s="560">
        <v>0</v>
      </c>
      <c r="W39" s="560">
        <v>0</v>
      </c>
      <c r="X39" s="563">
        <f t="shared" si="1"/>
        <v>92544.14</v>
      </c>
      <c r="Y39" s="560">
        <v>0</v>
      </c>
      <c r="Z39" s="560">
        <v>0</v>
      </c>
      <c r="AA39" s="560">
        <v>0</v>
      </c>
      <c r="AB39" s="11"/>
      <c r="AC39" s="570">
        <f t="shared" si="2"/>
        <v>92544.14</v>
      </c>
    </row>
    <row r="40" spans="1:29">
      <c r="A40" s="16">
        <v>23</v>
      </c>
      <c r="B40" s="580"/>
      <c r="C40" s="580" t="s">
        <v>1143</v>
      </c>
      <c r="D40" s="556" t="s">
        <v>1144</v>
      </c>
      <c r="E40" s="557"/>
      <c r="F40" s="558" t="s">
        <v>1145</v>
      </c>
      <c r="G40" s="555"/>
      <c r="H40" s="581"/>
      <c r="I40" s="560">
        <v>0</v>
      </c>
      <c r="J40" s="560">
        <v>0</v>
      </c>
      <c r="K40" s="560">
        <v>0</v>
      </c>
      <c r="L40" s="560">
        <v>0</v>
      </c>
      <c r="M40" s="560">
        <v>0</v>
      </c>
      <c r="N40" s="560">
        <v>0</v>
      </c>
      <c r="O40" s="560">
        <v>0</v>
      </c>
      <c r="P40" s="560">
        <v>0</v>
      </c>
      <c r="Q40" s="560">
        <v>0</v>
      </c>
      <c r="R40" s="560">
        <v>0</v>
      </c>
      <c r="S40" s="560">
        <v>0</v>
      </c>
      <c r="T40" s="560">
        <v>0</v>
      </c>
      <c r="U40" s="560">
        <v>0</v>
      </c>
      <c r="V40" s="560">
        <v>0</v>
      </c>
      <c r="W40" s="560">
        <v>0</v>
      </c>
      <c r="X40" s="563">
        <f t="shared" si="1"/>
        <v>0</v>
      </c>
      <c r="Y40" s="560">
        <v>0</v>
      </c>
      <c r="Z40" s="560">
        <v>0</v>
      </c>
      <c r="AA40" s="560">
        <v>0</v>
      </c>
      <c r="AB40" s="11"/>
      <c r="AC40" s="561"/>
    </row>
    <row r="41" spans="1:29">
      <c r="A41" s="16">
        <v>24</v>
      </c>
      <c r="B41" s="343" t="s">
        <v>1146</v>
      </c>
      <c r="C41" s="582" t="s">
        <v>1143</v>
      </c>
      <c r="D41" s="76" t="s">
        <v>1147</v>
      </c>
      <c r="E41" s="460" t="s">
        <v>1148</v>
      </c>
      <c r="F41" s="76" t="s">
        <v>1145</v>
      </c>
      <c r="G41" s="343" t="s">
        <v>1149</v>
      </c>
      <c r="H41" s="583"/>
      <c r="I41" s="563"/>
      <c r="J41" s="563"/>
      <c r="K41" s="563"/>
      <c r="L41" s="563">
        <v>0</v>
      </c>
      <c r="M41" s="563">
        <v>0</v>
      </c>
      <c r="N41" s="563">
        <v>0</v>
      </c>
      <c r="O41" s="563">
        <v>0</v>
      </c>
      <c r="P41" s="563">
        <v>0</v>
      </c>
      <c r="Q41" s="563">
        <v>0</v>
      </c>
      <c r="R41" s="563">
        <v>0</v>
      </c>
      <c r="S41" s="563">
        <v>0</v>
      </c>
      <c r="T41" s="563">
        <v>0</v>
      </c>
      <c r="U41" s="563">
        <v>0</v>
      </c>
      <c r="V41" s="563">
        <v>0</v>
      </c>
      <c r="W41" s="563">
        <v>0</v>
      </c>
      <c r="X41" s="563">
        <f t="shared" si="1"/>
        <v>0</v>
      </c>
      <c r="Y41" s="563">
        <v>0</v>
      </c>
      <c r="Z41" s="563">
        <v>0</v>
      </c>
      <c r="AA41" s="563">
        <v>0</v>
      </c>
      <c r="AB41" s="11"/>
      <c r="AC41" s="564">
        <f t="shared" ref="AC41:AC54" si="3">SUM(I41:AB41)-X41</f>
        <v>0</v>
      </c>
    </row>
    <row r="42" spans="1:29">
      <c r="A42" s="16">
        <v>25</v>
      </c>
      <c r="B42" s="582" t="s">
        <v>1150</v>
      </c>
      <c r="C42" s="582" t="s">
        <v>1143</v>
      </c>
      <c r="D42" s="76" t="s">
        <v>1151</v>
      </c>
      <c r="E42" s="460" t="s">
        <v>1152</v>
      </c>
      <c r="F42" s="76" t="s">
        <v>1145</v>
      </c>
      <c r="G42" s="343" t="s">
        <v>1149</v>
      </c>
      <c r="H42" s="583"/>
      <c r="I42" s="563"/>
      <c r="J42" s="563"/>
      <c r="K42" s="563"/>
      <c r="L42" s="563">
        <v>0</v>
      </c>
      <c r="M42" s="563">
        <v>0</v>
      </c>
      <c r="N42" s="563">
        <v>194.57</v>
      </c>
      <c r="O42" s="563">
        <v>0</v>
      </c>
      <c r="P42" s="563">
        <v>0</v>
      </c>
      <c r="Q42" s="563">
        <v>0</v>
      </c>
      <c r="R42" s="563">
        <v>0</v>
      </c>
      <c r="S42" s="563">
        <v>0</v>
      </c>
      <c r="T42" s="563">
        <v>0</v>
      </c>
      <c r="U42" s="563">
        <v>0</v>
      </c>
      <c r="V42" s="563">
        <v>0</v>
      </c>
      <c r="W42" s="563">
        <v>0</v>
      </c>
      <c r="X42" s="563">
        <f t="shared" si="1"/>
        <v>194.57</v>
      </c>
      <c r="Y42" s="563">
        <v>0</v>
      </c>
      <c r="Z42" s="563">
        <v>0</v>
      </c>
      <c r="AA42" s="563">
        <v>0</v>
      </c>
      <c r="AB42" s="11"/>
      <c r="AC42" s="564">
        <f t="shared" si="3"/>
        <v>194.57</v>
      </c>
    </row>
    <row r="43" spans="1:29">
      <c r="A43" s="16">
        <v>26</v>
      </c>
      <c r="B43" s="582"/>
      <c r="C43" s="582"/>
      <c r="D43" s="76" t="s">
        <v>1153</v>
      </c>
      <c r="E43" s="460"/>
      <c r="F43" s="76" t="s">
        <v>1145</v>
      </c>
      <c r="G43" s="343"/>
      <c r="H43" s="583"/>
      <c r="I43" s="563"/>
      <c r="J43" s="563"/>
      <c r="K43" s="563"/>
      <c r="L43" s="563">
        <v>0</v>
      </c>
      <c r="M43" s="563">
        <v>0</v>
      </c>
      <c r="N43" s="563">
        <v>0</v>
      </c>
      <c r="O43" s="563">
        <v>0</v>
      </c>
      <c r="P43" s="563">
        <v>0</v>
      </c>
      <c r="Q43" s="563">
        <v>0</v>
      </c>
      <c r="R43" s="563">
        <v>0</v>
      </c>
      <c r="S43" s="563">
        <v>0</v>
      </c>
      <c r="T43" s="563">
        <v>0</v>
      </c>
      <c r="U43" s="563">
        <v>0</v>
      </c>
      <c r="V43" s="563">
        <v>0</v>
      </c>
      <c r="W43" s="563">
        <v>0</v>
      </c>
      <c r="X43" s="563">
        <f t="shared" si="1"/>
        <v>0</v>
      </c>
      <c r="Y43" s="563">
        <v>0</v>
      </c>
      <c r="Z43" s="563">
        <v>0</v>
      </c>
      <c r="AA43" s="563">
        <v>0</v>
      </c>
      <c r="AB43" s="11"/>
      <c r="AC43" s="564">
        <f t="shared" si="3"/>
        <v>0</v>
      </c>
    </row>
    <row r="44" spans="1:29">
      <c r="A44" s="16">
        <v>27</v>
      </c>
      <c r="B44" s="582" t="s">
        <v>1154</v>
      </c>
      <c r="C44" s="582" t="s">
        <v>1143</v>
      </c>
      <c r="D44" s="571" t="s">
        <v>1155</v>
      </c>
      <c r="E44" s="460" t="s">
        <v>1156</v>
      </c>
      <c r="F44" s="76" t="s">
        <v>1145</v>
      </c>
      <c r="G44" s="343" t="s">
        <v>1149</v>
      </c>
      <c r="H44" s="583"/>
      <c r="I44" s="563"/>
      <c r="J44" s="563"/>
      <c r="K44" s="563"/>
      <c r="L44" s="563">
        <v>371622.84</v>
      </c>
      <c r="M44" s="563">
        <v>246610.39</v>
      </c>
      <c r="N44" s="563">
        <v>351686</v>
      </c>
      <c r="O44" s="563">
        <v>29234.19</v>
      </c>
      <c r="P44" s="563">
        <v>-55401.67</v>
      </c>
      <c r="Q44" s="563">
        <v>541161.93999999994</v>
      </c>
      <c r="R44" s="563">
        <v>2472.11</v>
      </c>
      <c r="S44" s="563">
        <v>288929.71999999997</v>
      </c>
      <c r="T44" s="563">
        <v>24466.59</v>
      </c>
      <c r="U44" s="563">
        <v>343</v>
      </c>
      <c r="V44" s="563">
        <v>0</v>
      </c>
      <c r="W44" s="563">
        <v>0</v>
      </c>
      <c r="X44" s="563">
        <f t="shared" si="1"/>
        <v>1801125.11</v>
      </c>
      <c r="Y44" s="563">
        <v>0</v>
      </c>
      <c r="Z44" s="563">
        <v>0</v>
      </c>
      <c r="AA44" s="563">
        <v>0</v>
      </c>
      <c r="AB44" s="11"/>
      <c r="AC44" s="564">
        <f t="shared" si="3"/>
        <v>1801125.11</v>
      </c>
    </row>
    <row r="45" spans="1:29">
      <c r="A45" s="16">
        <v>28</v>
      </c>
      <c r="B45" s="582" t="s">
        <v>1157</v>
      </c>
      <c r="C45" s="582" t="s">
        <v>1143</v>
      </c>
      <c r="D45" s="571" t="s">
        <v>1158</v>
      </c>
      <c r="E45" s="460" t="s">
        <v>1159</v>
      </c>
      <c r="F45" s="76" t="s">
        <v>1145</v>
      </c>
      <c r="G45" s="343" t="s">
        <v>1149</v>
      </c>
      <c r="H45" s="583"/>
      <c r="I45" s="563"/>
      <c r="J45" s="563"/>
      <c r="K45" s="563"/>
      <c r="L45" s="563">
        <v>0</v>
      </c>
      <c r="M45" s="563">
        <v>0</v>
      </c>
      <c r="N45" s="563">
        <v>0</v>
      </c>
      <c r="O45" s="563">
        <v>0</v>
      </c>
      <c r="P45" s="563">
        <v>0</v>
      </c>
      <c r="Q45" s="563">
        <v>0</v>
      </c>
      <c r="R45" s="563">
        <v>0</v>
      </c>
      <c r="S45" s="563">
        <v>17270.02</v>
      </c>
      <c r="T45" s="563">
        <v>461824.13</v>
      </c>
      <c r="U45" s="563">
        <v>58403.35</v>
      </c>
      <c r="V45" s="563">
        <v>244032.88</v>
      </c>
      <c r="W45" s="563">
        <v>179.58</v>
      </c>
      <c r="X45" s="563">
        <f t="shared" si="1"/>
        <v>781709.96</v>
      </c>
      <c r="Y45" s="563">
        <v>4494.07</v>
      </c>
      <c r="Z45" s="563">
        <v>4656.17</v>
      </c>
      <c r="AA45" s="563">
        <v>0</v>
      </c>
      <c r="AB45" s="11"/>
      <c r="AC45" s="564">
        <f t="shared" si="3"/>
        <v>790860.2</v>
      </c>
    </row>
    <row r="46" spans="1:29">
      <c r="A46" s="16">
        <v>29</v>
      </c>
      <c r="B46" s="582" t="s">
        <v>1160</v>
      </c>
      <c r="C46" s="582" t="s">
        <v>1143</v>
      </c>
      <c r="D46" s="571" t="s">
        <v>1161</v>
      </c>
      <c r="E46" s="460" t="s">
        <v>1162</v>
      </c>
      <c r="F46" s="76" t="s">
        <v>1145</v>
      </c>
      <c r="G46" s="343" t="s">
        <v>1149</v>
      </c>
      <c r="H46" s="583"/>
      <c r="I46" s="563"/>
      <c r="J46" s="563"/>
      <c r="K46" s="563"/>
      <c r="L46" s="563">
        <v>88470.05</v>
      </c>
      <c r="M46" s="563">
        <v>40560.379999999997</v>
      </c>
      <c r="N46" s="563">
        <v>499.53</v>
      </c>
      <c r="O46" s="563">
        <v>63.06</v>
      </c>
      <c r="P46" s="563">
        <v>2087.1799999999998</v>
      </c>
      <c r="Q46" s="563">
        <v>31042.17</v>
      </c>
      <c r="R46" s="563">
        <v>2330.23</v>
      </c>
      <c r="S46" s="563">
        <v>-59787.75</v>
      </c>
      <c r="T46" s="563">
        <v>0</v>
      </c>
      <c r="U46" s="563">
        <v>544.46</v>
      </c>
      <c r="V46" s="563">
        <v>0</v>
      </c>
      <c r="W46" s="563">
        <v>0</v>
      </c>
      <c r="X46" s="563">
        <f t="shared" si="1"/>
        <v>105809.31000000001</v>
      </c>
      <c r="Y46" s="563">
        <v>0</v>
      </c>
      <c r="Z46" s="563">
        <v>0</v>
      </c>
      <c r="AA46" s="563">
        <v>0</v>
      </c>
      <c r="AB46" s="11"/>
      <c r="AC46" s="564">
        <f t="shared" si="3"/>
        <v>105809.31000000001</v>
      </c>
    </row>
    <row r="47" spans="1:29">
      <c r="A47" s="16">
        <v>30</v>
      </c>
      <c r="B47" s="582" t="s">
        <v>1163</v>
      </c>
      <c r="C47" s="582" t="s">
        <v>1143</v>
      </c>
      <c r="D47" s="571" t="s">
        <v>1164</v>
      </c>
      <c r="E47" s="460" t="s">
        <v>1165</v>
      </c>
      <c r="F47" s="76" t="s">
        <v>1145</v>
      </c>
      <c r="G47" s="343" t="s">
        <v>1149</v>
      </c>
      <c r="H47" s="583"/>
      <c r="I47" s="563"/>
      <c r="J47" s="563"/>
      <c r="K47" s="563"/>
      <c r="L47" s="563">
        <v>1023.95</v>
      </c>
      <c r="M47" s="563">
        <v>8647.7000000000007</v>
      </c>
      <c r="N47" s="563">
        <v>939.63</v>
      </c>
      <c r="O47" s="563">
        <v>5016.34</v>
      </c>
      <c r="P47" s="563">
        <v>171.58</v>
      </c>
      <c r="Q47" s="563">
        <v>7496.11</v>
      </c>
      <c r="R47" s="563">
        <v>112.23</v>
      </c>
      <c r="S47" s="563">
        <v>0</v>
      </c>
      <c r="T47" s="563">
        <v>0</v>
      </c>
      <c r="U47" s="563">
        <v>0</v>
      </c>
      <c r="V47" s="563">
        <v>0</v>
      </c>
      <c r="W47" s="563">
        <v>0</v>
      </c>
      <c r="X47" s="563">
        <f t="shared" si="1"/>
        <v>23407.54</v>
      </c>
      <c r="Y47" s="563">
        <v>0</v>
      </c>
      <c r="Z47" s="563">
        <v>0</v>
      </c>
      <c r="AA47" s="563">
        <v>0</v>
      </c>
      <c r="AB47" s="11"/>
      <c r="AC47" s="564">
        <f t="shared" si="3"/>
        <v>23407.54</v>
      </c>
    </row>
    <row r="48" spans="1:29">
      <c r="A48" s="16">
        <v>31</v>
      </c>
      <c r="B48" s="582" t="s">
        <v>1166</v>
      </c>
      <c r="C48" s="582" t="s">
        <v>1143</v>
      </c>
      <c r="D48" s="571" t="s">
        <v>1155</v>
      </c>
      <c r="E48" s="460" t="s">
        <v>1167</v>
      </c>
      <c r="F48" s="76" t="s">
        <v>1145</v>
      </c>
      <c r="G48" s="343" t="s">
        <v>1149</v>
      </c>
      <c r="H48" s="583"/>
      <c r="I48" s="563"/>
      <c r="J48" s="563"/>
      <c r="K48" s="563"/>
      <c r="L48" s="563">
        <v>0</v>
      </c>
      <c r="M48" s="563">
        <v>0</v>
      </c>
      <c r="N48" s="563">
        <v>0</v>
      </c>
      <c r="O48" s="563">
        <v>0</v>
      </c>
      <c r="P48" s="563">
        <v>0</v>
      </c>
      <c r="Q48" s="563">
        <v>2962.67</v>
      </c>
      <c r="R48" s="563">
        <v>9.35</v>
      </c>
      <c r="S48" s="563">
        <v>2525.69</v>
      </c>
      <c r="T48" s="563">
        <v>8728.11</v>
      </c>
      <c r="U48" s="563">
        <v>75935.210000000006</v>
      </c>
      <c r="V48" s="563">
        <v>15718.82</v>
      </c>
      <c r="W48" s="563">
        <v>529749.19999999995</v>
      </c>
      <c r="X48" s="563">
        <f t="shared" si="1"/>
        <v>635629.04999999993</v>
      </c>
      <c r="Y48" s="563">
        <v>381778.59</v>
      </c>
      <c r="Z48" s="563">
        <v>110441.86</v>
      </c>
      <c r="AA48" s="563">
        <v>7167.46</v>
      </c>
      <c r="AB48" s="11"/>
      <c r="AC48" s="564">
        <f t="shared" si="3"/>
        <v>1135016.96</v>
      </c>
    </row>
    <row r="49" spans="1:29">
      <c r="A49" s="16">
        <v>32</v>
      </c>
      <c r="B49" s="582" t="s">
        <v>1168</v>
      </c>
      <c r="C49" s="582" t="s">
        <v>1143</v>
      </c>
      <c r="D49" s="571" t="s">
        <v>1158</v>
      </c>
      <c r="E49" s="460" t="s">
        <v>1169</v>
      </c>
      <c r="F49" s="76" t="s">
        <v>1145</v>
      </c>
      <c r="G49" s="343" t="s">
        <v>1149</v>
      </c>
      <c r="H49" s="583"/>
      <c r="I49" s="563"/>
      <c r="J49" s="563"/>
      <c r="K49" s="563"/>
      <c r="L49" s="563">
        <v>0</v>
      </c>
      <c r="M49" s="563">
        <v>0</v>
      </c>
      <c r="N49" s="563">
        <v>0</v>
      </c>
      <c r="O49" s="563">
        <v>0</v>
      </c>
      <c r="P49" s="563">
        <v>0</v>
      </c>
      <c r="Q49" s="563">
        <v>0</v>
      </c>
      <c r="R49" s="563">
        <v>0</v>
      </c>
      <c r="S49" s="563">
        <v>0</v>
      </c>
      <c r="T49" s="563">
        <v>0</v>
      </c>
      <c r="U49" s="563">
        <v>35.909999999999997</v>
      </c>
      <c r="V49" s="563">
        <v>0.19</v>
      </c>
      <c r="W49" s="563">
        <v>0.28000000000000003</v>
      </c>
      <c r="X49" s="563">
        <f t="shared" si="1"/>
        <v>36.379999999999995</v>
      </c>
      <c r="Y49" s="563">
        <v>256635.69</v>
      </c>
      <c r="Z49" s="563">
        <v>131442.23000000001</v>
      </c>
      <c r="AA49" s="563">
        <v>23357.8</v>
      </c>
      <c r="AB49" s="11"/>
      <c r="AC49" s="564">
        <f t="shared" si="3"/>
        <v>411472.10000000003</v>
      </c>
    </row>
    <row r="50" spans="1:29">
      <c r="A50" s="16">
        <v>33</v>
      </c>
      <c r="B50" s="582" t="s">
        <v>1170</v>
      </c>
      <c r="C50" s="582" t="s">
        <v>1143</v>
      </c>
      <c r="D50" s="571" t="s">
        <v>1161</v>
      </c>
      <c r="E50" s="460" t="s">
        <v>1171</v>
      </c>
      <c r="F50" s="76" t="s">
        <v>1145</v>
      </c>
      <c r="G50" s="343" t="s">
        <v>1149</v>
      </c>
      <c r="H50" s="583"/>
      <c r="I50" s="563"/>
      <c r="J50" s="563"/>
      <c r="K50" s="563"/>
      <c r="L50" s="563">
        <v>0</v>
      </c>
      <c r="M50" s="563">
        <v>0</v>
      </c>
      <c r="N50" s="563">
        <v>0</v>
      </c>
      <c r="O50" s="563">
        <v>0</v>
      </c>
      <c r="P50" s="563">
        <v>0</v>
      </c>
      <c r="Q50" s="563">
        <v>0</v>
      </c>
      <c r="R50" s="563">
        <v>0</v>
      </c>
      <c r="S50" s="563">
        <v>0</v>
      </c>
      <c r="T50" s="563">
        <v>0</v>
      </c>
      <c r="U50" s="563">
        <v>915.2</v>
      </c>
      <c r="V50" s="563">
        <v>4.8</v>
      </c>
      <c r="W50" s="563">
        <v>75831.44</v>
      </c>
      <c r="X50" s="563">
        <f t="shared" si="1"/>
        <v>76751.44</v>
      </c>
      <c r="Y50" s="563">
        <v>528141.15</v>
      </c>
      <c r="Z50" s="563">
        <v>38419.31</v>
      </c>
      <c r="AA50" s="563">
        <v>8714.77</v>
      </c>
      <c r="AB50" s="11"/>
      <c r="AC50" s="564">
        <f t="shared" si="3"/>
        <v>652026.67000000016</v>
      </c>
    </row>
    <row r="51" spans="1:29">
      <c r="A51" s="16">
        <v>34</v>
      </c>
      <c r="B51" s="582" t="s">
        <v>1172</v>
      </c>
      <c r="C51" s="582" t="s">
        <v>1143</v>
      </c>
      <c r="D51" s="571" t="s">
        <v>1164</v>
      </c>
      <c r="E51" s="460" t="s">
        <v>1171</v>
      </c>
      <c r="F51" s="76" t="s">
        <v>1145</v>
      </c>
      <c r="G51" s="343" t="s">
        <v>1149</v>
      </c>
      <c r="H51" s="583"/>
      <c r="I51" s="563"/>
      <c r="J51" s="563"/>
      <c r="K51" s="563"/>
      <c r="L51" s="563">
        <v>0</v>
      </c>
      <c r="M51" s="563">
        <v>0</v>
      </c>
      <c r="N51" s="563">
        <v>0</v>
      </c>
      <c r="O51" s="563">
        <v>0</v>
      </c>
      <c r="P51" s="563">
        <v>0</v>
      </c>
      <c r="Q51" s="563">
        <v>0</v>
      </c>
      <c r="R51" s="563">
        <v>0</v>
      </c>
      <c r="S51" s="563">
        <v>0</v>
      </c>
      <c r="T51" s="563">
        <v>0</v>
      </c>
      <c r="U51" s="563">
        <v>509.38</v>
      </c>
      <c r="V51" s="563">
        <v>969.02</v>
      </c>
      <c r="W51" s="563">
        <v>122182.59</v>
      </c>
      <c r="X51" s="563">
        <f t="shared" si="1"/>
        <v>123660.98999999999</v>
      </c>
      <c r="Y51" s="563">
        <v>170420.55</v>
      </c>
      <c r="Z51" s="563">
        <v>64640.17</v>
      </c>
      <c r="AA51" s="563">
        <v>3653.56</v>
      </c>
      <c r="AB51" s="11"/>
      <c r="AC51" s="564">
        <f t="shared" si="3"/>
        <v>362375.26999999996</v>
      </c>
    </row>
    <row r="52" spans="1:29">
      <c r="A52" s="16">
        <v>35</v>
      </c>
      <c r="B52" s="580" t="s">
        <v>1173</v>
      </c>
      <c r="C52" s="580" t="s">
        <v>1174</v>
      </c>
      <c r="D52" s="558" t="s">
        <v>1175</v>
      </c>
      <c r="E52" s="569" t="s">
        <v>1176</v>
      </c>
      <c r="F52" s="558" t="s">
        <v>1145</v>
      </c>
      <c r="G52" s="555" t="s">
        <v>1118</v>
      </c>
      <c r="H52" s="581">
        <v>1.8200000000000001E-2</v>
      </c>
      <c r="I52" s="560">
        <v>0</v>
      </c>
      <c r="J52" s="560">
        <v>0</v>
      </c>
      <c r="K52" s="560">
        <v>0</v>
      </c>
      <c r="L52" s="560">
        <v>32.72</v>
      </c>
      <c r="M52" s="560">
        <v>0.18</v>
      </c>
      <c r="N52" s="560">
        <v>325875.51</v>
      </c>
      <c r="O52" s="560">
        <v>-172058.38</v>
      </c>
      <c r="P52" s="560">
        <v>19451.61</v>
      </c>
      <c r="Q52" s="560">
        <v>0</v>
      </c>
      <c r="R52" s="560">
        <v>0</v>
      </c>
      <c r="S52" s="560">
        <v>0</v>
      </c>
      <c r="T52" s="560">
        <v>0</v>
      </c>
      <c r="U52" s="560">
        <v>0</v>
      </c>
      <c r="V52" s="560">
        <v>0</v>
      </c>
      <c r="W52" s="560">
        <v>0</v>
      </c>
      <c r="X52" s="563">
        <f t="shared" si="1"/>
        <v>173301.64</v>
      </c>
      <c r="Y52" s="560">
        <v>0</v>
      </c>
      <c r="Z52" s="560">
        <v>0</v>
      </c>
      <c r="AA52" s="560">
        <v>0</v>
      </c>
      <c r="AB52" s="11"/>
      <c r="AC52" s="570">
        <f t="shared" si="3"/>
        <v>173301.64</v>
      </c>
    </row>
    <row r="53" spans="1:29">
      <c r="A53" s="16">
        <v>36</v>
      </c>
      <c r="B53" s="580" t="s">
        <v>1177</v>
      </c>
      <c r="C53" s="580" t="s">
        <v>1178</v>
      </c>
      <c r="D53" s="558" t="s">
        <v>1179</v>
      </c>
      <c r="E53" s="569" t="s">
        <v>1105</v>
      </c>
      <c r="F53" s="558" t="s">
        <v>1145</v>
      </c>
      <c r="G53" s="555" t="s">
        <v>1118</v>
      </c>
      <c r="H53" s="581">
        <v>1.8200000000000001E-2</v>
      </c>
      <c r="I53" s="560">
        <v>539.79</v>
      </c>
      <c r="J53" s="560">
        <v>199.99</v>
      </c>
      <c r="K53" s="560">
        <v>193.6</v>
      </c>
      <c r="L53" s="560">
        <v>223.26</v>
      </c>
      <c r="M53" s="560">
        <v>189.63</v>
      </c>
      <c r="N53" s="560">
        <v>869.97</v>
      </c>
      <c r="O53" s="560">
        <v>185.13</v>
      </c>
      <c r="P53" s="560">
        <v>6302.55</v>
      </c>
      <c r="Q53" s="560">
        <v>11256.46</v>
      </c>
      <c r="R53" s="560">
        <v>4007.87</v>
      </c>
      <c r="S53" s="560">
        <v>406.81</v>
      </c>
      <c r="T53" s="560">
        <v>275.04000000000002</v>
      </c>
      <c r="U53" s="560">
        <v>1235.31</v>
      </c>
      <c r="V53" s="560">
        <v>1200.93</v>
      </c>
      <c r="W53" s="560">
        <v>459.48</v>
      </c>
      <c r="X53" s="563">
        <f t="shared" si="1"/>
        <v>27545.82</v>
      </c>
      <c r="Y53" s="560">
        <v>14974.03</v>
      </c>
      <c r="Z53" s="560">
        <v>818.31</v>
      </c>
      <c r="AA53" s="560">
        <v>3641.05</v>
      </c>
      <c r="AB53" s="11"/>
      <c r="AC53" s="570">
        <f t="shared" si="3"/>
        <v>46979.21</v>
      </c>
    </row>
    <row r="54" spans="1:29">
      <c r="A54" s="16">
        <v>37</v>
      </c>
      <c r="B54" s="580" t="s">
        <v>1180</v>
      </c>
      <c r="C54" s="580" t="s">
        <v>1181</v>
      </c>
      <c r="D54" s="558" t="s">
        <v>1182</v>
      </c>
      <c r="E54" s="569" t="s">
        <v>1183</v>
      </c>
      <c r="F54" s="558" t="s">
        <v>1184</v>
      </c>
      <c r="G54" s="555" t="s">
        <v>1109</v>
      </c>
      <c r="H54" s="581">
        <v>1.2500000000000001E-2</v>
      </c>
      <c r="I54" s="560">
        <v>0</v>
      </c>
      <c r="J54" s="560"/>
      <c r="K54" s="560"/>
      <c r="L54" s="560">
        <v>3398.4</v>
      </c>
      <c r="M54" s="560">
        <v>1108.17</v>
      </c>
      <c r="N54" s="560">
        <v>-242.74</v>
      </c>
      <c r="O54" s="560">
        <v>0</v>
      </c>
      <c r="P54" s="560">
        <v>0</v>
      </c>
      <c r="Q54" s="560">
        <v>0</v>
      </c>
      <c r="R54" s="560">
        <v>0</v>
      </c>
      <c r="S54" s="560">
        <v>0</v>
      </c>
      <c r="T54" s="560">
        <v>0</v>
      </c>
      <c r="U54" s="560">
        <v>0</v>
      </c>
      <c r="V54" s="560">
        <v>0</v>
      </c>
      <c r="W54" s="560">
        <v>0</v>
      </c>
      <c r="X54" s="563">
        <f t="shared" si="1"/>
        <v>4263.83</v>
      </c>
      <c r="Y54" s="560">
        <v>0</v>
      </c>
      <c r="Z54" s="560">
        <v>0</v>
      </c>
      <c r="AA54" s="560">
        <v>0</v>
      </c>
      <c r="AB54" s="11"/>
      <c r="AC54" s="570">
        <f t="shared" si="3"/>
        <v>4263.83</v>
      </c>
    </row>
    <row r="55" spans="1:29">
      <c r="A55" s="16">
        <v>38</v>
      </c>
      <c r="B55" s="580"/>
      <c r="C55" s="580" t="s">
        <v>1185</v>
      </c>
      <c r="D55" s="556" t="s">
        <v>1186</v>
      </c>
      <c r="E55" s="557"/>
      <c r="F55" s="558"/>
      <c r="G55" s="555"/>
      <c r="H55" s="581"/>
      <c r="I55" s="560">
        <v>0</v>
      </c>
      <c r="J55" s="560">
        <v>0</v>
      </c>
      <c r="K55" s="560">
        <v>0</v>
      </c>
      <c r="L55" s="560">
        <v>0</v>
      </c>
      <c r="M55" s="560">
        <v>0</v>
      </c>
      <c r="N55" s="560">
        <v>0</v>
      </c>
      <c r="O55" s="560">
        <v>0</v>
      </c>
      <c r="P55" s="560">
        <v>0</v>
      </c>
      <c r="Q55" s="560">
        <v>0</v>
      </c>
      <c r="R55" s="560">
        <v>0</v>
      </c>
      <c r="S55" s="560">
        <v>0</v>
      </c>
      <c r="T55" s="560">
        <v>0</v>
      </c>
      <c r="U55" s="560">
        <v>0</v>
      </c>
      <c r="V55" s="560">
        <v>0</v>
      </c>
      <c r="W55" s="560">
        <v>0</v>
      </c>
      <c r="X55" s="563">
        <f t="shared" si="1"/>
        <v>0</v>
      </c>
      <c r="Y55" s="560">
        <v>0</v>
      </c>
      <c r="Z55" s="560">
        <v>0</v>
      </c>
      <c r="AA55" s="560">
        <v>0</v>
      </c>
      <c r="AB55" s="11"/>
      <c r="AC55" s="561"/>
    </row>
    <row r="56" spans="1:29">
      <c r="A56" s="16">
        <v>39</v>
      </c>
      <c r="B56" s="582" t="s">
        <v>1187</v>
      </c>
      <c r="C56" s="582" t="s">
        <v>1185</v>
      </c>
      <c r="D56" s="76" t="s">
        <v>1186</v>
      </c>
      <c r="E56" s="460" t="s">
        <v>1188</v>
      </c>
      <c r="F56" s="76" t="s">
        <v>1189</v>
      </c>
      <c r="G56" s="343" t="s">
        <v>1109</v>
      </c>
      <c r="H56" s="583">
        <v>1.2500000000000001E-2</v>
      </c>
      <c r="I56" s="563">
        <v>66.92</v>
      </c>
      <c r="J56" s="563">
        <v>71.430000000000007</v>
      </c>
      <c r="K56" s="563">
        <v>69.11</v>
      </c>
      <c r="L56" s="563">
        <v>68.03</v>
      </c>
      <c r="M56" s="563">
        <v>67.66</v>
      </c>
      <c r="N56" s="563">
        <v>74.25</v>
      </c>
      <c r="O56" s="563">
        <v>64.81</v>
      </c>
      <c r="P56" s="563">
        <v>39341.33</v>
      </c>
      <c r="Q56" s="563">
        <v>129811.98</v>
      </c>
      <c r="R56" s="563">
        <v>17072.509999999998</v>
      </c>
      <c r="S56" s="563">
        <v>41156.53</v>
      </c>
      <c r="T56" s="563">
        <v>1685393.66</v>
      </c>
      <c r="U56" s="563">
        <v>127739.12</v>
      </c>
      <c r="V56" s="563">
        <v>7210.71</v>
      </c>
      <c r="W56" s="563">
        <v>162.74</v>
      </c>
      <c r="X56" s="563">
        <f t="shared" si="1"/>
        <v>2048370.7899999998</v>
      </c>
      <c r="Y56" s="563">
        <v>0</v>
      </c>
      <c r="Z56" s="563">
        <v>0</v>
      </c>
      <c r="AA56" s="563">
        <v>0</v>
      </c>
      <c r="AB56" s="11"/>
      <c r="AC56" s="564">
        <f>SUM(I56:AB56)-X56</f>
        <v>2048370.7899999998</v>
      </c>
    </row>
    <row r="57" spans="1:29">
      <c r="A57" s="16">
        <v>40</v>
      </c>
      <c r="B57" s="582" t="s">
        <v>1190</v>
      </c>
      <c r="C57" s="584" t="s">
        <v>1185</v>
      </c>
      <c r="D57" s="567" t="s">
        <v>1186</v>
      </c>
      <c r="E57" s="460" t="s">
        <v>1105</v>
      </c>
      <c r="F57" s="567" t="s">
        <v>1189</v>
      </c>
      <c r="G57" s="566" t="s">
        <v>1109</v>
      </c>
      <c r="H57" s="585">
        <v>1.2500000000000001E-2</v>
      </c>
      <c r="I57" s="563">
        <v>0</v>
      </c>
      <c r="J57" s="563">
        <v>0</v>
      </c>
      <c r="K57" s="563">
        <v>5863.38</v>
      </c>
      <c r="L57" s="563">
        <v>0</v>
      </c>
      <c r="M57" s="563">
        <v>0</v>
      </c>
      <c r="N57" s="563">
        <v>0</v>
      </c>
      <c r="O57" s="563">
        <v>0</v>
      </c>
      <c r="P57" s="563">
        <v>0</v>
      </c>
      <c r="Q57" s="563">
        <v>0</v>
      </c>
      <c r="R57" s="563">
        <v>0</v>
      </c>
      <c r="S57" s="563">
        <v>0</v>
      </c>
      <c r="T57" s="563">
        <v>0</v>
      </c>
      <c r="U57" s="563">
        <v>0</v>
      </c>
      <c r="V57" s="563">
        <v>0</v>
      </c>
      <c r="W57" s="563">
        <v>0</v>
      </c>
      <c r="X57" s="563">
        <f t="shared" si="1"/>
        <v>5863.38</v>
      </c>
      <c r="Y57" s="563">
        <v>0</v>
      </c>
      <c r="Z57" s="563">
        <v>0</v>
      </c>
      <c r="AA57" s="563">
        <v>0</v>
      </c>
      <c r="AB57" s="11"/>
      <c r="AC57" s="564">
        <f>SUM(I57:AB57)-X57</f>
        <v>5863.38</v>
      </c>
    </row>
    <row r="58" spans="1:29">
      <c r="A58" s="16">
        <v>41</v>
      </c>
      <c r="B58" s="580"/>
      <c r="C58" s="580" t="s">
        <v>1191</v>
      </c>
      <c r="D58" s="556" t="s">
        <v>1192</v>
      </c>
      <c r="E58" s="557"/>
      <c r="F58" s="558"/>
      <c r="G58" s="555"/>
      <c r="H58" s="581"/>
      <c r="I58" s="560">
        <v>0</v>
      </c>
      <c r="J58" s="560">
        <v>0</v>
      </c>
      <c r="K58" s="560">
        <v>0</v>
      </c>
      <c r="L58" s="560">
        <v>0</v>
      </c>
      <c r="M58" s="560">
        <v>0</v>
      </c>
      <c r="N58" s="560">
        <v>0</v>
      </c>
      <c r="O58" s="560">
        <v>0</v>
      </c>
      <c r="P58" s="560">
        <v>0</v>
      </c>
      <c r="Q58" s="560">
        <v>0</v>
      </c>
      <c r="R58" s="560">
        <v>0</v>
      </c>
      <c r="S58" s="560">
        <v>0</v>
      </c>
      <c r="T58" s="560">
        <v>0</v>
      </c>
      <c r="U58" s="560">
        <v>0</v>
      </c>
      <c r="V58" s="560">
        <v>0</v>
      </c>
      <c r="W58" s="560">
        <v>0</v>
      </c>
      <c r="X58" s="563">
        <f t="shared" si="1"/>
        <v>0</v>
      </c>
      <c r="Y58" s="560">
        <v>0</v>
      </c>
      <c r="Z58" s="560">
        <v>0</v>
      </c>
      <c r="AA58" s="560">
        <v>0</v>
      </c>
      <c r="AB58" s="11"/>
      <c r="AC58" s="561"/>
    </row>
    <row r="59" spans="1:29">
      <c r="A59" s="16">
        <v>42</v>
      </c>
      <c r="B59" s="582" t="s">
        <v>1193</v>
      </c>
      <c r="C59" s="582" t="s">
        <v>1191</v>
      </c>
      <c r="D59" s="76" t="s">
        <v>1192</v>
      </c>
      <c r="E59" s="460" t="s">
        <v>1194</v>
      </c>
      <c r="F59" s="76" t="s">
        <v>1189</v>
      </c>
      <c r="G59" s="343" t="s">
        <v>1118</v>
      </c>
      <c r="H59" s="583">
        <v>1.8200000000000001E-2</v>
      </c>
      <c r="I59" s="563"/>
      <c r="J59" s="563"/>
      <c r="K59" s="563"/>
      <c r="L59" s="563">
        <v>468670.37</v>
      </c>
      <c r="M59" s="563">
        <v>187096.71</v>
      </c>
      <c r="N59" s="563">
        <v>12381.81</v>
      </c>
      <c r="O59" s="563">
        <v>0</v>
      </c>
      <c r="P59" s="563">
        <v>269.22000000000003</v>
      </c>
      <c r="Q59" s="563">
        <v>32822.75</v>
      </c>
      <c r="R59" s="563">
        <v>204.53</v>
      </c>
      <c r="S59" s="563">
        <v>2895.95</v>
      </c>
      <c r="T59" s="563">
        <v>0</v>
      </c>
      <c r="U59" s="563">
        <v>0</v>
      </c>
      <c r="V59" s="563">
        <v>0</v>
      </c>
      <c r="W59" s="563">
        <v>0</v>
      </c>
      <c r="X59" s="563">
        <f t="shared" si="1"/>
        <v>704341.34</v>
      </c>
      <c r="Y59" s="563">
        <v>0</v>
      </c>
      <c r="Z59" s="563">
        <v>0</v>
      </c>
      <c r="AA59" s="563">
        <v>0</v>
      </c>
      <c r="AB59" s="11"/>
      <c r="AC59" s="564">
        <f>SUM(I59:AB59)-X59</f>
        <v>704341.34</v>
      </c>
    </row>
    <row r="60" spans="1:29">
      <c r="A60" s="16">
        <v>43</v>
      </c>
      <c r="B60" s="582" t="s">
        <v>1195</v>
      </c>
      <c r="C60" s="584" t="s">
        <v>1191</v>
      </c>
      <c r="D60" s="567" t="s">
        <v>1192</v>
      </c>
      <c r="E60" s="460" t="s">
        <v>1196</v>
      </c>
      <c r="F60" s="567" t="s">
        <v>1189</v>
      </c>
      <c r="G60" s="566" t="s">
        <v>1118</v>
      </c>
      <c r="H60" s="585">
        <v>1.8200000000000001E-2</v>
      </c>
      <c r="I60" s="563">
        <v>0</v>
      </c>
      <c r="J60" s="563">
        <v>0</v>
      </c>
      <c r="K60" s="563">
        <v>0</v>
      </c>
      <c r="L60" s="563">
        <v>0</v>
      </c>
      <c r="M60" s="563">
        <v>0</v>
      </c>
      <c r="N60" s="563">
        <v>8013.21</v>
      </c>
      <c r="O60" s="563">
        <v>127932.66</v>
      </c>
      <c r="P60" s="563">
        <v>12763.48</v>
      </c>
      <c r="Q60" s="563">
        <v>15168.48</v>
      </c>
      <c r="R60" s="563">
        <v>51271.85</v>
      </c>
      <c r="S60" s="563">
        <v>125594.34</v>
      </c>
      <c r="T60" s="563">
        <v>409365.38</v>
      </c>
      <c r="U60" s="563">
        <v>239947.11</v>
      </c>
      <c r="V60" s="563">
        <v>272308.28999999998</v>
      </c>
      <c r="W60" s="563">
        <v>51565.26</v>
      </c>
      <c r="X60" s="563">
        <f t="shared" si="1"/>
        <v>1313930.06</v>
      </c>
      <c r="Y60" s="563">
        <v>0</v>
      </c>
      <c r="Z60" s="563">
        <v>216.65</v>
      </c>
      <c r="AA60" s="563">
        <v>529.94000000000005</v>
      </c>
      <c r="AB60" s="11"/>
      <c r="AC60" s="564">
        <f>SUM(I60:AB60)-X60</f>
        <v>1314676.6499999999</v>
      </c>
    </row>
    <row r="61" spans="1:29">
      <c r="A61" s="16">
        <v>44</v>
      </c>
      <c r="B61" s="574" t="s">
        <v>1197</v>
      </c>
      <c r="C61" s="574" t="s">
        <v>1198</v>
      </c>
      <c r="D61" s="575" t="s">
        <v>1199</v>
      </c>
      <c r="E61" s="569" t="s">
        <v>1200</v>
      </c>
      <c r="F61" s="575" t="s">
        <v>1201</v>
      </c>
      <c r="G61" s="577" t="s">
        <v>1118</v>
      </c>
      <c r="H61" s="578">
        <v>1.8200000000000001E-2</v>
      </c>
      <c r="I61" s="579">
        <v>941</v>
      </c>
      <c r="J61" s="579">
        <v>29.3</v>
      </c>
      <c r="K61" s="579">
        <v>5917.89</v>
      </c>
      <c r="L61" s="579">
        <v>11980.05</v>
      </c>
      <c r="M61" s="579">
        <v>2617.8000000000002</v>
      </c>
      <c r="N61" s="579">
        <v>142.19999999999999</v>
      </c>
      <c r="O61" s="579">
        <v>10712.37</v>
      </c>
      <c r="P61" s="579">
        <v>197.52</v>
      </c>
      <c r="Q61" s="579">
        <v>144039.29</v>
      </c>
      <c r="R61" s="579">
        <v>16280.67</v>
      </c>
      <c r="S61" s="579">
        <v>10247.120000000001</v>
      </c>
      <c r="T61" s="579">
        <v>0</v>
      </c>
      <c r="U61" s="579">
        <v>0</v>
      </c>
      <c r="V61" s="579">
        <v>0</v>
      </c>
      <c r="W61" s="579">
        <v>0</v>
      </c>
      <c r="X61" s="563">
        <f t="shared" si="1"/>
        <v>203105.21000000002</v>
      </c>
      <c r="Y61" s="579">
        <v>0</v>
      </c>
      <c r="Z61" s="579">
        <v>0</v>
      </c>
      <c r="AA61" s="579">
        <v>0</v>
      </c>
      <c r="AB61" s="11"/>
      <c r="AC61" s="570">
        <f>SUM(I61:AB61)-X61</f>
        <v>203105.21000000002</v>
      </c>
    </row>
    <row r="62" spans="1:29">
      <c r="A62" s="16">
        <v>45</v>
      </c>
      <c r="B62" s="574" t="s">
        <v>1202</v>
      </c>
      <c r="C62" s="574" t="s">
        <v>1203</v>
      </c>
      <c r="D62" s="575" t="s">
        <v>1204</v>
      </c>
      <c r="E62" s="569" t="s">
        <v>1205</v>
      </c>
      <c r="F62" s="575" t="s">
        <v>1201</v>
      </c>
      <c r="G62" s="577" t="s">
        <v>1118</v>
      </c>
      <c r="H62" s="578">
        <v>1.8200000000000001E-2</v>
      </c>
      <c r="I62" s="579">
        <v>0</v>
      </c>
      <c r="J62" s="579">
        <v>0</v>
      </c>
      <c r="K62" s="579">
        <v>0</v>
      </c>
      <c r="L62" s="579">
        <v>0</v>
      </c>
      <c r="M62" s="579">
        <v>0</v>
      </c>
      <c r="N62" s="579">
        <v>0</v>
      </c>
      <c r="O62" s="579">
        <v>0</v>
      </c>
      <c r="P62" s="579">
        <v>0</v>
      </c>
      <c r="Q62" s="579">
        <v>40697.07</v>
      </c>
      <c r="R62" s="579">
        <v>101061.64</v>
      </c>
      <c r="S62" s="579">
        <v>10209.25</v>
      </c>
      <c r="T62" s="579">
        <v>56.69</v>
      </c>
      <c r="U62" s="579">
        <v>0</v>
      </c>
      <c r="V62" s="579">
        <v>0</v>
      </c>
      <c r="W62" s="579">
        <v>0</v>
      </c>
      <c r="X62" s="563">
        <f t="shared" si="1"/>
        <v>152024.65</v>
      </c>
      <c r="Y62" s="579">
        <v>0</v>
      </c>
      <c r="Z62" s="579">
        <v>0</v>
      </c>
      <c r="AA62" s="579">
        <v>0</v>
      </c>
      <c r="AB62" s="11"/>
      <c r="AC62" s="570">
        <f>SUM(I62:AB62)-X62</f>
        <v>152024.65</v>
      </c>
    </row>
    <row r="63" spans="1:29">
      <c r="A63" s="16">
        <v>46</v>
      </c>
      <c r="B63" s="580" t="s">
        <v>1206</v>
      </c>
      <c r="C63" s="580" t="s">
        <v>1207</v>
      </c>
      <c r="D63" s="558" t="s">
        <v>1208</v>
      </c>
      <c r="E63" s="569" t="s">
        <v>1105</v>
      </c>
      <c r="F63" s="558" t="s">
        <v>1209</v>
      </c>
      <c r="G63" s="555" t="s">
        <v>1118</v>
      </c>
      <c r="H63" s="581">
        <v>1.8200000000000001E-2</v>
      </c>
      <c r="I63" s="579">
        <v>59.46</v>
      </c>
      <c r="J63" s="579">
        <v>63.47</v>
      </c>
      <c r="K63" s="579">
        <v>61.44</v>
      </c>
      <c r="L63" s="579">
        <v>60.45</v>
      </c>
      <c r="M63" s="579">
        <v>60.13</v>
      </c>
      <c r="N63" s="579">
        <v>65.97</v>
      </c>
      <c r="O63" s="579">
        <v>57.6</v>
      </c>
      <c r="P63" s="579">
        <v>4879.1099999999997</v>
      </c>
      <c r="Q63" s="579">
        <v>82.03</v>
      </c>
      <c r="R63" s="579">
        <v>50.42</v>
      </c>
      <c r="S63" s="579">
        <v>114.43</v>
      </c>
      <c r="T63" s="579">
        <v>77.38</v>
      </c>
      <c r="U63" s="579">
        <v>73.209999999999994</v>
      </c>
      <c r="V63" s="579">
        <v>85.69</v>
      </c>
      <c r="W63" s="579">
        <v>125.23</v>
      </c>
      <c r="X63" s="563">
        <f t="shared" si="1"/>
        <v>5916.0199999999986</v>
      </c>
      <c r="Y63" s="579">
        <v>89.88</v>
      </c>
      <c r="Z63" s="579">
        <v>618.11</v>
      </c>
      <c r="AA63" s="579">
        <v>85074.18</v>
      </c>
      <c r="AB63" s="11"/>
      <c r="AC63" s="570">
        <f>SUM(I63:AB63)-X63</f>
        <v>91698.189999999988</v>
      </c>
    </row>
    <row r="64" spans="1:29">
      <c r="A64" s="16">
        <v>47</v>
      </c>
      <c r="B64" s="580" t="s">
        <v>1210</v>
      </c>
      <c r="C64" s="580" t="s">
        <v>1211</v>
      </c>
      <c r="D64" s="558" t="s">
        <v>1212</v>
      </c>
      <c r="E64" s="569" t="s">
        <v>1213</v>
      </c>
      <c r="F64" s="558" t="s">
        <v>1074</v>
      </c>
      <c r="G64" s="555" t="s">
        <v>1109</v>
      </c>
      <c r="H64" s="581">
        <v>1.2500000000000001E-2</v>
      </c>
      <c r="I64" s="560">
        <v>0</v>
      </c>
      <c r="J64" s="560">
        <v>0</v>
      </c>
      <c r="K64" s="560">
        <v>0</v>
      </c>
      <c r="L64" s="560">
        <v>0</v>
      </c>
      <c r="M64" s="560">
        <v>0</v>
      </c>
      <c r="N64" s="560">
        <v>0</v>
      </c>
      <c r="O64" s="560">
        <v>0</v>
      </c>
      <c r="P64" s="560">
        <v>0</v>
      </c>
      <c r="Q64" s="560">
        <v>0</v>
      </c>
      <c r="R64" s="560">
        <v>0</v>
      </c>
      <c r="S64" s="560">
        <v>0</v>
      </c>
      <c r="T64" s="560">
        <v>0</v>
      </c>
      <c r="U64" s="560">
        <v>0</v>
      </c>
      <c r="V64" s="560">
        <v>0</v>
      </c>
      <c r="W64" s="560">
        <v>0</v>
      </c>
      <c r="X64" s="563">
        <f t="shared" si="1"/>
        <v>0</v>
      </c>
      <c r="Y64" s="560">
        <v>0</v>
      </c>
      <c r="Z64" s="560">
        <v>0</v>
      </c>
      <c r="AA64" s="560">
        <v>0</v>
      </c>
      <c r="AB64" s="11"/>
      <c r="AC64" s="561">
        <f>SUM(I64:AB64)</f>
        <v>0</v>
      </c>
    </row>
    <row r="65" spans="1:29">
      <c r="A65" s="16">
        <v>48</v>
      </c>
      <c r="B65" s="580" t="s">
        <v>1214</v>
      </c>
      <c r="C65" s="580" t="s">
        <v>1215</v>
      </c>
      <c r="D65" s="558" t="s">
        <v>1216</v>
      </c>
      <c r="E65" s="569" t="s">
        <v>1217</v>
      </c>
      <c r="F65" s="558" t="s">
        <v>1114</v>
      </c>
      <c r="G65" s="555" t="s">
        <v>1109</v>
      </c>
      <c r="H65" s="581">
        <v>1.2500000000000001E-2</v>
      </c>
      <c r="I65" s="560">
        <v>0</v>
      </c>
      <c r="J65" s="560">
        <v>0</v>
      </c>
      <c r="K65" s="560">
        <v>0</v>
      </c>
      <c r="L65" s="560">
        <v>0</v>
      </c>
      <c r="M65" s="560">
        <v>0</v>
      </c>
      <c r="N65" s="560">
        <v>0</v>
      </c>
      <c r="O65" s="560">
        <v>0</v>
      </c>
      <c r="P65" s="560">
        <v>0</v>
      </c>
      <c r="Q65" s="560">
        <v>0</v>
      </c>
      <c r="R65" s="560">
        <v>0</v>
      </c>
      <c r="S65" s="560">
        <v>0</v>
      </c>
      <c r="T65" s="560">
        <v>0</v>
      </c>
      <c r="U65" s="560">
        <v>0</v>
      </c>
      <c r="V65" s="560">
        <v>0</v>
      </c>
      <c r="W65" s="560">
        <v>0</v>
      </c>
      <c r="X65" s="563">
        <f t="shared" si="1"/>
        <v>0</v>
      </c>
      <c r="Y65" s="560">
        <v>0</v>
      </c>
      <c r="Z65" s="560">
        <v>0</v>
      </c>
      <c r="AA65" s="560">
        <v>0</v>
      </c>
      <c r="AB65" s="11"/>
      <c r="AC65" s="561">
        <f>SUM(I65:AB65)</f>
        <v>0</v>
      </c>
    </row>
    <row r="66" spans="1:29">
      <c r="A66" s="16">
        <v>49</v>
      </c>
      <c r="B66" s="574" t="s">
        <v>1218</v>
      </c>
      <c r="C66" s="574" t="s">
        <v>1219</v>
      </c>
      <c r="D66" s="575" t="s">
        <v>1220</v>
      </c>
      <c r="E66" s="569" t="s">
        <v>1221</v>
      </c>
      <c r="F66" s="575" t="s">
        <v>1074</v>
      </c>
      <c r="G66" s="577" t="s">
        <v>1109</v>
      </c>
      <c r="H66" s="578">
        <v>1.2500000000000001E-2</v>
      </c>
      <c r="I66" s="579">
        <v>0</v>
      </c>
      <c r="J66" s="579">
        <v>0</v>
      </c>
      <c r="K66" s="579">
        <v>0</v>
      </c>
      <c r="L66" s="579">
        <v>0</v>
      </c>
      <c r="M66" s="579">
        <v>0</v>
      </c>
      <c r="N66" s="579">
        <v>0</v>
      </c>
      <c r="O66" s="579">
        <v>0</v>
      </c>
      <c r="P66" s="579">
        <v>0</v>
      </c>
      <c r="Q66" s="579">
        <v>0</v>
      </c>
      <c r="R66" s="579">
        <v>0</v>
      </c>
      <c r="S66" s="579">
        <v>0</v>
      </c>
      <c r="T66" s="579">
        <v>0</v>
      </c>
      <c r="U66" s="579">
        <v>0</v>
      </c>
      <c r="V66" s="579">
        <v>0</v>
      </c>
      <c r="W66" s="579">
        <v>0</v>
      </c>
      <c r="X66" s="563">
        <f t="shared" si="1"/>
        <v>0</v>
      </c>
      <c r="Y66" s="579">
        <v>0</v>
      </c>
      <c r="Z66" s="579">
        <v>0</v>
      </c>
      <c r="AA66" s="579">
        <v>0</v>
      </c>
      <c r="AB66" s="11"/>
      <c r="AC66" s="561">
        <f>SUM(I66:AB66)</f>
        <v>0</v>
      </c>
    </row>
    <row r="67" spans="1:29">
      <c r="A67" s="16">
        <v>50</v>
      </c>
      <c r="B67" s="574" t="s">
        <v>1222</v>
      </c>
      <c r="C67" s="574" t="s">
        <v>1223</v>
      </c>
      <c r="D67" s="575" t="s">
        <v>1224</v>
      </c>
      <c r="E67" s="569" t="s">
        <v>1225</v>
      </c>
      <c r="F67" s="575" t="s">
        <v>1201</v>
      </c>
      <c r="G67" s="586" t="s">
        <v>1109</v>
      </c>
      <c r="H67" s="587">
        <v>1.2500000000000001E-2</v>
      </c>
      <c r="I67" s="579">
        <v>0</v>
      </c>
      <c r="J67" s="579">
        <v>0</v>
      </c>
      <c r="K67" s="579">
        <v>0</v>
      </c>
      <c r="L67" s="579">
        <v>0</v>
      </c>
      <c r="M67" s="579">
        <v>0</v>
      </c>
      <c r="N67" s="579">
        <v>0</v>
      </c>
      <c r="O67" s="579">
        <v>0</v>
      </c>
      <c r="P67" s="579">
        <v>0</v>
      </c>
      <c r="Q67" s="579">
        <v>0</v>
      </c>
      <c r="R67" s="579">
        <v>0</v>
      </c>
      <c r="S67" s="579">
        <v>0</v>
      </c>
      <c r="T67" s="579">
        <v>0</v>
      </c>
      <c r="U67" s="579">
        <v>0</v>
      </c>
      <c r="V67" s="579">
        <v>0</v>
      </c>
      <c r="W67" s="579">
        <v>9051.64</v>
      </c>
      <c r="X67" s="563">
        <f t="shared" si="1"/>
        <v>9051.64</v>
      </c>
      <c r="Y67" s="579">
        <v>487988.5</v>
      </c>
      <c r="Z67" s="579">
        <v>25679.63</v>
      </c>
      <c r="AA67" s="579">
        <v>2777.13</v>
      </c>
      <c r="AB67" s="11"/>
      <c r="AC67" s="564">
        <f t="shared" ref="AC67:AC72" si="4">SUM(I67:AB67)-X67</f>
        <v>525496.9</v>
      </c>
    </row>
    <row r="68" spans="1:29">
      <c r="A68" s="16">
        <v>51</v>
      </c>
      <c r="B68" s="574" t="s">
        <v>1226</v>
      </c>
      <c r="C68" s="574" t="s">
        <v>1227</v>
      </c>
      <c r="D68" s="575" t="s">
        <v>1228</v>
      </c>
      <c r="E68" s="569" t="s">
        <v>1229</v>
      </c>
      <c r="F68" s="575" t="s">
        <v>1201</v>
      </c>
      <c r="G68" s="586" t="s">
        <v>1109</v>
      </c>
      <c r="H68" s="587">
        <v>1.2500000000000001E-2</v>
      </c>
      <c r="I68" s="579">
        <v>0</v>
      </c>
      <c r="J68" s="579">
        <v>0</v>
      </c>
      <c r="K68" s="579">
        <v>0</v>
      </c>
      <c r="L68" s="579">
        <v>0</v>
      </c>
      <c r="M68" s="579">
        <v>0</v>
      </c>
      <c r="N68" s="579">
        <v>0</v>
      </c>
      <c r="O68" s="579">
        <v>0</v>
      </c>
      <c r="P68" s="579">
        <v>0</v>
      </c>
      <c r="Q68" s="579">
        <v>0</v>
      </c>
      <c r="R68" s="579">
        <v>0</v>
      </c>
      <c r="S68" s="579">
        <v>0</v>
      </c>
      <c r="T68" s="579">
        <v>0</v>
      </c>
      <c r="U68" s="579">
        <v>0</v>
      </c>
      <c r="V68" s="579">
        <v>0</v>
      </c>
      <c r="W68" s="579">
        <v>11892.46</v>
      </c>
      <c r="X68" s="563">
        <f t="shared" si="1"/>
        <v>11892.46</v>
      </c>
      <c r="Y68" s="579">
        <v>525106.31000000006</v>
      </c>
      <c r="Z68" s="579">
        <v>-14338.9</v>
      </c>
      <c r="AA68" s="579">
        <v>244.91</v>
      </c>
      <c r="AB68" s="11"/>
      <c r="AC68" s="564">
        <f t="shared" si="4"/>
        <v>522904.78000000009</v>
      </c>
    </row>
    <row r="69" spans="1:29">
      <c r="A69" s="16">
        <v>52</v>
      </c>
      <c r="B69" s="574" t="s">
        <v>1230</v>
      </c>
      <c r="C69" s="574" t="s">
        <v>1231</v>
      </c>
      <c r="D69" s="575" t="s">
        <v>1232</v>
      </c>
      <c r="E69" s="569" t="s">
        <v>1233</v>
      </c>
      <c r="F69" s="575" t="s">
        <v>1145</v>
      </c>
      <c r="G69" s="586" t="s">
        <v>1109</v>
      </c>
      <c r="H69" s="587">
        <v>1.2500000000000001E-2</v>
      </c>
      <c r="I69" s="579">
        <v>0</v>
      </c>
      <c r="J69" s="579">
        <v>0</v>
      </c>
      <c r="K69" s="579">
        <v>0</v>
      </c>
      <c r="L69" s="579">
        <v>0</v>
      </c>
      <c r="M69" s="579">
        <v>0</v>
      </c>
      <c r="N69" s="579">
        <v>0</v>
      </c>
      <c r="O69" s="579">
        <v>0</v>
      </c>
      <c r="P69" s="579">
        <v>0</v>
      </c>
      <c r="Q69" s="579">
        <v>0</v>
      </c>
      <c r="R69" s="579">
        <v>0</v>
      </c>
      <c r="S69" s="579">
        <v>0</v>
      </c>
      <c r="T69" s="579">
        <v>0</v>
      </c>
      <c r="U69" s="579">
        <v>0</v>
      </c>
      <c r="V69" s="579">
        <v>0</v>
      </c>
      <c r="W69" s="579">
        <v>0</v>
      </c>
      <c r="X69" s="563">
        <f t="shared" si="1"/>
        <v>0</v>
      </c>
      <c r="Y69" s="579">
        <v>0</v>
      </c>
      <c r="Z69" s="579">
        <v>0</v>
      </c>
      <c r="AA69" s="579">
        <v>0</v>
      </c>
      <c r="AB69" s="11"/>
      <c r="AC69" s="564">
        <f t="shared" si="4"/>
        <v>0</v>
      </c>
    </row>
    <row r="70" spans="1:29">
      <c r="A70" s="16">
        <v>53</v>
      </c>
      <c r="B70" s="574" t="s">
        <v>1234</v>
      </c>
      <c r="C70" s="574" t="s">
        <v>1235</v>
      </c>
      <c r="D70" s="575" t="s">
        <v>1236</v>
      </c>
      <c r="E70" s="569" t="s">
        <v>1105</v>
      </c>
      <c r="F70" s="575" t="s">
        <v>1134</v>
      </c>
      <c r="G70" s="586" t="s">
        <v>1118</v>
      </c>
      <c r="H70" s="587">
        <v>1.8200000000000001E-2</v>
      </c>
      <c r="I70" s="588">
        <v>0</v>
      </c>
      <c r="J70" s="588">
        <v>0</v>
      </c>
      <c r="K70" s="588">
        <v>0</v>
      </c>
      <c r="L70" s="588">
        <v>0</v>
      </c>
      <c r="M70" s="588">
        <v>0</v>
      </c>
      <c r="N70" s="588">
        <v>0</v>
      </c>
      <c r="O70" s="588">
        <v>0</v>
      </c>
      <c r="P70" s="588">
        <v>0</v>
      </c>
      <c r="Q70" s="588">
        <v>0</v>
      </c>
      <c r="R70" s="588">
        <v>0</v>
      </c>
      <c r="S70" s="588">
        <v>0</v>
      </c>
      <c r="T70" s="588">
        <v>0</v>
      </c>
      <c r="U70" s="588">
        <v>0</v>
      </c>
      <c r="V70" s="588">
        <v>0</v>
      </c>
      <c r="W70" s="588">
        <v>0</v>
      </c>
      <c r="X70" s="563">
        <f t="shared" si="1"/>
        <v>0</v>
      </c>
      <c r="Y70" s="588">
        <v>0</v>
      </c>
      <c r="Z70" s="588">
        <v>0</v>
      </c>
      <c r="AA70" s="588">
        <v>8554.0400000000009</v>
      </c>
      <c r="AB70" s="11"/>
      <c r="AC70" s="564">
        <f t="shared" si="4"/>
        <v>8554.0400000000009</v>
      </c>
    </row>
    <row r="71" spans="1:29">
      <c r="A71" s="16">
        <v>54</v>
      </c>
      <c r="B71" s="574" t="s">
        <v>1237</v>
      </c>
      <c r="C71" s="574" t="s">
        <v>1238</v>
      </c>
      <c r="D71" s="575" t="s">
        <v>1239</v>
      </c>
      <c r="E71" s="576" t="s">
        <v>1105</v>
      </c>
      <c r="F71" s="575" t="s">
        <v>1209</v>
      </c>
      <c r="G71" s="577" t="s">
        <v>1075</v>
      </c>
      <c r="H71" s="578">
        <v>1.2500000000000001E-2</v>
      </c>
      <c r="I71" s="579">
        <v>0</v>
      </c>
      <c r="J71" s="579">
        <v>0</v>
      </c>
      <c r="K71" s="579">
        <v>0</v>
      </c>
      <c r="L71" s="579">
        <v>0</v>
      </c>
      <c r="M71" s="579">
        <v>0</v>
      </c>
      <c r="N71" s="579">
        <v>0</v>
      </c>
      <c r="O71" s="579">
        <v>0</v>
      </c>
      <c r="P71" s="579">
        <v>0</v>
      </c>
      <c r="Q71" s="579">
        <v>0</v>
      </c>
      <c r="R71" s="579">
        <v>0</v>
      </c>
      <c r="S71" s="579">
        <v>0</v>
      </c>
      <c r="T71" s="579">
        <v>0</v>
      </c>
      <c r="U71" s="579">
        <v>0</v>
      </c>
      <c r="V71" s="579">
        <v>0</v>
      </c>
      <c r="W71" s="579">
        <v>0</v>
      </c>
      <c r="X71" s="563">
        <f t="shared" si="1"/>
        <v>0</v>
      </c>
      <c r="Y71" s="579">
        <v>0</v>
      </c>
      <c r="Z71" s="579">
        <v>26682.07</v>
      </c>
      <c r="AA71" s="579">
        <v>1462.08</v>
      </c>
      <c r="AB71" s="11"/>
      <c r="AC71" s="564">
        <f t="shared" si="4"/>
        <v>28144.15</v>
      </c>
    </row>
    <row r="72" spans="1:29">
      <c r="A72" s="16">
        <v>55</v>
      </c>
      <c r="B72" s="582"/>
      <c r="C72" s="582"/>
      <c r="D72" s="76" t="s">
        <v>1257</v>
      </c>
      <c r="E72" s="460"/>
      <c r="F72" s="76"/>
      <c r="G72" s="343"/>
      <c r="H72" s="583"/>
      <c r="I72" s="563"/>
      <c r="J72" s="563"/>
      <c r="K72" s="563"/>
      <c r="L72" s="563"/>
      <c r="M72" s="563"/>
      <c r="N72" s="563"/>
      <c r="O72" s="563"/>
      <c r="P72" s="563"/>
      <c r="Q72" s="563"/>
      <c r="R72" s="563"/>
      <c r="S72" s="563"/>
      <c r="T72" s="563"/>
      <c r="U72" s="563"/>
      <c r="V72" s="563"/>
      <c r="W72" s="563"/>
      <c r="X72" s="563"/>
      <c r="Y72" s="563"/>
      <c r="Z72" s="563">
        <v>15452.49</v>
      </c>
      <c r="AA72" s="563">
        <v>537465.21</v>
      </c>
      <c r="AB72" s="11"/>
      <c r="AC72" s="564">
        <f t="shared" si="4"/>
        <v>552917.69999999995</v>
      </c>
    </row>
    <row r="73" spans="1:29">
      <c r="A73" s="16">
        <v>56</v>
      </c>
      <c r="B73" s="582"/>
      <c r="C73" s="582"/>
      <c r="D73" s="76" t="s">
        <v>1240</v>
      </c>
      <c r="E73" s="460"/>
      <c r="F73" s="76"/>
      <c r="G73" s="343"/>
      <c r="H73" s="583"/>
      <c r="I73" s="563"/>
      <c r="J73" s="563"/>
      <c r="K73" s="563"/>
      <c r="L73" s="563"/>
      <c r="M73" s="563"/>
      <c r="N73" s="563"/>
      <c r="O73" s="563"/>
      <c r="P73" s="563"/>
      <c r="Q73" s="563"/>
      <c r="R73" s="563"/>
      <c r="S73" s="563"/>
      <c r="T73" s="563"/>
      <c r="U73" s="563"/>
      <c r="V73" s="563"/>
      <c r="W73" s="563"/>
      <c r="X73" s="563"/>
      <c r="Y73" s="563"/>
      <c r="Z73" s="563"/>
      <c r="AA73" s="563"/>
      <c r="AB73" s="11"/>
      <c r="AC73" s="564"/>
    </row>
    <row r="74" spans="1:29">
      <c r="B74" s="582"/>
      <c r="C74" s="582"/>
      <c r="D74" s="11"/>
      <c r="E74" s="10"/>
      <c r="F74" s="11"/>
      <c r="G74" s="345"/>
      <c r="H74" s="589"/>
      <c r="I74" s="590"/>
      <c r="J74" s="590"/>
      <c r="K74" s="590"/>
      <c r="L74" s="590"/>
      <c r="M74" s="590"/>
      <c r="N74" s="590"/>
      <c r="O74" s="590"/>
      <c r="P74" s="590"/>
      <c r="Q74" s="590"/>
      <c r="R74" s="590"/>
      <c r="S74" s="590"/>
      <c r="T74" s="590"/>
      <c r="U74" s="590"/>
      <c r="V74" s="590"/>
      <c r="W74" s="590"/>
      <c r="X74" s="590"/>
      <c r="Y74" s="590"/>
      <c r="Z74" s="590"/>
      <c r="AA74" s="590"/>
      <c r="AB74" s="11"/>
      <c r="AC74" s="591"/>
    </row>
    <row r="75" spans="1:29">
      <c r="A75" s="16">
        <v>57</v>
      </c>
      <c r="B75" s="582"/>
      <c r="C75" s="582"/>
      <c r="D75" s="11"/>
      <c r="E75" s="10"/>
      <c r="F75" s="11"/>
      <c r="G75" s="345"/>
      <c r="H75" s="589"/>
      <c r="I75" s="590">
        <f>SUM(I17:I74)</f>
        <v>2543.4900000000002</v>
      </c>
      <c r="J75" s="590">
        <f t="shared" ref="J75:AA75" si="5">SUM(J17:J74)</f>
        <v>43379.76</v>
      </c>
      <c r="K75" s="590">
        <f t="shared" si="5"/>
        <v>675435.17999999993</v>
      </c>
      <c r="L75" s="590">
        <f t="shared" si="5"/>
        <v>2443075.6799999997</v>
      </c>
      <c r="M75" s="590">
        <f t="shared" si="5"/>
        <v>1938153.3699999996</v>
      </c>
      <c r="N75" s="590">
        <f t="shared" si="5"/>
        <v>1899546.71</v>
      </c>
      <c r="O75" s="590">
        <f t="shared" si="5"/>
        <v>213919.01999999996</v>
      </c>
      <c r="P75" s="590">
        <f t="shared" si="5"/>
        <v>144194.99</v>
      </c>
      <c r="Q75" s="590">
        <f t="shared" si="5"/>
        <v>1124446.07</v>
      </c>
      <c r="R75" s="590">
        <f t="shared" si="5"/>
        <v>263989.18</v>
      </c>
      <c r="S75" s="590">
        <f t="shared" si="5"/>
        <v>737864.83</v>
      </c>
      <c r="T75" s="590">
        <f t="shared" si="5"/>
        <v>2649288.5499999998</v>
      </c>
      <c r="U75" s="590">
        <f t="shared" si="5"/>
        <v>567774.77</v>
      </c>
      <c r="V75" s="590">
        <f t="shared" si="5"/>
        <v>718706.01</v>
      </c>
      <c r="W75" s="590">
        <f t="shared" si="5"/>
        <v>813985.73</v>
      </c>
      <c r="X75" s="590">
        <f t="shared" si="5"/>
        <v>14236303.340000004</v>
      </c>
      <c r="Y75" s="590">
        <f t="shared" si="5"/>
        <v>3001996.63</v>
      </c>
      <c r="Z75" s="590">
        <f t="shared" si="5"/>
        <v>785203.16999999993</v>
      </c>
      <c r="AA75" s="590">
        <f t="shared" si="5"/>
        <v>2086444.94</v>
      </c>
      <c r="AB75" s="11"/>
      <c r="AC75" s="591">
        <f>SUM(AC17:AC74)</f>
        <v>20109948.079999994</v>
      </c>
    </row>
    <row r="76" spans="1:29" ht="27.6">
      <c r="B76" s="842" t="s">
        <v>1626</v>
      </c>
      <c r="C76" s="834"/>
      <c r="E76" s="5"/>
      <c r="G76" s="552"/>
      <c r="H76" s="553"/>
      <c r="I76" s="351"/>
      <c r="J76" s="351"/>
      <c r="K76" s="842" t="s">
        <v>1626</v>
      </c>
      <c r="L76" s="351"/>
      <c r="M76" s="351"/>
      <c r="N76" s="351"/>
      <c r="O76" s="351"/>
      <c r="P76" s="351"/>
      <c r="Q76" s="351"/>
      <c r="R76" s="351"/>
      <c r="S76" s="351"/>
      <c r="T76" s="351"/>
      <c r="U76" s="842" t="s">
        <v>1626</v>
      </c>
      <c r="V76" s="351"/>
      <c r="W76" s="351"/>
      <c r="X76" s="351"/>
      <c r="Y76" s="351"/>
      <c r="Z76" s="351"/>
      <c r="AA76" s="351"/>
      <c r="AC76" s="351"/>
    </row>
    <row r="77" spans="1:29">
      <c r="A77" s="16">
        <v>58</v>
      </c>
      <c r="B77" s="5"/>
      <c r="C77" s="14"/>
      <c r="E77" s="5"/>
      <c r="G77" s="552"/>
      <c r="H77" s="553"/>
      <c r="I77" s="351"/>
      <c r="J77" s="592">
        <f>+J75+I75</f>
        <v>45923.25</v>
      </c>
      <c r="K77" s="592">
        <f>+J77+K75</f>
        <v>721358.42999999993</v>
      </c>
      <c r="L77" s="592">
        <f t="shared" ref="L77:AA77" si="6">+K77+L75</f>
        <v>3164434.1099999994</v>
      </c>
      <c r="M77" s="592">
        <f t="shared" si="6"/>
        <v>5102587.4799999986</v>
      </c>
      <c r="N77" s="592">
        <f t="shared" si="6"/>
        <v>7002134.1899999985</v>
      </c>
      <c r="O77" s="592">
        <f t="shared" si="6"/>
        <v>7216053.2099999981</v>
      </c>
      <c r="P77" s="592">
        <f t="shared" si="6"/>
        <v>7360248.1999999983</v>
      </c>
      <c r="Q77" s="592">
        <f t="shared" si="6"/>
        <v>8484694.2699999977</v>
      </c>
      <c r="R77" s="592">
        <f t="shared" si="6"/>
        <v>8748683.4499999974</v>
      </c>
      <c r="S77" s="592">
        <f t="shared" si="6"/>
        <v>9486548.2799999975</v>
      </c>
      <c r="T77" s="592">
        <f t="shared" si="6"/>
        <v>12135836.829999998</v>
      </c>
      <c r="U77" s="592">
        <f t="shared" si="6"/>
        <v>12703611.599999998</v>
      </c>
      <c r="V77" s="592">
        <f t="shared" si="6"/>
        <v>13422317.609999998</v>
      </c>
      <c r="W77" s="592">
        <f t="shared" si="6"/>
        <v>14236303.339999998</v>
      </c>
      <c r="X77" s="592"/>
      <c r="Y77" s="592">
        <f>+W77+Y75</f>
        <v>17238299.969999999</v>
      </c>
      <c r="Z77" s="592">
        <f t="shared" si="6"/>
        <v>18023503.140000001</v>
      </c>
      <c r="AA77" s="592">
        <f t="shared" si="6"/>
        <v>20109948.080000002</v>
      </c>
      <c r="AC77" s="351"/>
    </row>
    <row r="78" spans="1:29">
      <c r="B78" s="5"/>
      <c r="C78" s="14"/>
      <c r="E78" s="5"/>
      <c r="G78" s="552"/>
      <c r="H78" s="553"/>
      <c r="I78" s="351"/>
      <c r="J78" s="351"/>
      <c r="K78" s="351"/>
      <c r="L78" s="351"/>
      <c r="M78" s="351"/>
      <c r="N78" s="351"/>
      <c r="O78" s="351"/>
      <c r="P78" s="351"/>
      <c r="Q78" s="351"/>
      <c r="R78" s="351"/>
      <c r="S78" s="351"/>
      <c r="T78" s="351"/>
      <c r="U78" s="351"/>
      <c r="V78" s="351"/>
      <c r="W78" s="351"/>
      <c r="X78" s="351"/>
      <c r="Y78" s="351"/>
      <c r="Z78" s="351"/>
      <c r="AA78" s="351"/>
      <c r="AC78" s="351"/>
    </row>
    <row r="79" spans="1:29">
      <c r="A79" s="16">
        <v>59</v>
      </c>
      <c r="B79" s="5"/>
      <c r="C79" s="14"/>
      <c r="D79" s="3" t="s">
        <v>1537</v>
      </c>
      <c r="E79" s="5"/>
      <c r="G79" s="552"/>
      <c r="H79" s="553"/>
      <c r="I79" s="351"/>
      <c r="J79" s="351"/>
      <c r="K79" s="351"/>
      <c r="L79" s="351"/>
      <c r="M79" s="351"/>
      <c r="N79" s="351"/>
      <c r="O79" s="351"/>
      <c r="P79" s="351"/>
      <c r="Q79" s="351"/>
      <c r="R79" s="351"/>
      <c r="S79" s="351"/>
      <c r="T79" s="351"/>
      <c r="U79" s="351"/>
      <c r="V79" s="351"/>
      <c r="W79" s="351"/>
      <c r="X79" s="351"/>
      <c r="Y79" s="351"/>
      <c r="Z79" s="351"/>
      <c r="AA79" s="593">
        <f>(((+AA77+N77)/2)+SUM(O77:Z77))/12</f>
        <v>11884345.086249998</v>
      </c>
      <c r="AC79" s="351"/>
    </row>
    <row r="80" spans="1:29">
      <c r="B80" s="5"/>
      <c r="C80" s="14"/>
      <c r="E80" s="5"/>
      <c r="G80" s="552"/>
      <c r="H80" s="553"/>
      <c r="I80" s="351"/>
      <c r="J80" s="351"/>
      <c r="K80" s="351"/>
      <c r="L80" s="351"/>
      <c r="M80" s="351"/>
      <c r="N80" s="351"/>
      <c r="O80" s="351"/>
      <c r="P80" s="351"/>
      <c r="Q80" s="351"/>
      <c r="R80" s="351"/>
      <c r="S80" s="351"/>
      <c r="T80" s="351"/>
      <c r="U80" s="351"/>
      <c r="V80" s="351"/>
      <c r="W80" s="351"/>
      <c r="X80" s="351"/>
      <c r="Y80" s="351"/>
      <c r="Z80" s="351"/>
      <c r="AA80" s="351"/>
      <c r="AC80" s="351"/>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3" sqref="A3:G3"/>
    </sheetView>
  </sheetViews>
  <sheetFormatPr defaultColWidth="9.109375" defaultRowHeight="15.6"/>
  <cols>
    <col min="1" max="1" width="9.33203125" style="3" bestFit="1" customWidth="1"/>
    <col min="2" max="2" width="10.44140625" style="3" customWidth="1"/>
    <col min="3" max="3" width="50.33203125" style="3" customWidth="1"/>
    <col min="4" max="4" width="6.6640625" style="3" customWidth="1"/>
    <col min="5" max="5" width="12.33203125" style="3" customWidth="1"/>
    <col min="6" max="6" width="4.109375" style="3" customWidth="1"/>
    <col min="7" max="7" width="14.5546875" style="3" bestFit="1" customWidth="1"/>
    <col min="8" max="16384" width="9.109375" style="3"/>
  </cols>
  <sheetData>
    <row r="1" spans="1:7">
      <c r="A1" s="1229" t="s">
        <v>54</v>
      </c>
      <c r="B1" s="1229"/>
      <c r="C1" s="1229"/>
      <c r="D1" s="1229"/>
      <c r="E1" s="1229"/>
      <c r="F1" s="1229"/>
      <c r="G1" s="1229"/>
    </row>
    <row r="2" spans="1:7">
      <c r="A2" s="1229" t="s">
        <v>1261</v>
      </c>
      <c r="B2" s="1229"/>
      <c r="C2" s="1229"/>
      <c r="D2" s="1229"/>
      <c r="E2" s="1229"/>
      <c r="F2" s="1229"/>
      <c r="G2" s="1229"/>
    </row>
    <row r="3" spans="1:7">
      <c r="A3" s="1229"/>
      <c r="B3" s="1229"/>
      <c r="C3" s="1229"/>
      <c r="D3" s="1229"/>
      <c r="E3" s="1229"/>
      <c r="F3" s="1229"/>
      <c r="G3" s="1229"/>
    </row>
    <row r="4" spans="1:7">
      <c r="A4" s="1229" t="s">
        <v>952</v>
      </c>
      <c r="B4" s="1229"/>
      <c r="C4" s="1229"/>
      <c r="D4" s="1229"/>
      <c r="E4" s="1229"/>
      <c r="F4" s="1229"/>
      <c r="G4" s="1229"/>
    </row>
    <row r="5" spans="1:7">
      <c r="A5" s="1229" t="s">
        <v>953</v>
      </c>
      <c r="B5" s="1229"/>
      <c r="C5" s="1229"/>
      <c r="D5" s="1229"/>
      <c r="E5" s="1229"/>
      <c r="F5" s="1229"/>
      <c r="G5" s="1229"/>
    </row>
    <row r="8" spans="1:7" s="5" customFormat="1">
      <c r="A8" s="8" t="s">
        <v>883</v>
      </c>
      <c r="B8" s="5" t="s">
        <v>1272</v>
      </c>
      <c r="C8" s="5" t="s">
        <v>1270</v>
      </c>
      <c r="E8" s="5" t="s">
        <v>1271</v>
      </c>
      <c r="G8" s="5" t="s">
        <v>1274</v>
      </c>
    </row>
    <row r="9" spans="1:7">
      <c r="A9" s="3">
        <v>1</v>
      </c>
      <c r="B9" s="325" t="s">
        <v>1258</v>
      </c>
      <c r="C9" s="325"/>
      <c r="D9" s="325"/>
      <c r="E9" s="325"/>
      <c r="F9" s="325"/>
      <c r="G9" s="494"/>
    </row>
    <row r="10" spans="1:7">
      <c r="A10" s="3">
        <v>2</v>
      </c>
      <c r="B10" s="325"/>
      <c r="C10" s="325" t="s">
        <v>1575</v>
      </c>
      <c r="D10" s="325"/>
      <c r="E10" s="325"/>
      <c r="F10" s="325"/>
      <c r="G10" s="494">
        <v>8908259.5399999991</v>
      </c>
    </row>
    <row r="11" spans="1:7">
      <c r="B11" s="325"/>
      <c r="C11" s="325"/>
      <c r="D11" s="325"/>
      <c r="E11" s="325"/>
      <c r="F11" s="325"/>
      <c r="G11" s="494"/>
    </row>
    <row r="12" spans="1:7">
      <c r="A12" s="3">
        <v>3</v>
      </c>
      <c r="B12" s="325" t="s">
        <v>1576</v>
      </c>
      <c r="C12" s="325"/>
      <c r="D12" s="325"/>
      <c r="E12" s="325"/>
      <c r="F12" s="325"/>
      <c r="G12" s="594" t="e">
        <f>-#REF!+#REF!</f>
        <v>#REF!</v>
      </c>
    </row>
    <row r="13" spans="1:7">
      <c r="B13" s="325"/>
      <c r="C13" s="325"/>
      <c r="D13" s="325"/>
      <c r="E13" s="325"/>
      <c r="F13" s="325"/>
      <c r="G13" s="594"/>
    </row>
    <row r="14" spans="1:7">
      <c r="A14" s="3">
        <v>4</v>
      </c>
      <c r="B14" s="325" t="s">
        <v>1577</v>
      </c>
      <c r="C14" s="325"/>
      <c r="D14" s="325"/>
      <c r="E14" s="325"/>
      <c r="F14" s="325"/>
      <c r="G14" s="494">
        <v>1996287.22</v>
      </c>
    </row>
    <row r="15" spans="1:7">
      <c r="B15" s="325"/>
      <c r="C15" s="325"/>
      <c r="D15" s="325"/>
      <c r="E15" s="325"/>
      <c r="F15" s="325"/>
      <c r="G15" s="494"/>
    </row>
    <row r="16" spans="1:7">
      <c r="A16" s="3">
        <v>5</v>
      </c>
      <c r="B16" s="325" t="s">
        <v>1578</v>
      </c>
      <c r="C16" s="325"/>
      <c r="D16" s="325"/>
      <c r="E16" s="325"/>
      <c r="F16" s="325"/>
      <c r="G16" s="494">
        <v>-264059.74</v>
      </c>
    </row>
    <row r="17" spans="1:7" ht="16.2" thickBot="1">
      <c r="B17" s="325"/>
      <c r="C17" s="325"/>
      <c r="D17" s="325"/>
      <c r="E17" s="325"/>
      <c r="F17" s="325"/>
      <c r="G17" s="494"/>
    </row>
    <row r="18" spans="1:7" ht="16.2" thickBot="1">
      <c r="A18" s="3">
        <v>6</v>
      </c>
      <c r="B18" s="3" t="s">
        <v>941</v>
      </c>
      <c r="G18" s="595" t="e">
        <f>+G10+G12+G14+G16</f>
        <v>#REF!</v>
      </c>
    </row>
    <row r="19" spans="1:7" ht="16.2" thickTop="1"/>
    <row r="21" spans="1:7">
      <c r="A21" s="3">
        <v>7</v>
      </c>
      <c r="C21" s="745" t="s">
        <v>1579</v>
      </c>
      <c r="E21" s="3" t="s">
        <v>945</v>
      </c>
      <c r="G21" s="596">
        <f>2625126-104804</f>
        <v>2520322</v>
      </c>
    </row>
    <row r="22" spans="1:7">
      <c r="A22" s="3">
        <v>8</v>
      </c>
      <c r="C22" s="745" t="s">
        <v>1580</v>
      </c>
      <c r="E22" s="3" t="s">
        <v>946</v>
      </c>
      <c r="G22" s="596">
        <f>759405+6847</f>
        <v>766252</v>
      </c>
    </row>
    <row r="23" spans="1:7">
      <c r="A23" s="3">
        <v>9</v>
      </c>
      <c r="C23" s="745" t="s">
        <v>1581</v>
      </c>
      <c r="E23" s="3" t="s">
        <v>947</v>
      </c>
      <c r="G23" s="397">
        <v>1933517</v>
      </c>
    </row>
    <row r="24" spans="1:7">
      <c r="G24" s="597" t="s">
        <v>948</v>
      </c>
    </row>
    <row r="25" spans="1:7">
      <c r="A25" s="3">
        <v>10</v>
      </c>
      <c r="E25" s="3" t="s">
        <v>52</v>
      </c>
      <c r="G25" s="397">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1"/>
  <sheetViews>
    <sheetView workbookViewId="0">
      <selection activeCell="A3" sqref="A3:G3"/>
    </sheetView>
  </sheetViews>
  <sheetFormatPr defaultColWidth="9.109375" defaultRowHeight="14.4"/>
  <cols>
    <col min="1" max="6" width="9.109375" style="1"/>
    <col min="7" max="7" width="14.88671875" style="1" bestFit="1" customWidth="1"/>
    <col min="8" max="9" width="9.109375" style="1"/>
    <col min="10" max="10" width="16.33203125" style="1" bestFit="1" customWidth="1"/>
    <col min="11" max="11" width="9.109375" style="1"/>
    <col min="12" max="12" width="22.6640625" style="1" bestFit="1" customWidth="1"/>
    <col min="13" max="16384" width="9.109375" style="1"/>
  </cols>
  <sheetData>
    <row r="1" spans="1:10" ht="46.2">
      <c r="A1" s="1280" t="s">
        <v>54</v>
      </c>
      <c r="B1" s="1280"/>
      <c r="C1" s="1280"/>
      <c r="D1" s="1280"/>
      <c r="E1" s="1280"/>
      <c r="F1" s="1280"/>
      <c r="G1" s="1280"/>
      <c r="H1" s="970"/>
    </row>
    <row r="2" spans="1:10" ht="15.6">
      <c r="A2" s="1280" t="s">
        <v>1261</v>
      </c>
      <c r="B2" s="1280"/>
      <c r="C2" s="1280"/>
      <c r="D2" s="1280"/>
      <c r="E2" s="1280"/>
      <c r="F2" s="1280"/>
      <c r="G2" s="1280"/>
    </row>
    <row r="3" spans="1:10" ht="15.6">
      <c r="A3" s="1280"/>
      <c r="B3" s="1280"/>
      <c r="C3" s="1280"/>
      <c r="D3" s="1280"/>
      <c r="E3" s="1280"/>
      <c r="F3" s="1280"/>
      <c r="G3" s="1280"/>
    </row>
    <row r="4" spans="1:10" ht="15.6">
      <c r="A4" s="1280" t="s">
        <v>952</v>
      </c>
      <c r="B4" s="1280"/>
      <c r="C4" s="1280"/>
      <c r="D4" s="1280"/>
      <c r="E4" s="1280"/>
      <c r="F4" s="1280"/>
      <c r="G4" s="1280"/>
    </row>
    <row r="5" spans="1:10" ht="15.6">
      <c r="A5" s="1280" t="s">
        <v>953</v>
      </c>
      <c r="B5" s="1280"/>
      <c r="C5" s="1280"/>
      <c r="D5" s="1280"/>
      <c r="E5" s="1280"/>
      <c r="F5" s="1280"/>
      <c r="G5" s="1280"/>
    </row>
    <row r="8" spans="1:10" ht="15.6">
      <c r="A8" s="8" t="s">
        <v>883</v>
      </c>
      <c r="B8" s="5" t="s">
        <v>1272</v>
      </c>
      <c r="C8" s="5" t="s">
        <v>1270</v>
      </c>
      <c r="D8" s="5"/>
      <c r="E8" s="5" t="s">
        <v>1271</v>
      </c>
      <c r="F8" s="5"/>
      <c r="G8" s="5" t="s">
        <v>1274</v>
      </c>
      <c r="H8" s="5"/>
      <c r="I8" s="5"/>
      <c r="J8" s="5"/>
    </row>
    <row r="9" spans="1:10" ht="15.6">
      <c r="A9" s="3">
        <v>1</v>
      </c>
      <c r="B9" s="325" t="s">
        <v>1258</v>
      </c>
      <c r="C9" s="325"/>
      <c r="D9" s="325"/>
      <c r="E9" s="325"/>
      <c r="F9" s="325"/>
      <c r="G9" s="494"/>
      <c r="J9" s="3" t="s">
        <v>1666</v>
      </c>
    </row>
    <row r="10" spans="1:10" ht="15.6">
      <c r="A10" s="3">
        <v>2</v>
      </c>
      <c r="B10" s="325"/>
      <c r="C10" s="325" t="s">
        <v>1575</v>
      </c>
      <c r="D10" s="325"/>
      <c r="E10" s="325"/>
      <c r="F10" s="325"/>
      <c r="G10" s="971">
        <v>9679994.5543803852</v>
      </c>
      <c r="H10" s="972" t="s">
        <v>1667</v>
      </c>
      <c r="J10" s="973">
        <v>8908259.5399999991</v>
      </c>
    </row>
    <row r="11" spans="1:10" ht="15.6">
      <c r="B11" s="325"/>
      <c r="C11" s="325"/>
      <c r="D11" s="325"/>
      <c r="E11" s="325"/>
      <c r="F11" s="325"/>
      <c r="G11" s="494"/>
    </row>
    <row r="12" spans="1:10" ht="15.6">
      <c r="A12" s="3">
        <v>3</v>
      </c>
      <c r="B12" s="325" t="s">
        <v>1576</v>
      </c>
      <c r="C12" s="325"/>
      <c r="D12" s="325"/>
      <c r="E12" s="325"/>
      <c r="F12" s="325"/>
      <c r="G12" s="974">
        <v>-4313452.818125234</v>
      </c>
      <c r="H12" s="972" t="s">
        <v>1668</v>
      </c>
    </row>
    <row r="13" spans="1:10" ht="15.6">
      <c r="B13" s="325"/>
      <c r="C13" s="325"/>
      <c r="D13" s="325"/>
      <c r="E13" s="325"/>
      <c r="F13" s="325"/>
      <c r="G13" s="594"/>
    </row>
    <row r="14" spans="1:10" ht="15.6">
      <c r="A14" s="3">
        <v>4</v>
      </c>
      <c r="B14" s="325" t="s">
        <v>1577</v>
      </c>
      <c r="C14" s="325"/>
      <c r="D14" s="325"/>
      <c r="E14" s="325"/>
      <c r="F14" s="325"/>
      <c r="G14" s="971">
        <v>2012842.5859586881</v>
      </c>
      <c r="H14" s="972" t="s">
        <v>1667</v>
      </c>
      <c r="J14" s="973">
        <v>1996287.22</v>
      </c>
    </row>
    <row r="15" spans="1:10" ht="15.6">
      <c r="B15" s="325"/>
      <c r="C15" s="325"/>
      <c r="D15" s="325"/>
      <c r="E15" s="325"/>
      <c r="F15" s="325"/>
      <c r="G15" s="494"/>
    </row>
    <row r="16" spans="1:10" ht="15.6">
      <c r="A16" s="3">
        <v>5</v>
      </c>
      <c r="B16" s="325" t="s">
        <v>1578</v>
      </c>
      <c r="C16" s="325"/>
      <c r="D16" s="325"/>
      <c r="E16" s="325"/>
      <c r="F16" s="325"/>
      <c r="G16" s="971">
        <v>-264059.74000000005</v>
      </c>
      <c r="H16" s="972" t="s">
        <v>1669</v>
      </c>
    </row>
    <row r="17" spans="1:12" ht="16.2" thickBot="1">
      <c r="B17" s="325"/>
      <c r="C17" s="325"/>
      <c r="D17" s="325"/>
      <c r="E17" s="325"/>
      <c r="F17" s="325"/>
      <c r="G17" s="494"/>
      <c r="L17" s="3" t="s">
        <v>1670</v>
      </c>
    </row>
    <row r="18" spans="1:12" ht="16.2" thickBot="1">
      <c r="A18" s="3">
        <v>6</v>
      </c>
      <c r="B18" s="3" t="s">
        <v>941</v>
      </c>
      <c r="G18" s="975">
        <v>7115324.5822138395</v>
      </c>
      <c r="J18" s="973">
        <v>5220091.3623099988</v>
      </c>
      <c r="L18" s="68">
        <v>1895233.2199038407</v>
      </c>
    </row>
    <row r="19" spans="1:12" ht="16.2" thickTop="1">
      <c r="F19" s="976" t="s">
        <v>1671</v>
      </c>
      <c r="G19" s="67">
        <v>7115324.5822138395</v>
      </c>
    </row>
    <row r="21" spans="1:12" ht="15.6">
      <c r="A21" s="3">
        <v>7</v>
      </c>
      <c r="C21" s="745" t="s">
        <v>1579</v>
      </c>
      <c r="E21" s="3" t="s">
        <v>945</v>
      </c>
      <c r="G21" s="977">
        <v>3815260.6046199994</v>
      </c>
      <c r="H21" s="972" t="s">
        <v>1667</v>
      </c>
      <c r="J21" s="978">
        <v>2520322</v>
      </c>
    </row>
    <row r="22" spans="1:12" ht="15.6">
      <c r="A22" s="3">
        <v>8</v>
      </c>
      <c r="C22" s="745" t="s">
        <v>1580</v>
      </c>
      <c r="E22" s="3" t="s">
        <v>946</v>
      </c>
      <c r="G22" s="977">
        <v>1366547.1302117973</v>
      </c>
      <c r="H22" s="972" t="s">
        <v>1672</v>
      </c>
      <c r="J22" s="978">
        <v>766252</v>
      </c>
    </row>
    <row r="23" spans="1:12" ht="15.6">
      <c r="A23" s="3">
        <v>9</v>
      </c>
      <c r="C23" s="745" t="s">
        <v>1581</v>
      </c>
      <c r="E23" s="3" t="s">
        <v>947</v>
      </c>
      <c r="G23" s="977">
        <v>1933516.8473820428</v>
      </c>
      <c r="H23" s="972" t="s">
        <v>1673</v>
      </c>
      <c r="J23" s="978">
        <v>1933517</v>
      </c>
    </row>
    <row r="24" spans="1:12" ht="15.6">
      <c r="G24" s="979" t="s">
        <v>948</v>
      </c>
      <c r="J24" s="978" t="s">
        <v>948</v>
      </c>
    </row>
    <row r="25" spans="1:12" ht="15.6">
      <c r="A25" s="3">
        <v>10</v>
      </c>
      <c r="E25" s="3" t="s">
        <v>52</v>
      </c>
      <c r="G25" s="980">
        <v>7115324.5822138395</v>
      </c>
      <c r="J25" s="978">
        <v>5220091</v>
      </c>
    </row>
    <row r="26" spans="1:12" ht="15.6">
      <c r="G26" s="67">
        <v>0</v>
      </c>
    </row>
    <row r="29" spans="1:12" ht="15.6">
      <c r="C29" s="981" t="s">
        <v>1674</v>
      </c>
      <c r="D29" s="981"/>
      <c r="E29" s="981"/>
      <c r="F29" s="981"/>
      <c r="G29" s="982">
        <v>-4313452.818125234</v>
      </c>
    </row>
    <row r="30" spans="1:12" ht="15.6">
      <c r="C30" s="981" t="s">
        <v>1675</v>
      </c>
      <c r="D30" s="981"/>
      <c r="E30" s="981"/>
      <c r="F30" s="981"/>
      <c r="G30" s="982">
        <v>-6192130.6636119513</v>
      </c>
    </row>
    <row r="31" spans="1:12" ht="15.6">
      <c r="C31" s="981" t="s">
        <v>1676</v>
      </c>
      <c r="D31" s="981"/>
      <c r="E31" s="981"/>
      <c r="F31" s="981"/>
      <c r="G31" s="983">
        <v>1878677.8454867173</v>
      </c>
    </row>
  </sheetData>
  <mergeCells count="5">
    <mergeCell ref="A1:G1"/>
    <mergeCell ref="A2:G2"/>
    <mergeCell ref="A3:G3"/>
    <mergeCell ref="A4:G4"/>
    <mergeCell ref="A5:G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2"/>
  <sheetViews>
    <sheetView view="pageBreakPreview" zoomScale="80" zoomScaleNormal="100" zoomScaleSheetLayoutView="80" workbookViewId="0">
      <selection activeCell="A3" sqref="A3:I3"/>
    </sheetView>
  </sheetViews>
  <sheetFormatPr defaultColWidth="9.109375" defaultRowHeight="15.6"/>
  <cols>
    <col min="1" max="1" width="1" style="3" customWidth="1"/>
    <col min="2" max="2" width="1.5546875" style="3" customWidth="1"/>
    <col min="3" max="3" width="8.6640625" style="743" bestFit="1" customWidth="1"/>
    <col min="4" max="4" width="14.44140625" style="3" customWidth="1"/>
    <col min="5" max="5" width="35.44140625" style="3" customWidth="1"/>
    <col min="6" max="19" width="18" style="3" bestFit="1" customWidth="1"/>
    <col min="20" max="20" width="2.44140625" style="3" customWidth="1"/>
    <col min="21" max="21" width="18" style="5" bestFit="1" customWidth="1"/>
    <col min="22" max="22" width="16.44140625" style="5" customWidth="1"/>
    <col min="23" max="23" width="16.33203125" style="5" bestFit="1" customWidth="1"/>
    <col min="24" max="24" width="17" style="5" bestFit="1" customWidth="1"/>
    <col min="25" max="16384" width="9.109375" style="3"/>
  </cols>
  <sheetData>
    <row r="1" spans="1:26">
      <c r="A1" s="598"/>
      <c r="B1" s="598"/>
      <c r="C1" s="599"/>
      <c r="D1" s="600"/>
      <c r="E1" s="601"/>
      <c r="F1" s="1229" t="s">
        <v>54</v>
      </c>
      <c r="G1" s="1229"/>
      <c r="H1" s="1229"/>
      <c r="I1" s="1229"/>
      <c r="J1" s="2"/>
      <c r="K1" s="2"/>
      <c r="L1" s="2"/>
      <c r="M1" s="601"/>
      <c r="N1" s="601"/>
      <c r="O1" s="601"/>
      <c r="P1" s="1229" t="s">
        <v>54</v>
      </c>
      <c r="Q1" s="1229"/>
      <c r="R1" s="1229"/>
      <c r="S1" s="1229"/>
      <c r="T1" s="1229"/>
      <c r="U1" s="2"/>
      <c r="V1" s="2"/>
      <c r="W1" s="602"/>
      <c r="X1" s="602"/>
      <c r="Y1" s="602"/>
      <c r="Z1" s="603"/>
    </row>
    <row r="2" spans="1:26">
      <c r="A2" s="598"/>
      <c r="B2" s="598"/>
      <c r="C2" s="599"/>
      <c r="D2" s="600"/>
      <c r="E2" s="601"/>
      <c r="F2" s="1229" t="s">
        <v>1261</v>
      </c>
      <c r="G2" s="1229"/>
      <c r="H2" s="1229"/>
      <c r="I2" s="1229"/>
      <c r="J2" s="2"/>
      <c r="K2" s="2"/>
      <c r="L2" s="2"/>
      <c r="M2" s="601"/>
      <c r="N2" s="601"/>
      <c r="O2" s="601"/>
      <c r="P2" s="1229" t="s">
        <v>1261</v>
      </c>
      <c r="Q2" s="1229"/>
      <c r="R2" s="1229"/>
      <c r="S2" s="1229"/>
      <c r="T2" s="1229"/>
      <c r="U2" s="2"/>
      <c r="V2" s="2"/>
      <c r="W2" s="602"/>
      <c r="X2" s="602"/>
      <c r="Y2" s="602"/>
      <c r="Z2" s="603"/>
    </row>
    <row r="3" spans="1:26">
      <c r="A3" s="598"/>
      <c r="B3" s="598"/>
      <c r="C3" s="599"/>
      <c r="D3" s="600"/>
      <c r="E3" s="601"/>
      <c r="F3" s="1229"/>
      <c r="G3" s="1229"/>
      <c r="H3" s="1229"/>
      <c r="I3" s="1229"/>
      <c r="J3" s="2"/>
      <c r="K3" s="2"/>
      <c r="L3" s="2"/>
      <c r="M3" s="601"/>
      <c r="N3" s="601"/>
      <c r="O3" s="601"/>
      <c r="P3" s="1229" t="s">
        <v>1643</v>
      </c>
      <c r="Q3" s="1229"/>
      <c r="R3" s="1229"/>
      <c r="S3" s="1229"/>
      <c r="T3" s="1229"/>
      <c r="U3" s="2"/>
      <c r="V3" s="2"/>
      <c r="W3" s="602"/>
      <c r="X3" s="602"/>
      <c r="Y3" s="602"/>
      <c r="Z3" s="603"/>
    </row>
    <row r="4" spans="1:26">
      <c r="A4" s="598"/>
      <c r="B4" s="598"/>
      <c r="C4" s="599"/>
      <c r="D4" s="600"/>
      <c r="E4" s="601"/>
      <c r="F4" s="1229" t="s">
        <v>1511</v>
      </c>
      <c r="G4" s="1229"/>
      <c r="H4" s="1229"/>
      <c r="I4" s="1229"/>
      <c r="J4" s="2"/>
      <c r="K4" s="2"/>
      <c r="L4" s="2"/>
      <c r="M4" s="601"/>
      <c r="N4" s="601"/>
      <c r="O4" s="601"/>
      <c r="P4" s="1229" t="s">
        <v>1511</v>
      </c>
      <c r="Q4" s="1229"/>
      <c r="R4" s="1229"/>
      <c r="S4" s="1229"/>
      <c r="T4" s="1229"/>
      <c r="U4" s="2"/>
      <c r="V4" s="2"/>
      <c r="W4" s="602"/>
      <c r="X4" s="602"/>
      <c r="Y4" s="602"/>
      <c r="Z4" s="603"/>
    </row>
    <row r="5" spans="1:26">
      <c r="A5" s="598"/>
      <c r="B5" s="598"/>
      <c r="C5" s="599"/>
      <c r="D5" s="600"/>
      <c r="E5" s="601"/>
      <c r="F5" s="1229" t="s">
        <v>953</v>
      </c>
      <c r="G5" s="1229"/>
      <c r="H5" s="1229"/>
      <c r="I5" s="1229"/>
      <c r="J5" s="2"/>
      <c r="K5" s="2"/>
      <c r="L5" s="2"/>
      <c r="M5" s="601"/>
      <c r="N5" s="601"/>
      <c r="O5" s="601"/>
      <c r="P5" s="1229" t="s">
        <v>953</v>
      </c>
      <c r="Q5" s="1229"/>
      <c r="R5" s="1229"/>
      <c r="S5" s="1229"/>
      <c r="T5" s="1229"/>
      <c r="U5" s="2"/>
      <c r="V5" s="2"/>
      <c r="W5" s="602"/>
      <c r="X5" s="602"/>
      <c r="Y5" s="602"/>
      <c r="Z5" s="603"/>
    </row>
    <row r="6" spans="1:26" ht="16.2">
      <c r="A6" s="598"/>
      <c r="B6" s="598"/>
      <c r="C6" s="599"/>
      <c r="D6" s="600"/>
      <c r="E6" s="604"/>
      <c r="F6" s="1282" t="s">
        <v>1627</v>
      </c>
      <c r="G6" s="1282"/>
      <c r="H6" s="1282"/>
      <c r="I6" s="1282"/>
      <c r="J6" s="604"/>
      <c r="K6" s="604"/>
      <c r="L6" s="604"/>
      <c r="M6" s="604"/>
      <c r="N6" s="604"/>
      <c r="O6" s="604"/>
      <c r="P6" s="1282" t="s">
        <v>1627</v>
      </c>
      <c r="Q6" s="1282"/>
      <c r="R6" s="1282"/>
      <c r="S6" s="1282"/>
      <c r="T6" s="602"/>
      <c r="U6" s="602"/>
      <c r="V6" s="606"/>
      <c r="W6" s="602"/>
      <c r="X6" s="602"/>
      <c r="Y6" s="602"/>
      <c r="Z6" s="603"/>
    </row>
    <row r="7" spans="1:26" s="16" customFormat="1">
      <c r="A7" s="607"/>
      <c r="B7" s="607"/>
      <c r="C7" s="607"/>
      <c r="D7" s="608" t="s">
        <v>1272</v>
      </c>
      <c r="E7" s="607" t="s">
        <v>1270</v>
      </c>
      <c r="F7" s="607" t="s">
        <v>1271</v>
      </c>
      <c r="G7" s="607" t="s">
        <v>1274</v>
      </c>
      <c r="H7" s="607" t="s">
        <v>1275</v>
      </c>
      <c r="I7" s="607" t="s">
        <v>1276</v>
      </c>
      <c r="J7" s="607" t="s">
        <v>1277</v>
      </c>
      <c r="K7" s="607" t="s">
        <v>1278</v>
      </c>
      <c r="L7" s="607" t="s">
        <v>1279</v>
      </c>
      <c r="M7" s="607" t="s">
        <v>1280</v>
      </c>
      <c r="N7" s="607" t="s">
        <v>1281</v>
      </c>
      <c r="O7" s="607" t="s">
        <v>1282</v>
      </c>
      <c r="P7" s="607" t="s">
        <v>1283</v>
      </c>
      <c r="Q7" s="609" t="s">
        <v>1284</v>
      </c>
      <c r="R7" s="607" t="s">
        <v>1285</v>
      </c>
      <c r="S7" s="610" t="s">
        <v>1539</v>
      </c>
      <c r="T7" s="611"/>
      <c r="U7" s="611" t="s">
        <v>1540</v>
      </c>
      <c r="V7" s="611" t="s">
        <v>1541</v>
      </c>
      <c r="W7" s="611" t="s">
        <v>1542</v>
      </c>
      <c r="X7" s="611" t="s">
        <v>1543</v>
      </c>
      <c r="Y7" s="611"/>
      <c r="Z7" s="612"/>
    </row>
    <row r="8" spans="1:26">
      <c r="A8" s="605"/>
      <c r="B8" s="605"/>
      <c r="C8" s="613"/>
      <c r="T8" s="602"/>
      <c r="U8" s="614" t="s">
        <v>392</v>
      </c>
      <c r="V8" s="614" t="s">
        <v>393</v>
      </c>
      <c r="W8" s="614" t="s">
        <v>394</v>
      </c>
      <c r="X8" s="614" t="s">
        <v>395</v>
      </c>
      <c r="Y8" s="602"/>
      <c r="Z8" s="615"/>
    </row>
    <row r="9" spans="1:26">
      <c r="A9" s="599" t="s">
        <v>396</v>
      </c>
      <c r="B9" s="599" t="s">
        <v>397</v>
      </c>
      <c r="C9" s="599" t="s">
        <v>883</v>
      </c>
      <c r="D9" s="616" t="s">
        <v>398</v>
      </c>
      <c r="E9" s="617" t="s">
        <v>374</v>
      </c>
      <c r="F9" s="618" t="s">
        <v>960</v>
      </c>
      <c r="G9" s="618" t="s">
        <v>961</v>
      </c>
      <c r="H9" s="618" t="s">
        <v>962</v>
      </c>
      <c r="I9" s="618" t="s">
        <v>963</v>
      </c>
      <c r="J9" s="618" t="s">
        <v>964</v>
      </c>
      <c r="K9" s="618" t="s">
        <v>965</v>
      </c>
      <c r="L9" s="618" t="s">
        <v>966</v>
      </c>
      <c r="M9" s="618" t="s">
        <v>967</v>
      </c>
      <c r="N9" s="618" t="s">
        <v>968</v>
      </c>
      <c r="O9" s="618" t="s">
        <v>969</v>
      </c>
      <c r="P9" s="618" t="s">
        <v>970</v>
      </c>
      <c r="Q9" s="618" t="s">
        <v>971</v>
      </c>
      <c r="R9" s="618" t="s">
        <v>972</v>
      </c>
      <c r="S9" s="618" t="s">
        <v>1287</v>
      </c>
      <c r="T9" s="602"/>
      <c r="U9" s="619" t="s">
        <v>399</v>
      </c>
      <c r="V9" s="619" t="s">
        <v>400</v>
      </c>
      <c r="W9" s="619" t="s">
        <v>400</v>
      </c>
      <c r="X9" s="619" t="s">
        <v>399</v>
      </c>
      <c r="Y9" s="602"/>
      <c r="Z9" s="615"/>
    </row>
    <row r="10" spans="1:26">
      <c r="A10" s="620"/>
      <c r="B10" s="620"/>
      <c r="C10" s="621">
        <v>1</v>
      </c>
      <c r="D10" s="620"/>
      <c r="E10" s="620"/>
      <c r="F10" s="620"/>
      <c r="G10" s="620"/>
      <c r="H10" s="620"/>
      <c r="I10" s="620"/>
      <c r="J10" s="620"/>
      <c r="K10" s="620"/>
      <c r="L10" s="620"/>
      <c r="M10" s="620"/>
      <c r="N10" s="620"/>
      <c r="O10" s="620"/>
      <c r="P10" s="620"/>
      <c r="Q10" s="620"/>
      <c r="R10" s="620"/>
      <c r="S10" s="620"/>
      <c r="T10" s="620"/>
      <c r="U10" s="620"/>
      <c r="V10" s="620"/>
      <c r="W10" s="620"/>
      <c r="X10" s="620"/>
      <c r="Y10" s="602"/>
      <c r="Z10" s="615"/>
    </row>
    <row r="11" spans="1:26">
      <c r="A11" s="622" t="s">
        <v>401</v>
      </c>
      <c r="B11" s="622" t="s">
        <v>402</v>
      </c>
      <c r="C11" s="623">
        <v>2</v>
      </c>
      <c r="D11" s="624" t="str">
        <f>+A11</f>
        <v>1012</v>
      </c>
      <c r="E11" s="625" t="s">
        <v>403</v>
      </c>
      <c r="F11" s="626">
        <v>841287581.38</v>
      </c>
      <c r="G11" s="627">
        <v>844250997.01999998</v>
      </c>
      <c r="H11" s="628">
        <v>845780274.45000005</v>
      </c>
      <c r="I11" s="628">
        <v>850849571.23000002</v>
      </c>
      <c r="J11" s="629">
        <v>852735883.73000002</v>
      </c>
      <c r="K11" s="630">
        <v>855868544.54999995</v>
      </c>
      <c r="L11" s="631">
        <v>864307499.25999999</v>
      </c>
      <c r="M11" s="632">
        <v>868541029.21000004</v>
      </c>
      <c r="N11" s="633">
        <v>869411162.35000002</v>
      </c>
      <c r="O11" s="634">
        <v>875369750.46000004</v>
      </c>
      <c r="P11" s="635">
        <v>879842689.62</v>
      </c>
      <c r="Q11" s="636">
        <v>881539577.07000005</v>
      </c>
      <c r="R11" s="626">
        <v>889631646.78999996</v>
      </c>
      <c r="S11" s="628">
        <f>((F11+R11)+((G11+H11+I11+J11+K11+L11+M11+N11+O11+P11+Q11)*2))/24</f>
        <v>862829716.08624995</v>
      </c>
      <c r="T11" s="602"/>
      <c r="U11" s="602"/>
      <c r="V11" s="606">
        <f>S11</f>
        <v>862829716.08624995</v>
      </c>
      <c r="W11" s="602"/>
      <c r="X11" s="602"/>
      <c r="Y11" s="615"/>
      <c r="Z11" s="615"/>
    </row>
    <row r="12" spans="1:26">
      <c r="A12" s="622" t="s">
        <v>404</v>
      </c>
      <c r="B12" s="622" t="s">
        <v>402</v>
      </c>
      <c r="C12" s="623">
        <v>3</v>
      </c>
      <c r="D12" s="624" t="str">
        <f>+A12</f>
        <v>1062</v>
      </c>
      <c r="E12" s="625" t="s">
        <v>405</v>
      </c>
      <c r="F12" s="626">
        <v>28896553.829999998</v>
      </c>
      <c r="G12" s="627">
        <v>27565439.219999999</v>
      </c>
      <c r="H12" s="628">
        <v>27308385.52</v>
      </c>
      <c r="I12" s="628">
        <v>25405445.93</v>
      </c>
      <c r="J12" s="629">
        <v>26448610.5</v>
      </c>
      <c r="K12" s="630">
        <v>26356690.800000001</v>
      </c>
      <c r="L12" s="631">
        <v>20673671.899999999</v>
      </c>
      <c r="M12" s="632">
        <v>20158872.41</v>
      </c>
      <c r="N12" s="633">
        <v>31410364.16</v>
      </c>
      <c r="O12" s="634">
        <v>29294995.760000002</v>
      </c>
      <c r="P12" s="635">
        <v>31135493.359999999</v>
      </c>
      <c r="Q12" s="636">
        <v>31619119.32</v>
      </c>
      <c r="R12" s="626">
        <v>33062917.120000001</v>
      </c>
      <c r="S12" s="628">
        <f t="shared" ref="S12:S75" si="0">((F12+R12)+((G12+H12+I12+J12+K12+L12+M12+N12+O12+P12+Q12)*2))/24</f>
        <v>27363068.696249995</v>
      </c>
      <c r="T12" s="602"/>
      <c r="U12" s="602"/>
      <c r="V12" s="606">
        <f>S12</f>
        <v>27363068.696249995</v>
      </c>
      <c r="W12" s="602"/>
      <c r="X12" s="602"/>
      <c r="Y12" s="615"/>
      <c r="Z12" s="615"/>
    </row>
    <row r="13" spans="1:26">
      <c r="A13" s="622" t="s">
        <v>406</v>
      </c>
      <c r="B13" s="622" t="s">
        <v>402</v>
      </c>
      <c r="C13" s="623">
        <v>4</v>
      </c>
      <c r="D13" s="624" t="str">
        <f>A13&amp;"."&amp;B13</f>
        <v>@2:107.*</v>
      </c>
      <c r="E13" s="625" t="s">
        <v>407</v>
      </c>
      <c r="F13" s="626">
        <v>10555875.93</v>
      </c>
      <c r="G13" s="627">
        <v>9501126.4000000004</v>
      </c>
      <c r="H13" s="628">
        <v>10899019.84</v>
      </c>
      <c r="I13" s="628">
        <v>10951252.41</v>
      </c>
      <c r="J13" s="629">
        <v>11303827.66</v>
      </c>
      <c r="K13" s="630">
        <v>13181573.25</v>
      </c>
      <c r="L13" s="631">
        <v>17648079.600000001</v>
      </c>
      <c r="M13" s="632">
        <v>18641573.690000001</v>
      </c>
      <c r="N13" s="633">
        <v>9965389.1699999999</v>
      </c>
      <c r="O13" s="634">
        <v>10944845.09</v>
      </c>
      <c r="P13" s="635">
        <v>11645573.119999999</v>
      </c>
      <c r="Q13" s="636">
        <v>13934906.949999999</v>
      </c>
      <c r="R13" s="626">
        <v>12898869.82</v>
      </c>
      <c r="S13" s="628">
        <f t="shared" si="0"/>
        <v>12528711.671250001</v>
      </c>
      <c r="T13" s="602"/>
      <c r="U13" s="637"/>
      <c r="V13" s="637"/>
      <c r="W13" s="638">
        <f>S13</f>
        <v>12528711.671250001</v>
      </c>
      <c r="X13" s="637"/>
      <c r="Y13" s="615"/>
      <c r="Z13" s="615"/>
    </row>
    <row r="14" spans="1:26">
      <c r="A14" s="622"/>
      <c r="B14" s="622"/>
      <c r="C14" s="623">
        <v>5</v>
      </c>
      <c r="D14" s="624"/>
      <c r="E14" s="625"/>
      <c r="F14" s="639"/>
      <c r="G14" s="640"/>
      <c r="H14" s="641"/>
      <c r="I14" s="641"/>
      <c r="J14" s="642"/>
      <c r="K14" s="643"/>
      <c r="L14" s="644"/>
      <c r="M14" s="645"/>
      <c r="N14" s="646"/>
      <c r="O14" s="647"/>
      <c r="P14" s="648"/>
      <c r="Q14" s="649"/>
      <c r="R14" s="639"/>
      <c r="S14" s="628">
        <f t="shared" si="0"/>
        <v>0</v>
      </c>
      <c r="T14" s="602"/>
      <c r="U14" s="637"/>
      <c r="V14" s="637"/>
      <c r="W14" s="637"/>
      <c r="X14" s="637"/>
      <c r="Y14" s="615"/>
      <c r="Z14" s="615"/>
    </row>
    <row r="15" spans="1:26">
      <c r="A15" s="622"/>
      <c r="B15" s="622"/>
      <c r="C15" s="623">
        <v>6</v>
      </c>
      <c r="D15" s="624"/>
      <c r="E15" s="625" t="s">
        <v>408</v>
      </c>
      <c r="F15" s="650">
        <f>SUM(F11:F14)</f>
        <v>880740011.13999999</v>
      </c>
      <c r="G15" s="650">
        <f t="shared" ref="G15:S15" si="1">SUM(G11:G14)</f>
        <v>881317562.63999999</v>
      </c>
      <c r="H15" s="650">
        <f t="shared" si="1"/>
        <v>883987679.81000006</v>
      </c>
      <c r="I15" s="650">
        <f t="shared" si="1"/>
        <v>887206269.56999993</v>
      </c>
      <c r="J15" s="650">
        <f t="shared" si="1"/>
        <v>890488321.88999999</v>
      </c>
      <c r="K15" s="650">
        <f t="shared" si="1"/>
        <v>895406808.5999999</v>
      </c>
      <c r="L15" s="650">
        <f t="shared" si="1"/>
        <v>902629250.75999999</v>
      </c>
      <c r="M15" s="650">
        <f t="shared" si="1"/>
        <v>907341475.31000006</v>
      </c>
      <c r="N15" s="650">
        <f t="shared" si="1"/>
        <v>910786915.67999995</v>
      </c>
      <c r="O15" s="650">
        <f t="shared" si="1"/>
        <v>915609591.31000006</v>
      </c>
      <c r="P15" s="650">
        <f t="shared" si="1"/>
        <v>922623756.10000002</v>
      </c>
      <c r="Q15" s="650">
        <f t="shared" si="1"/>
        <v>927093603.34000015</v>
      </c>
      <c r="R15" s="650">
        <f t="shared" si="1"/>
        <v>935593433.73000002</v>
      </c>
      <c r="S15" s="650">
        <f t="shared" si="1"/>
        <v>902721496.4537499</v>
      </c>
      <c r="T15" s="602"/>
      <c r="U15" s="637"/>
      <c r="V15" s="637"/>
      <c r="W15" s="637"/>
      <c r="X15" s="637"/>
      <c r="Y15" s="615"/>
      <c r="Z15" s="615"/>
    </row>
    <row r="16" spans="1:26">
      <c r="A16" s="622"/>
      <c r="B16" s="622"/>
      <c r="C16" s="623">
        <v>7</v>
      </c>
      <c r="D16" s="624"/>
      <c r="E16" s="625"/>
      <c r="F16" s="639"/>
      <c r="G16" s="640"/>
      <c r="H16" s="641"/>
      <c r="I16" s="641"/>
      <c r="J16" s="642"/>
      <c r="K16" s="643"/>
      <c r="L16" s="644"/>
      <c r="M16" s="645"/>
      <c r="N16" s="646"/>
      <c r="O16" s="647"/>
      <c r="P16" s="648"/>
      <c r="Q16" s="649"/>
      <c r="R16" s="639"/>
      <c r="S16" s="628">
        <f t="shared" si="0"/>
        <v>0</v>
      </c>
      <c r="T16" s="602"/>
      <c r="U16" s="637"/>
      <c r="V16" s="637"/>
      <c r="W16" s="637"/>
      <c r="X16" s="637"/>
      <c r="Y16" s="615"/>
      <c r="Z16" s="615"/>
    </row>
    <row r="17" spans="1:26">
      <c r="A17" s="622" t="s">
        <v>409</v>
      </c>
      <c r="B17" s="622" t="s">
        <v>410</v>
      </c>
      <c r="C17" s="623">
        <v>8</v>
      </c>
      <c r="D17" s="624" t="str">
        <f>A17&amp;"."&amp;B17</f>
        <v>1082.8</v>
      </c>
      <c r="E17" s="651" t="s">
        <v>411</v>
      </c>
      <c r="F17" s="652">
        <v>686205.96</v>
      </c>
      <c r="G17" s="653">
        <v>829635.6</v>
      </c>
      <c r="H17" s="628">
        <v>771254.68</v>
      </c>
      <c r="I17" s="628">
        <v>524465.69999999995</v>
      </c>
      <c r="J17" s="652">
        <v>698101.21</v>
      </c>
      <c r="K17" s="652">
        <v>830365.63</v>
      </c>
      <c r="L17" s="652">
        <v>887437.96</v>
      </c>
      <c r="M17" s="652">
        <v>780282.77</v>
      </c>
      <c r="N17" s="652">
        <v>1016342.45</v>
      </c>
      <c r="O17" s="654">
        <v>906028.11</v>
      </c>
      <c r="P17" s="652">
        <v>908236.76</v>
      </c>
      <c r="Q17" s="652">
        <v>933863.07</v>
      </c>
      <c r="R17" s="652">
        <v>991503.47</v>
      </c>
      <c r="S17" s="628">
        <f t="shared" si="0"/>
        <v>827072.38791666657</v>
      </c>
      <c r="T17" s="602"/>
      <c r="U17" s="637"/>
      <c r="V17" s="637"/>
      <c r="W17" s="637"/>
      <c r="X17" s="637"/>
      <c r="Y17" s="615"/>
      <c r="Z17" s="615"/>
    </row>
    <row r="18" spans="1:26">
      <c r="A18" s="622" t="s">
        <v>409</v>
      </c>
      <c r="B18" s="622" t="s">
        <v>412</v>
      </c>
      <c r="C18" s="623">
        <v>9</v>
      </c>
      <c r="D18" s="624" t="str">
        <f>+A18</f>
        <v>1082</v>
      </c>
      <c r="E18" s="625" t="s">
        <v>413</v>
      </c>
      <c r="F18" s="626">
        <v>-297303622.94999999</v>
      </c>
      <c r="G18" s="627">
        <v>-298329288.63</v>
      </c>
      <c r="H18" s="628">
        <v>-299555161.89999998</v>
      </c>
      <c r="I18" s="628">
        <v>-300533506.98000002</v>
      </c>
      <c r="J18" s="629">
        <v>-301818176.24000001</v>
      </c>
      <c r="K18" s="630">
        <v>-303247549.05000001</v>
      </c>
      <c r="L18" s="631">
        <v>-304208502.81</v>
      </c>
      <c r="M18" s="632">
        <v>-305547368.5</v>
      </c>
      <c r="N18" s="633">
        <v>-306922056.56</v>
      </c>
      <c r="O18" s="634">
        <v>-308090549.82999998</v>
      </c>
      <c r="P18" s="635">
        <v>-309380893.37</v>
      </c>
      <c r="Q18" s="636">
        <v>-310725873.72000003</v>
      </c>
      <c r="R18" s="626">
        <v>-310640427.29000002</v>
      </c>
      <c r="S18" s="628">
        <f t="shared" si="0"/>
        <v>-304360912.72583336</v>
      </c>
      <c r="T18" s="602"/>
      <c r="U18" s="637"/>
      <c r="V18" s="637"/>
      <c r="W18" s="637"/>
      <c r="X18" s="637"/>
      <c r="Y18" s="615"/>
      <c r="Z18" s="615"/>
    </row>
    <row r="19" spans="1:26">
      <c r="A19" s="622" t="s">
        <v>414</v>
      </c>
      <c r="B19" s="622" t="s">
        <v>402</v>
      </c>
      <c r="C19" s="623">
        <v>10</v>
      </c>
      <c r="D19" s="624" t="str">
        <f>+A19</f>
        <v>1112</v>
      </c>
      <c r="E19" s="625" t="s">
        <v>415</v>
      </c>
      <c r="F19" s="655">
        <v>-8070827.1500000004</v>
      </c>
      <c r="G19" s="656">
        <v>-8314228.7599999998</v>
      </c>
      <c r="H19" s="657">
        <v>-8560523.9900000002</v>
      </c>
      <c r="I19" s="657">
        <v>-8770158.4000000004</v>
      </c>
      <c r="J19" s="658">
        <v>-9007056.4499999993</v>
      </c>
      <c r="K19" s="659">
        <v>-9243688.6899999995</v>
      </c>
      <c r="L19" s="660">
        <v>-9480361.2899999991</v>
      </c>
      <c r="M19" s="661">
        <v>-9701458.4700000007</v>
      </c>
      <c r="N19" s="662">
        <v>-9922555.6500000004</v>
      </c>
      <c r="O19" s="663">
        <v>-10143652.83</v>
      </c>
      <c r="P19" s="664">
        <v>-10365313.029999999</v>
      </c>
      <c r="Q19" s="665">
        <v>-10586166.609999999</v>
      </c>
      <c r="R19" s="655">
        <v>-10807311.550000001</v>
      </c>
      <c r="S19" s="628">
        <f t="shared" si="0"/>
        <v>-9461186.1266666651</v>
      </c>
      <c r="T19" s="602"/>
      <c r="U19" s="637"/>
      <c r="V19" s="637"/>
      <c r="W19" s="637"/>
      <c r="X19" s="637"/>
      <c r="Y19" s="615"/>
      <c r="Z19" s="615"/>
    </row>
    <row r="20" spans="1:26">
      <c r="A20" s="622" t="s">
        <v>416</v>
      </c>
      <c r="B20" s="622" t="s">
        <v>402</v>
      </c>
      <c r="C20" s="623">
        <v>11</v>
      </c>
      <c r="D20" s="622" t="str">
        <f>+A20</f>
        <v>1152</v>
      </c>
      <c r="E20" s="625" t="s">
        <v>417</v>
      </c>
      <c r="F20" s="666">
        <v>0</v>
      </c>
      <c r="G20" s="667">
        <v>0</v>
      </c>
      <c r="H20" s="668">
        <v>0</v>
      </c>
      <c r="I20" s="668">
        <v>0</v>
      </c>
      <c r="J20" s="669">
        <v>0</v>
      </c>
      <c r="K20" s="670">
        <v>0</v>
      </c>
      <c r="L20" s="671">
        <v>0</v>
      </c>
      <c r="M20" s="672">
        <v>0</v>
      </c>
      <c r="N20" s="673">
        <v>0</v>
      </c>
      <c r="O20" s="674">
        <v>0</v>
      </c>
      <c r="P20" s="675">
        <v>0</v>
      </c>
      <c r="Q20" s="676">
        <v>0</v>
      </c>
      <c r="R20" s="666">
        <v>0</v>
      </c>
      <c r="S20" s="628">
        <f t="shared" si="0"/>
        <v>0</v>
      </c>
      <c r="T20" s="602"/>
      <c r="U20" s="637"/>
      <c r="V20" s="637"/>
      <c r="W20" s="637"/>
      <c r="X20" s="637"/>
      <c r="Y20" s="615"/>
      <c r="Z20" s="615"/>
    </row>
    <row r="21" spans="1:26">
      <c r="A21" s="622"/>
      <c r="B21" s="622"/>
      <c r="C21" s="623">
        <v>12</v>
      </c>
      <c r="D21" s="624"/>
      <c r="E21" s="625" t="s">
        <v>418</v>
      </c>
      <c r="F21" s="677">
        <f>SUM(F17:F20)</f>
        <v>-304688244.13999999</v>
      </c>
      <c r="G21" s="677">
        <f t="shared" ref="G21:S21" si="2">SUM(G17:G20)</f>
        <v>-305813881.78999996</v>
      </c>
      <c r="H21" s="677">
        <f t="shared" si="2"/>
        <v>-307344431.20999998</v>
      </c>
      <c r="I21" s="677">
        <f t="shared" si="2"/>
        <v>-308779199.68000001</v>
      </c>
      <c r="J21" s="677">
        <f t="shared" si="2"/>
        <v>-310127131.48000002</v>
      </c>
      <c r="K21" s="677">
        <f t="shared" si="2"/>
        <v>-311660872.11000001</v>
      </c>
      <c r="L21" s="677">
        <f t="shared" si="2"/>
        <v>-312801426.14000005</v>
      </c>
      <c r="M21" s="677">
        <f t="shared" si="2"/>
        <v>-314468544.20000005</v>
      </c>
      <c r="N21" s="677">
        <f t="shared" si="2"/>
        <v>-315828269.75999999</v>
      </c>
      <c r="O21" s="677">
        <f t="shared" si="2"/>
        <v>-317328174.54999995</v>
      </c>
      <c r="P21" s="677">
        <f t="shared" si="2"/>
        <v>-318837969.63999999</v>
      </c>
      <c r="Q21" s="677">
        <f t="shared" si="2"/>
        <v>-320378177.26000005</v>
      </c>
      <c r="R21" s="677">
        <f t="shared" si="2"/>
        <v>-320456235.37</v>
      </c>
      <c r="S21" s="677">
        <f t="shared" si="2"/>
        <v>-312995026.46458334</v>
      </c>
      <c r="T21" s="602"/>
      <c r="U21" s="637"/>
      <c r="V21" s="638"/>
      <c r="W21" s="637"/>
      <c r="X21" s="637"/>
      <c r="Y21" s="615"/>
      <c r="Z21" s="615"/>
    </row>
    <row r="22" spans="1:26">
      <c r="A22" s="622"/>
      <c r="B22" s="622"/>
      <c r="C22" s="623">
        <v>13</v>
      </c>
      <c r="D22" s="624"/>
      <c r="E22" s="625"/>
      <c r="F22" s="639"/>
      <c r="G22" s="640"/>
      <c r="H22" s="641"/>
      <c r="I22" s="641"/>
      <c r="J22" s="642"/>
      <c r="K22" s="643"/>
      <c r="L22" s="644"/>
      <c r="M22" s="645"/>
      <c r="N22" s="646"/>
      <c r="O22" s="647"/>
      <c r="P22" s="648"/>
      <c r="Q22" s="649"/>
      <c r="R22" s="639"/>
      <c r="S22" s="628">
        <f t="shared" si="0"/>
        <v>0</v>
      </c>
      <c r="T22" s="602"/>
      <c r="U22" s="637"/>
      <c r="V22" s="637"/>
      <c r="W22" s="637"/>
      <c r="X22" s="637"/>
      <c r="Y22" s="615"/>
      <c r="Z22" s="615"/>
    </row>
    <row r="23" spans="1:26">
      <c r="A23" s="622" t="s">
        <v>419</v>
      </c>
      <c r="B23" s="622" t="s">
        <v>402</v>
      </c>
      <c r="C23" s="623">
        <v>14</v>
      </c>
      <c r="D23" s="624" t="str">
        <f>+A23</f>
        <v>1087</v>
      </c>
      <c r="E23" s="625" t="s">
        <v>420</v>
      </c>
      <c r="F23" s="626">
        <v>-3106488.9199999701</v>
      </c>
      <c r="G23" s="627">
        <v>-3114831.04</v>
      </c>
      <c r="H23" s="628">
        <v>-3129854.48</v>
      </c>
      <c r="I23" s="628">
        <v>-3101719.66</v>
      </c>
      <c r="J23" s="629">
        <v>-3114986.65</v>
      </c>
      <c r="K23" s="630">
        <v>-3126477.53</v>
      </c>
      <c r="L23" s="631">
        <v>-3141437.98</v>
      </c>
      <c r="M23" s="632">
        <v>-3157143.28</v>
      </c>
      <c r="N23" s="633">
        <v>-3164800.94</v>
      </c>
      <c r="O23" s="634">
        <v>-3176368.87</v>
      </c>
      <c r="P23" s="635">
        <v>-3178448.47</v>
      </c>
      <c r="Q23" s="636">
        <v>-3184113.82</v>
      </c>
      <c r="R23" s="626">
        <v>-3251382.2</v>
      </c>
      <c r="S23" s="628">
        <f t="shared" si="0"/>
        <v>-3147426.523333332</v>
      </c>
      <c r="T23" s="602"/>
      <c r="U23" s="637"/>
      <c r="V23" s="637"/>
      <c r="W23" s="637"/>
      <c r="X23" s="637"/>
      <c r="Y23" s="615"/>
      <c r="Z23" s="615"/>
    </row>
    <row r="24" spans="1:26">
      <c r="A24" s="622" t="s">
        <v>973</v>
      </c>
      <c r="B24" s="622" t="s">
        <v>402</v>
      </c>
      <c r="C24" s="623">
        <v>15</v>
      </c>
      <c r="D24" s="624" t="str">
        <f>+A24</f>
        <v>1088</v>
      </c>
      <c r="E24" s="626" t="s">
        <v>974</v>
      </c>
      <c r="F24" s="626">
        <v>-124586801</v>
      </c>
      <c r="G24" s="627">
        <v>-124938981.86</v>
      </c>
      <c r="H24" s="628">
        <v>-125253035.84999999</v>
      </c>
      <c r="I24" s="628">
        <v>-125305836.09999999</v>
      </c>
      <c r="J24" s="629">
        <v>-125700569.34</v>
      </c>
      <c r="K24" s="630">
        <v>-126092534.17</v>
      </c>
      <c r="L24" s="631">
        <v>-126397292.31</v>
      </c>
      <c r="M24" s="632">
        <v>-126779418.34</v>
      </c>
      <c r="N24" s="633">
        <v>-127152785.67</v>
      </c>
      <c r="O24" s="634">
        <v>-127377044.70999999</v>
      </c>
      <c r="P24" s="635">
        <v>-127747360.28</v>
      </c>
      <c r="Q24" s="636">
        <v>-128065696.11</v>
      </c>
      <c r="R24" s="626">
        <v>-129636963.91</v>
      </c>
      <c r="S24" s="628">
        <f t="shared" si="0"/>
        <v>-126493536.43291664</v>
      </c>
      <c r="T24" s="602"/>
      <c r="U24" s="637"/>
      <c r="V24" s="637"/>
      <c r="W24" s="637"/>
      <c r="X24" s="637"/>
      <c r="Y24" s="615"/>
      <c r="Z24" s="615"/>
    </row>
    <row r="25" spans="1:26">
      <c r="A25" s="622"/>
      <c r="B25" s="622"/>
      <c r="C25" s="623">
        <v>16</v>
      </c>
      <c r="D25" s="624"/>
      <c r="E25" s="625" t="s">
        <v>421</v>
      </c>
      <c r="F25" s="678">
        <f>+F23+F24</f>
        <v>-127693289.91999997</v>
      </c>
      <c r="G25" s="678">
        <f t="shared" ref="G25:S25" si="3">+G23+G24</f>
        <v>-128053812.90000001</v>
      </c>
      <c r="H25" s="678">
        <f t="shared" si="3"/>
        <v>-128382890.33</v>
      </c>
      <c r="I25" s="678">
        <f t="shared" si="3"/>
        <v>-128407555.75999999</v>
      </c>
      <c r="J25" s="678">
        <f t="shared" si="3"/>
        <v>-128815555.99000001</v>
      </c>
      <c r="K25" s="678">
        <f t="shared" si="3"/>
        <v>-129219011.7</v>
      </c>
      <c r="L25" s="678">
        <f t="shared" si="3"/>
        <v>-129538730.29000001</v>
      </c>
      <c r="M25" s="678">
        <f t="shared" si="3"/>
        <v>-129936561.62</v>
      </c>
      <c r="N25" s="678">
        <f t="shared" si="3"/>
        <v>-130317586.61</v>
      </c>
      <c r="O25" s="678">
        <f t="shared" si="3"/>
        <v>-130553413.58</v>
      </c>
      <c r="P25" s="678">
        <f t="shared" si="3"/>
        <v>-130925808.75</v>
      </c>
      <c r="Q25" s="678">
        <f t="shared" si="3"/>
        <v>-131249809.92999999</v>
      </c>
      <c r="R25" s="678">
        <f t="shared" si="3"/>
        <v>-132888346.11</v>
      </c>
      <c r="S25" s="678">
        <f t="shared" si="3"/>
        <v>-129640962.95624997</v>
      </c>
      <c r="T25" s="602"/>
      <c r="U25" s="637"/>
      <c r="V25" s="637"/>
      <c r="W25" s="637"/>
      <c r="X25" s="637"/>
      <c r="Y25" s="615"/>
      <c r="Z25" s="615"/>
    </row>
    <row r="26" spans="1:26">
      <c r="A26" s="622"/>
      <c r="B26" s="622"/>
      <c r="C26" s="623">
        <v>17</v>
      </c>
      <c r="D26" s="624"/>
      <c r="E26" s="625"/>
      <c r="F26" s="639"/>
      <c r="G26" s="640"/>
      <c r="H26" s="641"/>
      <c r="I26" s="641"/>
      <c r="J26" s="642"/>
      <c r="K26" s="643"/>
      <c r="L26" s="644"/>
      <c r="M26" s="645"/>
      <c r="N26" s="646"/>
      <c r="O26" s="647"/>
      <c r="P26" s="648"/>
      <c r="Q26" s="649"/>
      <c r="R26" s="639"/>
      <c r="S26" s="628">
        <f t="shared" si="0"/>
        <v>0</v>
      </c>
      <c r="T26" s="602"/>
      <c r="U26" s="637"/>
      <c r="V26" s="637"/>
      <c r="W26" s="637"/>
      <c r="X26" s="637"/>
      <c r="Y26" s="615"/>
      <c r="Z26" s="615"/>
    </row>
    <row r="27" spans="1:26">
      <c r="A27" s="622"/>
      <c r="B27" s="622"/>
      <c r="C27" s="623">
        <v>18</v>
      </c>
      <c r="D27" s="624"/>
      <c r="E27" s="625" t="s">
        <v>422</v>
      </c>
      <c r="F27" s="679">
        <f>+F25+F21</f>
        <v>-432381534.05999994</v>
      </c>
      <c r="G27" s="679">
        <f t="shared" ref="G27:S27" si="4">+G25+G21</f>
        <v>-433867694.68999994</v>
      </c>
      <c r="H27" s="679">
        <f t="shared" si="4"/>
        <v>-435727321.53999996</v>
      </c>
      <c r="I27" s="679">
        <f t="shared" si="4"/>
        <v>-437186755.44</v>
      </c>
      <c r="J27" s="679">
        <f t="shared" si="4"/>
        <v>-438942687.47000003</v>
      </c>
      <c r="K27" s="679">
        <f t="shared" si="4"/>
        <v>-440879883.81</v>
      </c>
      <c r="L27" s="679">
        <f t="shared" si="4"/>
        <v>-442340156.43000007</v>
      </c>
      <c r="M27" s="679">
        <f t="shared" si="4"/>
        <v>-444405105.82000005</v>
      </c>
      <c r="N27" s="679">
        <f t="shared" si="4"/>
        <v>-446145856.37</v>
      </c>
      <c r="O27" s="679">
        <f t="shared" si="4"/>
        <v>-447881588.12999994</v>
      </c>
      <c r="P27" s="679">
        <f t="shared" si="4"/>
        <v>-449763778.38999999</v>
      </c>
      <c r="Q27" s="679">
        <f t="shared" si="4"/>
        <v>-451627987.19000006</v>
      </c>
      <c r="R27" s="679">
        <f t="shared" si="4"/>
        <v>-453344581.48000002</v>
      </c>
      <c r="S27" s="679">
        <f t="shared" si="4"/>
        <v>-442635989.42083329</v>
      </c>
      <c r="T27" s="602"/>
      <c r="U27" s="637"/>
      <c r="V27" s="638">
        <f>S27</f>
        <v>-442635989.42083329</v>
      </c>
      <c r="W27" s="637"/>
      <c r="X27" s="637"/>
      <c r="Y27" s="615"/>
      <c r="Z27" s="615"/>
    </row>
    <row r="28" spans="1:26">
      <c r="A28" s="622"/>
      <c r="B28" s="622"/>
      <c r="C28" s="623">
        <v>19</v>
      </c>
      <c r="D28" s="624"/>
      <c r="E28" s="680"/>
      <c r="F28" s="681"/>
      <c r="G28" s="682"/>
      <c r="H28" s="683"/>
      <c r="I28" s="683"/>
      <c r="J28" s="684"/>
      <c r="K28" s="685"/>
      <c r="L28" s="686"/>
      <c r="M28" s="687"/>
      <c r="N28" s="688"/>
      <c r="O28" s="689"/>
      <c r="P28" s="690"/>
      <c r="Q28" s="691"/>
      <c r="R28" s="681"/>
      <c r="S28" s="628">
        <f t="shared" si="0"/>
        <v>0</v>
      </c>
      <c r="T28" s="602"/>
      <c r="U28" s="637"/>
      <c r="V28" s="637"/>
      <c r="W28" s="637"/>
      <c r="X28" s="637"/>
      <c r="Y28" s="615"/>
      <c r="Z28" s="615"/>
    </row>
    <row r="29" spans="1:26">
      <c r="A29" s="622"/>
      <c r="B29" s="622"/>
      <c r="C29" s="623">
        <v>20</v>
      </c>
      <c r="D29" s="624"/>
      <c r="E29" s="680" t="s">
        <v>423</v>
      </c>
      <c r="F29" s="692">
        <f>+F15+F27</f>
        <v>448358477.08000004</v>
      </c>
      <c r="G29" s="692">
        <f t="shared" ref="G29:S29" si="5">+G15+G27</f>
        <v>447449867.95000005</v>
      </c>
      <c r="H29" s="692">
        <f t="shared" si="5"/>
        <v>448260358.2700001</v>
      </c>
      <c r="I29" s="692">
        <f t="shared" si="5"/>
        <v>450019514.12999994</v>
      </c>
      <c r="J29" s="692">
        <f t="shared" si="5"/>
        <v>451545634.41999996</v>
      </c>
      <c r="K29" s="692">
        <f t="shared" si="5"/>
        <v>454526924.7899999</v>
      </c>
      <c r="L29" s="692">
        <f t="shared" si="5"/>
        <v>460289094.32999992</v>
      </c>
      <c r="M29" s="692">
        <f t="shared" si="5"/>
        <v>462936369.49000001</v>
      </c>
      <c r="N29" s="692">
        <f t="shared" si="5"/>
        <v>464641059.30999994</v>
      </c>
      <c r="O29" s="692">
        <f t="shared" si="5"/>
        <v>467728003.18000013</v>
      </c>
      <c r="P29" s="692">
        <f t="shared" si="5"/>
        <v>472859977.71000004</v>
      </c>
      <c r="Q29" s="692">
        <f t="shared" si="5"/>
        <v>475465616.1500001</v>
      </c>
      <c r="R29" s="692">
        <f t="shared" si="5"/>
        <v>482248852.25</v>
      </c>
      <c r="S29" s="692">
        <f t="shared" si="5"/>
        <v>460085507.03291661</v>
      </c>
      <c r="T29" s="602"/>
      <c r="U29" s="637"/>
      <c r="V29" s="637"/>
      <c r="W29" s="637"/>
      <c r="X29" s="637"/>
      <c r="Y29" s="615"/>
      <c r="Z29" s="615"/>
    </row>
    <row r="30" spans="1:26">
      <c r="A30" s="622"/>
      <c r="B30" s="622"/>
      <c r="C30" s="623">
        <v>21</v>
      </c>
      <c r="D30" s="624"/>
      <c r="E30" s="680"/>
      <c r="F30" s="639"/>
      <c r="G30" s="640"/>
      <c r="H30" s="641"/>
      <c r="I30" s="641"/>
      <c r="J30" s="642"/>
      <c r="K30" s="643"/>
      <c r="L30" s="644"/>
      <c r="M30" s="645"/>
      <c r="N30" s="646"/>
      <c r="O30" s="647"/>
      <c r="P30" s="648"/>
      <c r="Q30" s="649"/>
      <c r="R30" s="639"/>
      <c r="S30" s="628">
        <f t="shared" si="0"/>
        <v>0</v>
      </c>
      <c r="T30" s="602"/>
      <c r="U30" s="637"/>
      <c r="V30" s="637"/>
      <c r="W30" s="637"/>
      <c r="X30" s="637"/>
      <c r="Y30" s="615"/>
      <c r="Z30" s="615"/>
    </row>
    <row r="31" spans="1:26">
      <c r="A31" s="622" t="s">
        <v>424</v>
      </c>
      <c r="B31" s="622" t="s">
        <v>402</v>
      </c>
      <c r="C31" s="623">
        <v>22</v>
      </c>
      <c r="D31" s="624" t="str">
        <f>+A31</f>
        <v>1231</v>
      </c>
      <c r="E31" s="625" t="s">
        <v>425</v>
      </c>
      <c r="F31" s="626">
        <v>0</v>
      </c>
      <c r="G31" s="627">
        <v>0</v>
      </c>
      <c r="H31" s="628">
        <v>0</v>
      </c>
      <c r="I31" s="628">
        <v>0</v>
      </c>
      <c r="J31" s="629">
        <v>0</v>
      </c>
      <c r="K31" s="630">
        <v>0</v>
      </c>
      <c r="L31" s="631">
        <v>0</v>
      </c>
      <c r="M31" s="632">
        <v>0</v>
      </c>
      <c r="N31" s="633">
        <v>0</v>
      </c>
      <c r="O31" s="634">
        <v>0</v>
      </c>
      <c r="P31" s="635">
        <v>0</v>
      </c>
      <c r="Q31" s="636">
        <v>0</v>
      </c>
      <c r="R31" s="626">
        <v>0</v>
      </c>
      <c r="S31" s="628">
        <f t="shared" si="0"/>
        <v>0</v>
      </c>
      <c r="T31" s="602"/>
      <c r="U31" s="637"/>
      <c r="V31" s="637"/>
      <c r="W31" s="637"/>
      <c r="X31" s="637"/>
      <c r="Y31" s="615"/>
      <c r="Z31" s="615"/>
    </row>
    <row r="32" spans="1:26">
      <c r="A32" s="622"/>
      <c r="B32" s="622"/>
      <c r="C32" s="623">
        <v>23</v>
      </c>
      <c r="D32" s="624"/>
      <c r="E32" s="680"/>
      <c r="F32" s="639"/>
      <c r="G32" s="640"/>
      <c r="H32" s="641"/>
      <c r="I32" s="641"/>
      <c r="J32" s="642"/>
      <c r="K32" s="643"/>
      <c r="L32" s="644"/>
      <c r="M32" s="645"/>
      <c r="N32" s="646"/>
      <c r="O32" s="647"/>
      <c r="P32" s="648"/>
      <c r="Q32" s="649"/>
      <c r="R32" s="639"/>
      <c r="S32" s="628">
        <f t="shared" si="0"/>
        <v>0</v>
      </c>
      <c r="T32" s="602"/>
      <c r="U32" s="637"/>
      <c r="V32" s="637"/>
      <c r="W32" s="637"/>
      <c r="X32" s="637"/>
      <c r="Y32" s="615"/>
      <c r="Z32" s="615"/>
    </row>
    <row r="33" spans="1:26">
      <c r="A33" s="622"/>
      <c r="B33" s="622"/>
      <c r="C33" s="623">
        <v>24</v>
      </c>
      <c r="D33" s="624"/>
      <c r="E33" s="680" t="s">
        <v>426</v>
      </c>
      <c r="F33" s="650">
        <f>+F31</f>
        <v>0</v>
      </c>
      <c r="G33" s="693">
        <v>0</v>
      </c>
      <c r="H33" s="694">
        <v>0</v>
      </c>
      <c r="I33" s="694">
        <v>0</v>
      </c>
      <c r="J33" s="695">
        <v>0</v>
      </c>
      <c r="K33" s="696">
        <v>0</v>
      </c>
      <c r="L33" s="697">
        <v>0</v>
      </c>
      <c r="M33" s="698">
        <v>0</v>
      </c>
      <c r="N33" s="699">
        <v>0</v>
      </c>
      <c r="O33" s="700">
        <v>0</v>
      </c>
      <c r="P33" s="701">
        <v>0</v>
      </c>
      <c r="Q33" s="702">
        <v>0</v>
      </c>
      <c r="R33" s="650">
        <v>0</v>
      </c>
      <c r="S33" s="628">
        <f t="shared" si="0"/>
        <v>0</v>
      </c>
      <c r="T33" s="602"/>
      <c r="U33" s="637"/>
      <c r="V33" s="637"/>
      <c r="W33" s="637"/>
      <c r="X33" s="637"/>
      <c r="Y33" s="615"/>
      <c r="Z33" s="615"/>
    </row>
    <row r="34" spans="1:26">
      <c r="A34" s="622"/>
      <c r="B34" s="622"/>
      <c r="C34" s="623">
        <v>25</v>
      </c>
      <c r="D34" s="624"/>
      <c r="E34" s="680"/>
      <c r="F34" s="626"/>
      <c r="G34" s="627"/>
      <c r="H34" s="628"/>
      <c r="I34" s="628"/>
      <c r="J34" s="629"/>
      <c r="K34" s="630"/>
      <c r="L34" s="631"/>
      <c r="M34" s="632"/>
      <c r="N34" s="633"/>
      <c r="O34" s="634"/>
      <c r="P34" s="635"/>
      <c r="Q34" s="636"/>
      <c r="R34" s="626"/>
      <c r="S34" s="628">
        <f t="shared" si="0"/>
        <v>0</v>
      </c>
      <c r="T34" s="602"/>
      <c r="U34" s="637"/>
      <c r="V34" s="637"/>
      <c r="W34" s="637"/>
      <c r="X34" s="637"/>
      <c r="Y34" s="615"/>
      <c r="Z34" s="615"/>
    </row>
    <row r="35" spans="1:26">
      <c r="A35" s="622" t="s">
        <v>427</v>
      </c>
      <c r="B35" s="622" t="s">
        <v>402</v>
      </c>
      <c r="C35" s="623">
        <v>26</v>
      </c>
      <c r="D35" s="624" t="s">
        <v>428</v>
      </c>
      <c r="E35" s="625" t="s">
        <v>429</v>
      </c>
      <c r="F35" s="626">
        <v>10440344.33</v>
      </c>
      <c r="G35" s="627">
        <v>10405591.74</v>
      </c>
      <c r="H35" s="628">
        <v>10429989.75</v>
      </c>
      <c r="I35" s="628">
        <v>10572999.300000001</v>
      </c>
      <c r="J35" s="629">
        <v>10589120.779999999</v>
      </c>
      <c r="K35" s="630">
        <v>10617181.02</v>
      </c>
      <c r="L35" s="631">
        <v>10713771.609999999</v>
      </c>
      <c r="M35" s="632">
        <v>10797331.810000001</v>
      </c>
      <c r="N35" s="633">
        <v>10792682.289999999</v>
      </c>
      <c r="O35" s="634">
        <v>10946112.279999999</v>
      </c>
      <c r="P35" s="635">
        <v>10858631.279999999</v>
      </c>
      <c r="Q35" s="636">
        <v>10843104.140000001</v>
      </c>
      <c r="R35" s="626">
        <v>10932832.17</v>
      </c>
      <c r="S35" s="628">
        <f t="shared" si="0"/>
        <v>10687758.687500002</v>
      </c>
      <c r="T35" s="602"/>
      <c r="U35" s="637"/>
      <c r="V35" s="637"/>
      <c r="W35" s="638">
        <f>S35</f>
        <v>10687758.687500002</v>
      </c>
      <c r="X35" s="638"/>
      <c r="Y35" s="615"/>
      <c r="Z35" s="615"/>
    </row>
    <row r="36" spans="1:26">
      <c r="A36" s="622" t="s">
        <v>430</v>
      </c>
      <c r="B36" s="622" t="s">
        <v>402</v>
      </c>
      <c r="C36" s="623">
        <v>27</v>
      </c>
      <c r="D36" s="624" t="str">
        <f>+A36</f>
        <v>1210</v>
      </c>
      <c r="E36" s="625" t="s">
        <v>431</v>
      </c>
      <c r="F36" s="626">
        <v>202030.18</v>
      </c>
      <c r="G36" s="627">
        <v>202030.18</v>
      </c>
      <c r="H36" s="628">
        <v>202030.18</v>
      </c>
      <c r="I36" s="628">
        <v>202030.18</v>
      </c>
      <c r="J36" s="629">
        <v>202030.18</v>
      </c>
      <c r="K36" s="630">
        <v>202030.18</v>
      </c>
      <c r="L36" s="631">
        <v>202030.18</v>
      </c>
      <c r="M36" s="632">
        <v>202030.18</v>
      </c>
      <c r="N36" s="633">
        <v>202030.18</v>
      </c>
      <c r="O36" s="634">
        <v>202030.18</v>
      </c>
      <c r="P36" s="635">
        <v>202030.18</v>
      </c>
      <c r="Q36" s="636">
        <v>202030.18</v>
      </c>
      <c r="R36" s="626">
        <v>202030.18</v>
      </c>
      <c r="S36" s="628">
        <f t="shared" si="0"/>
        <v>202030.17999999996</v>
      </c>
      <c r="T36" s="602"/>
      <c r="U36" s="637"/>
      <c r="V36" s="637"/>
      <c r="W36" s="638">
        <f>S36</f>
        <v>202030.17999999996</v>
      </c>
      <c r="X36" s="637"/>
      <c r="Y36" s="615"/>
      <c r="Z36" s="615"/>
    </row>
    <row r="37" spans="1:26">
      <c r="A37" s="622" t="s">
        <v>432</v>
      </c>
      <c r="B37" s="622" t="s">
        <v>402</v>
      </c>
      <c r="C37" s="623">
        <v>28</v>
      </c>
      <c r="D37" s="624" t="str">
        <f>+A37</f>
        <v>1220</v>
      </c>
      <c r="E37" s="625" t="s">
        <v>433</v>
      </c>
      <c r="F37" s="626">
        <v>0</v>
      </c>
      <c r="G37" s="627">
        <v>0</v>
      </c>
      <c r="H37" s="628">
        <v>0</v>
      </c>
      <c r="I37" s="628">
        <v>0</v>
      </c>
      <c r="J37" s="629">
        <v>0</v>
      </c>
      <c r="K37" s="630">
        <v>0</v>
      </c>
      <c r="L37" s="631">
        <v>0</v>
      </c>
      <c r="M37" s="632">
        <v>0</v>
      </c>
      <c r="N37" s="633">
        <v>0</v>
      </c>
      <c r="O37" s="634">
        <v>0</v>
      </c>
      <c r="P37" s="635">
        <v>0</v>
      </c>
      <c r="Q37" s="636">
        <v>0</v>
      </c>
      <c r="R37" s="626">
        <v>0</v>
      </c>
      <c r="S37" s="628">
        <f t="shared" si="0"/>
        <v>0</v>
      </c>
      <c r="T37" s="602"/>
      <c r="U37" s="637"/>
      <c r="V37" s="637"/>
      <c r="W37" s="637"/>
      <c r="X37" s="637"/>
      <c r="Y37" s="615"/>
      <c r="Z37" s="615"/>
    </row>
    <row r="38" spans="1:26">
      <c r="A38" s="622"/>
      <c r="B38" s="622"/>
      <c r="C38" s="623">
        <v>29</v>
      </c>
      <c r="D38" s="624"/>
      <c r="E38" s="680"/>
      <c r="F38" s="639"/>
      <c r="G38" s="640"/>
      <c r="H38" s="641"/>
      <c r="I38" s="641"/>
      <c r="J38" s="642"/>
      <c r="K38" s="643"/>
      <c r="L38" s="644"/>
      <c r="M38" s="645"/>
      <c r="N38" s="646"/>
      <c r="O38" s="647"/>
      <c r="P38" s="648"/>
      <c r="Q38" s="649"/>
      <c r="R38" s="639"/>
      <c r="S38" s="628">
        <f t="shared" si="0"/>
        <v>0</v>
      </c>
      <c r="T38" s="602"/>
      <c r="U38" s="637"/>
      <c r="V38" s="637"/>
      <c r="W38" s="637"/>
      <c r="X38" s="637"/>
      <c r="Y38" s="615"/>
      <c r="Z38" s="615"/>
    </row>
    <row r="39" spans="1:26">
      <c r="A39" s="622"/>
      <c r="B39" s="622"/>
      <c r="C39" s="623">
        <v>30</v>
      </c>
      <c r="D39" s="624"/>
      <c r="E39" s="680" t="s">
        <v>434</v>
      </c>
      <c r="F39" s="650">
        <f>SUM(F35:F37)</f>
        <v>10642374.51</v>
      </c>
      <c r="G39" s="650">
        <f t="shared" ref="G39:S39" si="6">SUM(G35:G37)</f>
        <v>10607621.92</v>
      </c>
      <c r="H39" s="650">
        <f t="shared" si="6"/>
        <v>10632019.93</v>
      </c>
      <c r="I39" s="650">
        <f t="shared" si="6"/>
        <v>10775029.48</v>
      </c>
      <c r="J39" s="650">
        <f t="shared" si="6"/>
        <v>10791150.959999999</v>
      </c>
      <c r="K39" s="650">
        <f t="shared" si="6"/>
        <v>10819211.199999999</v>
      </c>
      <c r="L39" s="650">
        <f t="shared" si="6"/>
        <v>10915801.789999999</v>
      </c>
      <c r="M39" s="650">
        <f t="shared" si="6"/>
        <v>10999361.99</v>
      </c>
      <c r="N39" s="650">
        <f t="shared" si="6"/>
        <v>10994712.469999999</v>
      </c>
      <c r="O39" s="650">
        <f t="shared" si="6"/>
        <v>11148142.459999999</v>
      </c>
      <c r="P39" s="650">
        <f t="shared" si="6"/>
        <v>11060661.459999999</v>
      </c>
      <c r="Q39" s="650">
        <f t="shared" si="6"/>
        <v>11045134.32</v>
      </c>
      <c r="R39" s="650">
        <f t="shared" si="6"/>
        <v>11134862.35</v>
      </c>
      <c r="S39" s="650">
        <f t="shared" si="6"/>
        <v>10889788.867500002</v>
      </c>
      <c r="T39" s="602"/>
      <c r="U39" s="637"/>
      <c r="V39" s="637"/>
      <c r="W39" s="638"/>
      <c r="X39" s="637"/>
      <c r="Y39" s="615"/>
      <c r="Z39" s="615"/>
    </row>
    <row r="40" spans="1:26">
      <c r="A40" s="622"/>
      <c r="B40" s="622"/>
      <c r="C40" s="623">
        <v>31</v>
      </c>
      <c r="D40" s="624"/>
      <c r="E40" s="680"/>
      <c r="F40" s="626"/>
      <c r="G40" s="627"/>
      <c r="H40" s="628"/>
      <c r="I40" s="628"/>
      <c r="J40" s="629"/>
      <c r="K40" s="630"/>
      <c r="L40" s="631"/>
      <c r="M40" s="632"/>
      <c r="N40" s="633"/>
      <c r="O40" s="634"/>
      <c r="P40" s="635"/>
      <c r="Q40" s="636"/>
      <c r="R40" s="626"/>
      <c r="S40" s="628">
        <f t="shared" si="0"/>
        <v>0</v>
      </c>
      <c r="T40" s="602"/>
      <c r="U40" s="637"/>
      <c r="V40" s="637"/>
      <c r="W40" s="637"/>
      <c r="X40" s="637"/>
      <c r="Y40" s="615"/>
      <c r="Z40" s="615"/>
    </row>
    <row r="41" spans="1:26">
      <c r="A41" s="622" t="s">
        <v>435</v>
      </c>
      <c r="B41" s="622" t="s">
        <v>402</v>
      </c>
      <c r="C41" s="623">
        <v>32</v>
      </c>
      <c r="D41" s="624">
        <v>0</v>
      </c>
      <c r="E41" s="625" t="s">
        <v>436</v>
      </c>
      <c r="F41" s="626">
        <v>31796378.109999999</v>
      </c>
      <c r="G41" s="627">
        <v>33637701.130000003</v>
      </c>
      <c r="H41" s="628">
        <v>44807487.329999998</v>
      </c>
      <c r="I41" s="628">
        <v>52398976.439999998</v>
      </c>
      <c r="J41" s="629">
        <v>49576190.109999999</v>
      </c>
      <c r="K41" s="630">
        <v>48951604.280000001</v>
      </c>
      <c r="L41" s="631">
        <v>45625476.759999998</v>
      </c>
      <c r="M41" s="632">
        <v>37997660.950000003</v>
      </c>
      <c r="N41" s="633">
        <v>29727244.120000001</v>
      </c>
      <c r="O41" s="634">
        <v>20012518.899999999</v>
      </c>
      <c r="P41" s="635">
        <v>15883490.439999999</v>
      </c>
      <c r="Q41" s="636">
        <v>8440571.4900000002</v>
      </c>
      <c r="R41" s="626">
        <v>3539112.52</v>
      </c>
      <c r="S41" s="628">
        <f t="shared" si="0"/>
        <v>33727222.272083335</v>
      </c>
      <c r="T41" s="602"/>
      <c r="U41" s="637"/>
      <c r="V41" s="637"/>
      <c r="W41" s="637"/>
      <c r="X41" s="637"/>
      <c r="Y41" s="615"/>
      <c r="Z41" s="615"/>
    </row>
    <row r="42" spans="1:26">
      <c r="A42" s="622" t="s">
        <v>437</v>
      </c>
      <c r="B42" s="622" t="s">
        <v>438</v>
      </c>
      <c r="C42" s="623">
        <v>33</v>
      </c>
      <c r="D42" s="624" t="str">
        <f>A42&amp;"."&amp;B42</f>
        <v>1340.1*</v>
      </c>
      <c r="E42" s="625" t="s">
        <v>439</v>
      </c>
      <c r="F42" s="626">
        <v>0</v>
      </c>
      <c r="G42" s="627">
        <v>0</v>
      </c>
      <c r="H42" s="628">
        <v>0</v>
      </c>
      <c r="I42" s="628">
        <v>0</v>
      </c>
      <c r="J42" s="629">
        <v>0</v>
      </c>
      <c r="K42" s="630">
        <v>0</v>
      </c>
      <c r="L42" s="631">
        <v>0</v>
      </c>
      <c r="M42" s="632">
        <v>0</v>
      </c>
      <c r="N42" s="633">
        <v>0</v>
      </c>
      <c r="O42" s="634">
        <v>0</v>
      </c>
      <c r="P42" s="635">
        <v>0</v>
      </c>
      <c r="Q42" s="636">
        <v>0</v>
      </c>
      <c r="R42" s="626">
        <v>0</v>
      </c>
      <c r="S42" s="628">
        <f t="shared" si="0"/>
        <v>0</v>
      </c>
      <c r="T42" s="602"/>
      <c r="U42" s="637"/>
      <c r="V42" s="637"/>
      <c r="W42" s="637"/>
      <c r="X42" s="637"/>
      <c r="Y42" s="615"/>
      <c r="Z42" s="615"/>
    </row>
    <row r="43" spans="1:26">
      <c r="A43" s="622" t="s">
        <v>440</v>
      </c>
      <c r="B43" s="622" t="s">
        <v>402</v>
      </c>
      <c r="C43" s="623">
        <v>34</v>
      </c>
      <c r="D43" s="624" t="str">
        <f>+A43</f>
        <v>1350</v>
      </c>
      <c r="E43" s="625" t="s">
        <v>441</v>
      </c>
      <c r="F43" s="655">
        <v>2700</v>
      </c>
      <c r="G43" s="627">
        <v>2700</v>
      </c>
      <c r="H43" s="657">
        <v>2700</v>
      </c>
      <c r="I43" s="657">
        <v>2700</v>
      </c>
      <c r="J43" s="658">
        <v>2700</v>
      </c>
      <c r="K43" s="659">
        <v>2700</v>
      </c>
      <c r="L43" s="660">
        <v>2700</v>
      </c>
      <c r="M43" s="661">
        <v>2700</v>
      </c>
      <c r="N43" s="662">
        <v>2700</v>
      </c>
      <c r="O43" s="663">
        <v>2700</v>
      </c>
      <c r="P43" s="664">
        <v>2700</v>
      </c>
      <c r="Q43" s="636">
        <v>2700</v>
      </c>
      <c r="R43" s="655">
        <v>2750</v>
      </c>
      <c r="S43" s="628">
        <f t="shared" si="0"/>
        <v>2702.0833333333335</v>
      </c>
      <c r="T43" s="602"/>
      <c r="U43" s="637"/>
      <c r="V43" s="637"/>
      <c r="W43" s="637"/>
      <c r="X43" s="637"/>
      <c r="Y43" s="615"/>
      <c r="Z43" s="615"/>
    </row>
    <row r="44" spans="1:26">
      <c r="A44" s="622"/>
      <c r="B44" s="622"/>
      <c r="C44" s="623">
        <v>35</v>
      </c>
      <c r="D44" s="624"/>
      <c r="E44" s="680"/>
      <c r="F44" s="639"/>
      <c r="G44" s="640"/>
      <c r="H44" s="641"/>
      <c r="I44" s="641"/>
      <c r="J44" s="642"/>
      <c r="K44" s="643"/>
      <c r="L44" s="644"/>
      <c r="M44" s="645"/>
      <c r="N44" s="646"/>
      <c r="O44" s="647"/>
      <c r="P44" s="648"/>
      <c r="Q44" s="649"/>
      <c r="R44" s="639"/>
      <c r="S44" s="628">
        <f t="shared" si="0"/>
        <v>0</v>
      </c>
      <c r="T44" s="602"/>
      <c r="U44" s="637"/>
      <c r="V44" s="637"/>
      <c r="W44" s="637"/>
      <c r="X44" s="637"/>
      <c r="Y44" s="615"/>
      <c r="Z44" s="615"/>
    </row>
    <row r="45" spans="1:26">
      <c r="A45" s="622"/>
      <c r="B45" s="622"/>
      <c r="C45" s="623">
        <v>36</v>
      </c>
      <c r="D45" s="624"/>
      <c r="E45" s="680" t="s">
        <v>442</v>
      </c>
      <c r="F45" s="650">
        <f>SUM(F41:F43)</f>
        <v>31799078.109999999</v>
      </c>
      <c r="G45" s="650">
        <f t="shared" ref="G45:S45" si="7">SUM(G41:G43)</f>
        <v>33640401.130000003</v>
      </c>
      <c r="H45" s="650">
        <f t="shared" si="7"/>
        <v>44810187.329999998</v>
      </c>
      <c r="I45" s="650">
        <f t="shared" si="7"/>
        <v>52401676.439999998</v>
      </c>
      <c r="J45" s="650">
        <f t="shared" si="7"/>
        <v>49578890.109999999</v>
      </c>
      <c r="K45" s="650">
        <f t="shared" si="7"/>
        <v>48954304.280000001</v>
      </c>
      <c r="L45" s="650">
        <f t="shared" si="7"/>
        <v>45628176.759999998</v>
      </c>
      <c r="M45" s="650">
        <f t="shared" si="7"/>
        <v>38000360.950000003</v>
      </c>
      <c r="N45" s="650">
        <f t="shared" si="7"/>
        <v>29729944.120000001</v>
      </c>
      <c r="O45" s="650">
        <f t="shared" si="7"/>
        <v>20015218.899999999</v>
      </c>
      <c r="P45" s="650">
        <f t="shared" si="7"/>
        <v>15886190.439999999</v>
      </c>
      <c r="Q45" s="650">
        <f t="shared" si="7"/>
        <v>8443271.4900000002</v>
      </c>
      <c r="R45" s="650">
        <f t="shared" si="7"/>
        <v>3541862.52</v>
      </c>
      <c r="S45" s="650">
        <f t="shared" si="7"/>
        <v>33729924.35541667</v>
      </c>
      <c r="T45" s="602"/>
      <c r="U45" s="637"/>
      <c r="V45" s="637"/>
      <c r="W45" s="637"/>
      <c r="X45" s="638">
        <f>S45</f>
        <v>33729924.35541667</v>
      </c>
      <c r="Y45" s="615"/>
      <c r="Z45" s="615"/>
    </row>
    <row r="46" spans="1:26">
      <c r="A46" s="622"/>
      <c r="B46" s="622"/>
      <c r="C46" s="623">
        <v>37</v>
      </c>
      <c r="D46" s="624"/>
      <c r="E46" s="680"/>
      <c r="F46" s="626"/>
      <c r="G46" s="627"/>
      <c r="H46" s="628"/>
      <c r="I46" s="628"/>
      <c r="J46" s="629"/>
      <c r="K46" s="630"/>
      <c r="L46" s="631"/>
      <c r="M46" s="632"/>
      <c r="N46" s="633"/>
      <c r="O46" s="634"/>
      <c r="P46" s="635"/>
      <c r="Q46" s="636"/>
      <c r="R46" s="626"/>
      <c r="S46" s="628">
        <f t="shared" si="0"/>
        <v>0</v>
      </c>
      <c r="T46" s="602"/>
      <c r="U46" s="637"/>
      <c r="V46" s="637"/>
      <c r="W46" s="637"/>
      <c r="X46" s="637"/>
      <c r="Y46" s="615"/>
      <c r="Z46" s="615"/>
    </row>
    <row r="47" spans="1:26">
      <c r="A47" s="622" t="s">
        <v>443</v>
      </c>
      <c r="B47" s="622" t="s">
        <v>402</v>
      </c>
      <c r="C47" s="623">
        <v>38</v>
      </c>
      <c r="D47" s="624" t="str">
        <f>+A47</f>
        <v>1360</v>
      </c>
      <c r="E47" s="625" t="s">
        <v>444</v>
      </c>
      <c r="F47" s="626">
        <v>0</v>
      </c>
      <c r="G47" s="627">
        <v>0</v>
      </c>
      <c r="H47" s="628">
        <v>0</v>
      </c>
      <c r="I47" s="628">
        <v>0</v>
      </c>
      <c r="J47" s="629">
        <v>0</v>
      </c>
      <c r="K47" s="630">
        <v>0</v>
      </c>
      <c r="L47" s="631">
        <v>0</v>
      </c>
      <c r="M47" s="632">
        <v>0</v>
      </c>
      <c r="N47" s="633">
        <v>0</v>
      </c>
      <c r="O47" s="634">
        <v>0</v>
      </c>
      <c r="P47" s="635">
        <v>0</v>
      </c>
      <c r="Q47" s="636">
        <v>0</v>
      </c>
      <c r="R47" s="626">
        <v>0</v>
      </c>
      <c r="S47" s="628">
        <f t="shared" si="0"/>
        <v>0</v>
      </c>
      <c r="T47" s="602"/>
      <c r="U47" s="637"/>
      <c r="V47" s="637"/>
      <c r="W47" s="637"/>
      <c r="X47" s="637"/>
      <c r="Y47" s="615"/>
      <c r="Z47" s="615"/>
    </row>
    <row r="48" spans="1:26">
      <c r="A48" s="622"/>
      <c r="B48" s="622"/>
      <c r="C48" s="623">
        <v>39</v>
      </c>
      <c r="D48" s="624"/>
      <c r="E48" s="680"/>
      <c r="F48" s="639"/>
      <c r="G48" s="640"/>
      <c r="H48" s="641"/>
      <c r="I48" s="641"/>
      <c r="J48" s="642"/>
      <c r="K48" s="643"/>
      <c r="L48" s="644"/>
      <c r="M48" s="645"/>
      <c r="N48" s="646"/>
      <c r="O48" s="647"/>
      <c r="P48" s="648"/>
      <c r="Q48" s="649"/>
      <c r="R48" s="639"/>
      <c r="S48" s="628">
        <f t="shared" si="0"/>
        <v>0</v>
      </c>
      <c r="T48" s="602"/>
      <c r="U48" s="637"/>
      <c r="V48" s="637"/>
      <c r="W48" s="637"/>
      <c r="X48" s="637"/>
      <c r="Y48" s="615"/>
      <c r="Z48" s="615"/>
    </row>
    <row r="49" spans="1:26">
      <c r="A49" s="622"/>
      <c r="B49" s="622"/>
      <c r="C49" s="623">
        <v>40</v>
      </c>
      <c r="D49" s="624"/>
      <c r="E49" s="680" t="s">
        <v>445</v>
      </c>
      <c r="F49" s="650">
        <f>+F47</f>
        <v>0</v>
      </c>
      <c r="G49" s="650">
        <f t="shared" ref="G49:S49" si="8">+G47</f>
        <v>0</v>
      </c>
      <c r="H49" s="650">
        <f t="shared" si="8"/>
        <v>0</v>
      </c>
      <c r="I49" s="650">
        <f t="shared" si="8"/>
        <v>0</v>
      </c>
      <c r="J49" s="650">
        <f t="shared" si="8"/>
        <v>0</v>
      </c>
      <c r="K49" s="650">
        <f t="shared" si="8"/>
        <v>0</v>
      </c>
      <c r="L49" s="650">
        <f t="shared" si="8"/>
        <v>0</v>
      </c>
      <c r="M49" s="650">
        <f t="shared" si="8"/>
        <v>0</v>
      </c>
      <c r="N49" s="650">
        <f t="shared" si="8"/>
        <v>0</v>
      </c>
      <c r="O49" s="650">
        <f t="shared" si="8"/>
        <v>0</v>
      </c>
      <c r="P49" s="650">
        <f t="shared" si="8"/>
        <v>0</v>
      </c>
      <c r="Q49" s="650">
        <f t="shared" si="8"/>
        <v>0</v>
      </c>
      <c r="R49" s="650">
        <f t="shared" si="8"/>
        <v>0</v>
      </c>
      <c r="S49" s="650">
        <f t="shared" si="8"/>
        <v>0</v>
      </c>
      <c r="T49" s="602"/>
      <c r="U49" s="637"/>
      <c r="V49" s="637"/>
      <c r="W49" s="637"/>
      <c r="X49" s="637"/>
      <c r="Y49" s="615"/>
      <c r="Z49" s="615"/>
    </row>
    <row r="50" spans="1:26">
      <c r="A50" s="622"/>
      <c r="B50" s="622"/>
      <c r="C50" s="623">
        <v>41</v>
      </c>
      <c r="D50" s="624"/>
      <c r="E50" s="680"/>
      <c r="F50" s="626"/>
      <c r="G50" s="627"/>
      <c r="H50" s="628"/>
      <c r="I50" s="628"/>
      <c r="J50" s="629"/>
      <c r="K50" s="630"/>
      <c r="L50" s="631"/>
      <c r="M50" s="632"/>
      <c r="N50" s="633"/>
      <c r="O50" s="634"/>
      <c r="P50" s="635"/>
      <c r="Q50" s="636"/>
      <c r="R50" s="626"/>
      <c r="S50" s="628">
        <f t="shared" si="0"/>
        <v>0</v>
      </c>
      <c r="T50" s="602"/>
      <c r="U50" s="637"/>
      <c r="V50" s="637"/>
      <c r="W50" s="637"/>
      <c r="X50" s="637"/>
      <c r="Y50" s="615"/>
      <c r="Z50" s="615"/>
    </row>
    <row r="51" spans="1:26">
      <c r="A51" s="622" t="s">
        <v>446</v>
      </c>
      <c r="B51" s="622" t="s">
        <v>402</v>
      </c>
      <c r="C51" s="623">
        <v>42</v>
      </c>
      <c r="D51" s="624" t="str">
        <f>+A51</f>
        <v>1420</v>
      </c>
      <c r="E51" s="625" t="s">
        <v>447</v>
      </c>
      <c r="F51" s="626">
        <v>17163639.989999998</v>
      </c>
      <c r="G51" s="627">
        <v>26322767.609999999</v>
      </c>
      <c r="H51" s="628">
        <v>20047055.809999999</v>
      </c>
      <c r="I51" s="628">
        <v>18417152.960000001</v>
      </c>
      <c r="J51" s="629">
        <v>14049277.699999999</v>
      </c>
      <c r="K51" s="630">
        <v>10183208.6</v>
      </c>
      <c r="L51" s="631">
        <v>8622829.0099999998</v>
      </c>
      <c r="M51" s="632">
        <v>7531448.8600000003</v>
      </c>
      <c r="N51" s="633">
        <v>6298975.6600000001</v>
      </c>
      <c r="O51" s="634">
        <v>6778198.8799999999</v>
      </c>
      <c r="P51" s="635">
        <v>7689242.75</v>
      </c>
      <c r="Q51" s="636">
        <v>8533149.9199999999</v>
      </c>
      <c r="R51" s="626">
        <v>18361542.969999999</v>
      </c>
      <c r="S51" s="628">
        <f t="shared" si="0"/>
        <v>12686324.936666666</v>
      </c>
      <c r="T51" s="602"/>
      <c r="U51" s="637"/>
      <c r="V51" s="637"/>
      <c r="W51" s="637"/>
      <c r="X51" s="637"/>
      <c r="Y51" s="615"/>
      <c r="Z51" s="615"/>
    </row>
    <row r="52" spans="1:26">
      <c r="A52" s="622" t="s">
        <v>448</v>
      </c>
      <c r="B52" s="622" t="s">
        <v>402</v>
      </c>
      <c r="C52" s="623">
        <v>43</v>
      </c>
      <c r="D52" s="624" t="str">
        <f>+A52</f>
        <v>1432</v>
      </c>
      <c r="E52" s="625" t="s">
        <v>449</v>
      </c>
      <c r="F52" s="626">
        <v>1964217.09</v>
      </c>
      <c r="G52" s="627">
        <v>1879399.49</v>
      </c>
      <c r="H52" s="628">
        <v>2171369.25</v>
      </c>
      <c r="I52" s="628">
        <v>3186245.43</v>
      </c>
      <c r="J52" s="629">
        <v>3513224.13</v>
      </c>
      <c r="K52" s="630">
        <v>3880038.02</v>
      </c>
      <c r="L52" s="631">
        <v>2019869.43</v>
      </c>
      <c r="M52" s="632">
        <v>1652166.99</v>
      </c>
      <c r="N52" s="633">
        <v>1606524.04</v>
      </c>
      <c r="O52" s="634">
        <v>1559833.95</v>
      </c>
      <c r="P52" s="635">
        <v>1578182.34</v>
      </c>
      <c r="Q52" s="636">
        <v>1540722.05</v>
      </c>
      <c r="R52" s="626">
        <v>1813282.23</v>
      </c>
      <c r="S52" s="628">
        <f t="shared" si="0"/>
        <v>2206360.398333333</v>
      </c>
      <c r="T52" s="602"/>
      <c r="U52" s="637"/>
      <c r="V52" s="637"/>
      <c r="W52" s="637"/>
      <c r="X52" s="637"/>
      <c r="Y52" s="615"/>
      <c r="Z52" s="615"/>
    </row>
    <row r="53" spans="1:26">
      <c r="A53" s="622" t="s">
        <v>450</v>
      </c>
      <c r="B53" s="622" t="s">
        <v>402</v>
      </c>
      <c r="C53" s="623">
        <v>44</v>
      </c>
      <c r="D53" s="624" t="str">
        <f>+A53</f>
        <v>1710</v>
      </c>
      <c r="E53" s="625" t="s">
        <v>451</v>
      </c>
      <c r="F53" s="666">
        <v>0</v>
      </c>
      <c r="G53" s="667">
        <v>0</v>
      </c>
      <c r="H53" s="668">
        <v>0</v>
      </c>
      <c r="I53" s="668">
        <v>0</v>
      </c>
      <c r="J53" s="669">
        <v>0</v>
      </c>
      <c r="K53" s="670">
        <v>0</v>
      </c>
      <c r="L53" s="671">
        <v>0</v>
      </c>
      <c r="M53" s="672">
        <v>0</v>
      </c>
      <c r="N53" s="673">
        <v>0</v>
      </c>
      <c r="O53" s="674">
        <v>0</v>
      </c>
      <c r="P53" s="675">
        <v>0</v>
      </c>
      <c r="Q53" s="676">
        <v>0</v>
      </c>
      <c r="R53" s="666">
        <v>0</v>
      </c>
      <c r="S53" s="628">
        <f t="shared" si="0"/>
        <v>0</v>
      </c>
      <c r="T53" s="602"/>
      <c r="U53" s="637"/>
      <c r="V53" s="637"/>
      <c r="W53" s="637"/>
      <c r="X53" s="637"/>
      <c r="Y53" s="615"/>
      <c r="Z53" s="615"/>
    </row>
    <row r="54" spans="1:26">
      <c r="A54" s="622"/>
      <c r="B54" s="622"/>
      <c r="C54" s="623">
        <v>45</v>
      </c>
      <c r="D54" s="624"/>
      <c r="E54" s="680" t="s">
        <v>452</v>
      </c>
      <c r="F54" s="626">
        <f>SUM(F51:F53)</f>
        <v>19127857.079999998</v>
      </c>
      <c r="G54" s="626">
        <f t="shared" ref="G54:S54" si="9">SUM(G51:G53)</f>
        <v>28202167.099999998</v>
      </c>
      <c r="H54" s="626">
        <f t="shared" si="9"/>
        <v>22218425.059999999</v>
      </c>
      <c r="I54" s="626">
        <f t="shared" si="9"/>
        <v>21603398.390000001</v>
      </c>
      <c r="J54" s="626">
        <f t="shared" si="9"/>
        <v>17562501.829999998</v>
      </c>
      <c r="K54" s="626">
        <f t="shared" si="9"/>
        <v>14063246.619999999</v>
      </c>
      <c r="L54" s="626">
        <f t="shared" si="9"/>
        <v>10642698.439999999</v>
      </c>
      <c r="M54" s="626">
        <f t="shared" si="9"/>
        <v>9183615.8499999996</v>
      </c>
      <c r="N54" s="626">
        <f t="shared" si="9"/>
        <v>7905499.7000000002</v>
      </c>
      <c r="O54" s="626">
        <f t="shared" si="9"/>
        <v>8338032.8300000001</v>
      </c>
      <c r="P54" s="626">
        <f t="shared" si="9"/>
        <v>9267425.0899999999</v>
      </c>
      <c r="Q54" s="626">
        <f t="shared" si="9"/>
        <v>10073871.970000001</v>
      </c>
      <c r="R54" s="626">
        <f t="shared" si="9"/>
        <v>20174825.199999999</v>
      </c>
      <c r="S54" s="626">
        <f t="shared" si="9"/>
        <v>14892685.334999999</v>
      </c>
      <c r="T54" s="602"/>
      <c r="U54" s="637"/>
      <c r="V54" s="637"/>
      <c r="W54" s="637"/>
      <c r="X54" s="638">
        <f>S54</f>
        <v>14892685.334999999</v>
      </c>
      <c r="Y54" s="615"/>
      <c r="Z54" s="615"/>
    </row>
    <row r="55" spans="1:26">
      <c r="A55" s="622"/>
      <c r="B55" s="622"/>
      <c r="C55" s="623">
        <v>46</v>
      </c>
      <c r="D55" s="624"/>
      <c r="E55" s="680" t="s">
        <v>102</v>
      </c>
      <c r="F55" s="626"/>
      <c r="G55" s="627"/>
      <c r="H55" s="628"/>
      <c r="I55" s="628"/>
      <c r="J55" s="629"/>
      <c r="K55" s="630"/>
      <c r="L55" s="631"/>
      <c r="M55" s="632"/>
      <c r="N55" s="633"/>
      <c r="O55" s="634"/>
      <c r="P55" s="635"/>
      <c r="Q55" s="636"/>
      <c r="R55" s="626"/>
      <c r="S55" s="628">
        <f t="shared" si="0"/>
        <v>0</v>
      </c>
      <c r="T55" s="602"/>
      <c r="U55" s="637"/>
      <c r="V55" s="637"/>
      <c r="W55" s="637"/>
      <c r="X55" s="637"/>
      <c r="Y55" s="615"/>
      <c r="Z55" s="615"/>
    </row>
    <row r="56" spans="1:26">
      <c r="A56" s="622" t="s">
        <v>453</v>
      </c>
      <c r="B56" s="622" t="s">
        <v>438</v>
      </c>
      <c r="C56" s="623">
        <v>47</v>
      </c>
      <c r="D56" s="624" t="str">
        <f>A56&amp;"."&amp;B56</f>
        <v>1410.1*</v>
      </c>
      <c r="E56" s="680" t="s">
        <v>454</v>
      </c>
      <c r="F56" s="626">
        <v>0</v>
      </c>
      <c r="G56" s="627">
        <v>0</v>
      </c>
      <c r="H56" s="628">
        <v>0</v>
      </c>
      <c r="I56" s="628">
        <v>0</v>
      </c>
      <c r="J56" s="629">
        <v>0</v>
      </c>
      <c r="K56" s="630">
        <v>0</v>
      </c>
      <c r="L56" s="631">
        <v>0</v>
      </c>
      <c r="M56" s="632">
        <v>0</v>
      </c>
      <c r="N56" s="633">
        <v>0</v>
      </c>
      <c r="O56" s="634">
        <v>0</v>
      </c>
      <c r="P56" s="635">
        <v>0</v>
      </c>
      <c r="Q56" s="636">
        <v>0</v>
      </c>
      <c r="R56" s="626">
        <v>0</v>
      </c>
      <c r="S56" s="628">
        <f t="shared" si="0"/>
        <v>0</v>
      </c>
      <c r="T56" s="602"/>
      <c r="U56" s="637"/>
      <c r="V56" s="637"/>
      <c r="W56" s="637"/>
      <c r="X56" s="638">
        <f>S56</f>
        <v>0</v>
      </c>
      <c r="Y56" s="615"/>
      <c r="Z56" s="615"/>
    </row>
    <row r="57" spans="1:26">
      <c r="A57" s="622" t="s">
        <v>453</v>
      </c>
      <c r="B57" s="622" t="s">
        <v>455</v>
      </c>
      <c r="C57" s="623">
        <v>48</v>
      </c>
      <c r="D57" s="624" t="str">
        <f>A57&amp;"."&amp;B57</f>
        <v>1410.2*</v>
      </c>
      <c r="E57" s="680" t="s">
        <v>456</v>
      </c>
      <c r="F57" s="626">
        <v>0</v>
      </c>
      <c r="G57" s="627">
        <v>0</v>
      </c>
      <c r="H57" s="628">
        <v>0</v>
      </c>
      <c r="I57" s="628">
        <v>0</v>
      </c>
      <c r="J57" s="629">
        <v>0</v>
      </c>
      <c r="K57" s="630">
        <v>0</v>
      </c>
      <c r="L57" s="631">
        <v>0</v>
      </c>
      <c r="M57" s="632">
        <v>0</v>
      </c>
      <c r="N57" s="633">
        <v>0</v>
      </c>
      <c r="O57" s="634">
        <v>0</v>
      </c>
      <c r="P57" s="635">
        <v>0</v>
      </c>
      <c r="Q57" s="636">
        <v>0</v>
      </c>
      <c r="R57" s="626">
        <v>0</v>
      </c>
      <c r="S57" s="628">
        <f t="shared" si="0"/>
        <v>0</v>
      </c>
      <c r="T57" s="602"/>
      <c r="U57" s="637"/>
      <c r="V57" s="637"/>
      <c r="W57" s="637"/>
      <c r="X57" s="605"/>
      <c r="Y57" s="615"/>
      <c r="Z57" s="615"/>
    </row>
    <row r="58" spans="1:26">
      <c r="A58" s="622"/>
      <c r="B58" s="622"/>
      <c r="C58" s="623">
        <v>49</v>
      </c>
      <c r="D58" s="624"/>
      <c r="E58" s="680"/>
      <c r="F58" s="626"/>
      <c r="G58" s="627"/>
      <c r="H58" s="628"/>
      <c r="I58" s="628"/>
      <c r="J58" s="629"/>
      <c r="K58" s="630"/>
      <c r="L58" s="631"/>
      <c r="M58" s="632"/>
      <c r="N58" s="633"/>
      <c r="O58" s="634"/>
      <c r="P58" s="635"/>
      <c r="Q58" s="636"/>
      <c r="R58" s="626"/>
      <c r="S58" s="628">
        <f t="shared" si="0"/>
        <v>0</v>
      </c>
      <c r="T58" s="602"/>
      <c r="U58" s="637"/>
      <c r="V58" s="637"/>
      <c r="W58" s="637"/>
      <c r="X58" s="605"/>
      <c r="Y58" s="615"/>
      <c r="Z58" s="615"/>
    </row>
    <row r="59" spans="1:26">
      <c r="A59" s="622" t="s">
        <v>457</v>
      </c>
      <c r="B59" s="622" t="s">
        <v>458</v>
      </c>
      <c r="C59" s="623">
        <v>50</v>
      </c>
      <c r="D59" s="624" t="str">
        <f t="shared" ref="D59:D68" si="10">A59&amp;"."&amp;B59</f>
        <v>1460.000*</v>
      </c>
      <c r="E59" s="680" t="s">
        <v>459</v>
      </c>
      <c r="F59" s="626">
        <v>0</v>
      </c>
      <c r="G59" s="627">
        <v>0</v>
      </c>
      <c r="H59" s="628">
        <v>0</v>
      </c>
      <c r="I59" s="628">
        <v>0</v>
      </c>
      <c r="J59" s="629">
        <v>0</v>
      </c>
      <c r="K59" s="630">
        <v>0</v>
      </c>
      <c r="L59" s="631">
        <v>0</v>
      </c>
      <c r="M59" s="632">
        <v>0</v>
      </c>
      <c r="N59" s="633">
        <v>0</v>
      </c>
      <c r="O59" s="634">
        <v>0</v>
      </c>
      <c r="P59" s="635">
        <v>0</v>
      </c>
      <c r="Q59" s="636">
        <v>0</v>
      </c>
      <c r="R59" s="626">
        <v>0</v>
      </c>
      <c r="S59" s="628">
        <f t="shared" si="0"/>
        <v>0</v>
      </c>
      <c r="T59" s="602"/>
      <c r="U59" s="637"/>
      <c r="V59" s="637"/>
      <c r="W59" s="637"/>
      <c r="X59" s="605"/>
      <c r="Y59" s="615"/>
      <c r="Z59" s="615"/>
    </row>
    <row r="60" spans="1:26">
      <c r="A60" s="622" t="s">
        <v>457</v>
      </c>
      <c r="B60" s="622" t="s">
        <v>460</v>
      </c>
      <c r="C60" s="623">
        <v>51</v>
      </c>
      <c r="D60" s="624" t="str">
        <f t="shared" si="10"/>
        <v>1460.001*</v>
      </c>
      <c r="E60" s="680" t="s">
        <v>459</v>
      </c>
      <c r="F60" s="626">
        <v>48558.859999999899</v>
      </c>
      <c r="G60" s="627">
        <v>26116.28</v>
      </c>
      <c r="H60" s="628">
        <v>12988.44</v>
      </c>
      <c r="I60" s="628">
        <v>26792.01</v>
      </c>
      <c r="J60" s="629">
        <v>10961.37</v>
      </c>
      <c r="K60" s="630">
        <v>10764.13</v>
      </c>
      <c r="L60" s="631">
        <v>16249.32</v>
      </c>
      <c r="M60" s="632">
        <v>9995.92</v>
      </c>
      <c r="N60" s="633">
        <v>11586.68</v>
      </c>
      <c r="O60" s="634">
        <v>15190.69</v>
      </c>
      <c r="P60" s="635">
        <v>14691.3</v>
      </c>
      <c r="Q60" s="636">
        <v>25150.6</v>
      </c>
      <c r="R60" s="626">
        <v>10479.629999999999</v>
      </c>
      <c r="S60" s="628">
        <f t="shared" si="0"/>
        <v>17500.498749999995</v>
      </c>
      <c r="T60" s="602"/>
      <c r="U60" s="637"/>
      <c r="V60" s="637"/>
      <c r="W60" s="637"/>
      <c r="X60" s="605"/>
      <c r="Y60" s="615"/>
      <c r="Z60" s="615"/>
    </row>
    <row r="61" spans="1:26">
      <c r="A61" s="622" t="s">
        <v>457</v>
      </c>
      <c r="B61" s="622" t="s">
        <v>461</v>
      </c>
      <c r="C61" s="623">
        <v>52</v>
      </c>
      <c r="D61" s="624" t="str">
        <f t="shared" si="10"/>
        <v>1460.041*</v>
      </c>
      <c r="E61" s="680" t="s">
        <v>462</v>
      </c>
      <c r="F61" s="626">
        <v>0</v>
      </c>
      <c r="G61" s="627">
        <v>0</v>
      </c>
      <c r="H61" s="628">
        <v>0</v>
      </c>
      <c r="I61" s="628">
        <v>0</v>
      </c>
      <c r="J61" s="629">
        <v>0</v>
      </c>
      <c r="K61" s="630">
        <v>0</v>
      </c>
      <c r="L61" s="631">
        <v>0</v>
      </c>
      <c r="M61" s="632">
        <v>0</v>
      </c>
      <c r="N61" s="633">
        <v>0</v>
      </c>
      <c r="O61" s="703">
        <v>0</v>
      </c>
      <c r="P61" s="635">
        <v>0</v>
      </c>
      <c r="Q61" s="636">
        <v>0</v>
      </c>
      <c r="R61" s="626">
        <v>0</v>
      </c>
      <c r="S61" s="628">
        <f t="shared" si="0"/>
        <v>0</v>
      </c>
      <c r="T61" s="602"/>
      <c r="U61" s="637"/>
      <c r="V61" s="637"/>
      <c r="W61" s="637"/>
      <c r="X61" s="605"/>
      <c r="Y61" s="615"/>
      <c r="Z61" s="615"/>
    </row>
    <row r="62" spans="1:26">
      <c r="A62" s="622" t="s">
        <v>457</v>
      </c>
      <c r="B62" s="622" t="s">
        <v>463</v>
      </c>
      <c r="C62" s="623">
        <v>53</v>
      </c>
      <c r="D62" s="624" t="str">
        <f t="shared" si="10"/>
        <v>1460.067*</v>
      </c>
      <c r="E62" s="680" t="s">
        <v>464</v>
      </c>
      <c r="F62" s="626">
        <v>0</v>
      </c>
      <c r="G62" s="627">
        <v>0</v>
      </c>
      <c r="H62" s="628">
        <v>0</v>
      </c>
      <c r="I62" s="628">
        <v>0</v>
      </c>
      <c r="J62" s="629">
        <v>0</v>
      </c>
      <c r="K62" s="630">
        <v>0</v>
      </c>
      <c r="L62" s="631">
        <v>0</v>
      </c>
      <c r="M62" s="632">
        <v>0</v>
      </c>
      <c r="N62" s="633">
        <v>0</v>
      </c>
      <c r="O62" s="633">
        <v>600</v>
      </c>
      <c r="P62" s="633">
        <v>600</v>
      </c>
      <c r="Q62" s="633">
        <v>600</v>
      </c>
      <c r="R62" s="626">
        <v>0</v>
      </c>
      <c r="S62" s="628">
        <f t="shared" si="0"/>
        <v>150</v>
      </c>
      <c r="T62" s="602"/>
      <c r="U62" s="637"/>
      <c r="V62" s="637"/>
      <c r="W62" s="637"/>
      <c r="X62" s="605"/>
      <c r="Y62" s="615"/>
      <c r="Z62" s="615"/>
    </row>
    <row r="63" spans="1:26">
      <c r="A63" s="622" t="s">
        <v>457</v>
      </c>
      <c r="B63" s="622" t="s">
        <v>465</v>
      </c>
      <c r="C63" s="623">
        <v>54</v>
      </c>
      <c r="D63" s="624" t="str">
        <f t="shared" si="10"/>
        <v>1460.044*</v>
      </c>
      <c r="E63" s="680" t="s">
        <v>466</v>
      </c>
      <c r="F63" s="626">
        <v>0</v>
      </c>
      <c r="G63" s="627">
        <v>0</v>
      </c>
      <c r="H63" s="628">
        <v>0</v>
      </c>
      <c r="I63" s="628">
        <v>0</v>
      </c>
      <c r="J63" s="629">
        <v>0</v>
      </c>
      <c r="K63" s="630">
        <v>0</v>
      </c>
      <c r="L63" s="631">
        <v>0</v>
      </c>
      <c r="M63" s="632">
        <v>0</v>
      </c>
      <c r="N63" s="633">
        <v>0</v>
      </c>
      <c r="O63" s="703">
        <v>0</v>
      </c>
      <c r="P63" s="635">
        <v>0</v>
      </c>
      <c r="Q63" s="636">
        <v>0</v>
      </c>
      <c r="R63" s="626">
        <v>0</v>
      </c>
      <c r="S63" s="628">
        <f t="shared" si="0"/>
        <v>0</v>
      </c>
      <c r="T63" s="602"/>
      <c r="U63" s="637"/>
      <c r="V63" s="637"/>
      <c r="W63" s="637"/>
      <c r="X63" s="605"/>
      <c r="Y63" s="615"/>
      <c r="Z63" s="615"/>
    </row>
    <row r="64" spans="1:26">
      <c r="A64" s="622" t="s">
        <v>457</v>
      </c>
      <c r="B64" s="622" t="s">
        <v>467</v>
      </c>
      <c r="C64" s="623">
        <v>55</v>
      </c>
      <c r="D64" s="624" t="str">
        <f t="shared" si="10"/>
        <v>1460.046*</v>
      </c>
      <c r="E64" s="680" t="s">
        <v>468</v>
      </c>
      <c r="F64" s="626">
        <v>0</v>
      </c>
      <c r="G64" s="627">
        <v>0</v>
      </c>
      <c r="H64" s="628">
        <v>0</v>
      </c>
      <c r="I64" s="628">
        <v>0</v>
      </c>
      <c r="J64" s="629">
        <v>0</v>
      </c>
      <c r="K64" s="630">
        <v>0</v>
      </c>
      <c r="L64" s="631">
        <v>0</v>
      </c>
      <c r="M64" s="632">
        <v>0</v>
      </c>
      <c r="N64" s="633">
        <v>0</v>
      </c>
      <c r="O64" s="703">
        <v>0</v>
      </c>
      <c r="P64" s="635">
        <v>0</v>
      </c>
      <c r="Q64" s="636">
        <v>0</v>
      </c>
      <c r="R64" s="626">
        <v>0</v>
      </c>
      <c r="S64" s="628">
        <f t="shared" si="0"/>
        <v>0</v>
      </c>
      <c r="T64" s="602"/>
      <c r="U64" s="637"/>
      <c r="V64" s="637"/>
      <c r="W64" s="637"/>
      <c r="X64" s="605"/>
      <c r="Y64" s="615"/>
      <c r="Z64" s="615"/>
    </row>
    <row r="65" spans="1:26">
      <c r="A65" s="598" t="s">
        <v>457</v>
      </c>
      <c r="B65" s="598" t="s">
        <v>469</v>
      </c>
      <c r="C65" s="623">
        <v>56</v>
      </c>
      <c r="D65" s="600" t="str">
        <f t="shared" si="10"/>
        <v>1460.047*</v>
      </c>
      <c r="E65" s="680" t="s">
        <v>470</v>
      </c>
      <c r="F65" s="626">
        <v>0</v>
      </c>
      <c r="G65" s="627">
        <v>0</v>
      </c>
      <c r="H65" s="628">
        <v>0</v>
      </c>
      <c r="I65" s="628">
        <v>0</v>
      </c>
      <c r="J65" s="629">
        <v>0</v>
      </c>
      <c r="K65" s="630">
        <v>0</v>
      </c>
      <c r="L65" s="631">
        <v>0</v>
      </c>
      <c r="M65" s="632">
        <v>0</v>
      </c>
      <c r="N65" s="633">
        <v>0</v>
      </c>
      <c r="O65" s="703">
        <v>0</v>
      </c>
      <c r="P65" s="635">
        <v>0</v>
      </c>
      <c r="Q65" s="636">
        <v>0</v>
      </c>
      <c r="R65" s="626">
        <v>0</v>
      </c>
      <c r="S65" s="628">
        <f t="shared" si="0"/>
        <v>0</v>
      </c>
      <c r="T65" s="602"/>
      <c r="U65" s="637"/>
      <c r="V65" s="637"/>
      <c r="W65" s="637"/>
      <c r="X65" s="605"/>
      <c r="Y65" s="615"/>
      <c r="Z65" s="615"/>
    </row>
    <row r="66" spans="1:26">
      <c r="A66" s="622" t="s">
        <v>457</v>
      </c>
      <c r="B66" s="622" t="s">
        <v>471</v>
      </c>
      <c r="C66" s="623">
        <v>57</v>
      </c>
      <c r="D66" s="624" t="str">
        <f t="shared" si="10"/>
        <v>1460.048*</v>
      </c>
      <c r="E66" s="680" t="s">
        <v>472</v>
      </c>
      <c r="F66" s="626">
        <v>69846.27</v>
      </c>
      <c r="G66" s="627">
        <v>58503.92</v>
      </c>
      <c r="H66" s="628">
        <v>34092.58</v>
      </c>
      <c r="I66" s="628">
        <v>47951.48</v>
      </c>
      <c r="J66" s="629">
        <v>31934.7</v>
      </c>
      <c r="K66" s="630">
        <v>39550.07</v>
      </c>
      <c r="L66" s="631">
        <v>35566.370000000003</v>
      </c>
      <c r="M66" s="632">
        <v>64992.26</v>
      </c>
      <c r="N66" s="633">
        <v>38492.42</v>
      </c>
      <c r="O66" s="703">
        <v>34139.53</v>
      </c>
      <c r="P66" s="635">
        <v>64402.559999999998</v>
      </c>
      <c r="Q66" s="636">
        <v>39382.44</v>
      </c>
      <c r="R66" s="626">
        <v>34047.85</v>
      </c>
      <c r="S66" s="628">
        <f t="shared" si="0"/>
        <v>45079.615833333322</v>
      </c>
      <c r="T66" s="602"/>
      <c r="U66" s="637"/>
      <c r="V66" s="637"/>
      <c r="W66" s="637"/>
      <c r="X66" s="605"/>
      <c r="Y66" s="615"/>
      <c r="Z66" s="615"/>
    </row>
    <row r="67" spans="1:26">
      <c r="A67" s="598" t="s">
        <v>457</v>
      </c>
      <c r="B67" s="598" t="s">
        <v>473</v>
      </c>
      <c r="C67" s="623">
        <v>58</v>
      </c>
      <c r="D67" s="600" t="str">
        <f t="shared" si="10"/>
        <v>1460.060*</v>
      </c>
      <c r="E67" s="680" t="s">
        <v>474</v>
      </c>
      <c r="F67" s="626">
        <v>0</v>
      </c>
      <c r="G67" s="627">
        <v>0</v>
      </c>
      <c r="H67" s="628">
        <v>0</v>
      </c>
      <c r="I67" s="628">
        <v>0</v>
      </c>
      <c r="J67" s="629">
        <v>0</v>
      </c>
      <c r="K67" s="630">
        <v>0</v>
      </c>
      <c r="L67" s="631">
        <v>0</v>
      </c>
      <c r="M67" s="632">
        <v>0</v>
      </c>
      <c r="N67" s="633">
        <v>0</v>
      </c>
      <c r="O67" s="703">
        <v>0</v>
      </c>
      <c r="P67" s="635">
        <v>0</v>
      </c>
      <c r="Q67" s="636">
        <v>0</v>
      </c>
      <c r="R67" s="626">
        <v>0</v>
      </c>
      <c r="S67" s="628">
        <f t="shared" si="0"/>
        <v>0</v>
      </c>
      <c r="T67" s="602"/>
      <c r="U67" s="637"/>
      <c r="V67" s="637"/>
      <c r="W67" s="637"/>
      <c r="X67" s="605"/>
      <c r="Y67" s="615"/>
      <c r="Z67" s="615"/>
    </row>
    <row r="68" spans="1:26">
      <c r="A68" s="598" t="s">
        <v>457</v>
      </c>
      <c r="B68" s="598" t="s">
        <v>475</v>
      </c>
      <c r="C68" s="623">
        <v>59</v>
      </c>
      <c r="D68" s="600" t="str">
        <f t="shared" si="10"/>
        <v>1460.062*</v>
      </c>
      <c r="E68" s="680" t="s">
        <v>476</v>
      </c>
      <c r="F68" s="626">
        <v>0</v>
      </c>
      <c r="G68" s="627">
        <v>0</v>
      </c>
      <c r="H68" s="628">
        <v>0</v>
      </c>
      <c r="I68" s="628">
        <v>0</v>
      </c>
      <c r="J68" s="629">
        <v>0</v>
      </c>
      <c r="K68" s="630">
        <v>0</v>
      </c>
      <c r="L68" s="631">
        <v>0</v>
      </c>
      <c r="M68" s="632">
        <v>0</v>
      </c>
      <c r="N68" s="633">
        <v>0</v>
      </c>
      <c r="O68" s="703">
        <v>0</v>
      </c>
      <c r="P68" s="635">
        <v>0</v>
      </c>
      <c r="Q68" s="636">
        <v>15532.52</v>
      </c>
      <c r="R68" s="626">
        <v>15532.52</v>
      </c>
      <c r="S68" s="628">
        <f t="shared" si="0"/>
        <v>1941.5649999999998</v>
      </c>
      <c r="T68" s="602"/>
      <c r="U68" s="637"/>
      <c r="V68" s="637"/>
      <c r="W68" s="637"/>
      <c r="X68" s="605"/>
      <c r="Y68" s="615"/>
      <c r="Z68" s="615"/>
    </row>
    <row r="69" spans="1:26">
      <c r="A69" s="622"/>
      <c r="B69" s="704"/>
      <c r="C69" s="623">
        <v>60</v>
      </c>
      <c r="D69" s="624"/>
      <c r="E69" s="680" t="s">
        <v>477</v>
      </c>
      <c r="F69" s="650">
        <f>SUM(F56:F68)</f>
        <v>118405.1299999999</v>
      </c>
      <c r="G69" s="650">
        <f t="shared" ref="G69:S69" si="11">SUM(G56:G68)</f>
        <v>84620.2</v>
      </c>
      <c r="H69" s="650">
        <f t="shared" si="11"/>
        <v>47081.020000000004</v>
      </c>
      <c r="I69" s="650">
        <f t="shared" si="11"/>
        <v>74743.490000000005</v>
      </c>
      <c r="J69" s="650">
        <f t="shared" si="11"/>
        <v>42896.07</v>
      </c>
      <c r="K69" s="650">
        <f t="shared" si="11"/>
        <v>50314.2</v>
      </c>
      <c r="L69" s="650">
        <f t="shared" si="11"/>
        <v>51815.69</v>
      </c>
      <c r="M69" s="650">
        <f t="shared" si="11"/>
        <v>74988.180000000008</v>
      </c>
      <c r="N69" s="650">
        <f t="shared" si="11"/>
        <v>50079.1</v>
      </c>
      <c r="O69" s="650">
        <f t="shared" si="11"/>
        <v>49930.22</v>
      </c>
      <c r="P69" s="650">
        <f t="shared" si="11"/>
        <v>79693.86</v>
      </c>
      <c r="Q69" s="650">
        <f t="shared" si="11"/>
        <v>80665.56</v>
      </c>
      <c r="R69" s="650">
        <f t="shared" si="11"/>
        <v>60060</v>
      </c>
      <c r="S69" s="650">
        <f t="shared" si="11"/>
        <v>64671.679583333316</v>
      </c>
      <c r="T69" s="602"/>
      <c r="U69" s="637"/>
      <c r="V69" s="637"/>
      <c r="W69" s="638">
        <f>S69</f>
        <v>64671.679583333316</v>
      </c>
      <c r="X69" s="605"/>
      <c r="Y69" s="615"/>
      <c r="Z69" s="615"/>
    </row>
    <row r="70" spans="1:26">
      <c r="A70" s="622"/>
      <c r="B70" s="704"/>
      <c r="C70" s="623">
        <v>61</v>
      </c>
      <c r="D70" s="624"/>
      <c r="E70" s="680"/>
      <c r="F70" s="626"/>
      <c r="G70" s="627"/>
      <c r="H70" s="628"/>
      <c r="I70" s="628"/>
      <c r="J70" s="629"/>
      <c r="K70" s="630"/>
      <c r="L70" s="631"/>
      <c r="M70" s="632"/>
      <c r="N70" s="633"/>
      <c r="O70" s="663"/>
      <c r="P70" s="635"/>
      <c r="Q70" s="636"/>
      <c r="R70" s="626"/>
      <c r="S70" s="628">
        <f t="shared" si="0"/>
        <v>0</v>
      </c>
      <c r="T70" s="602"/>
      <c r="U70" s="637"/>
      <c r="V70" s="637"/>
      <c r="W70" s="637"/>
      <c r="X70" s="605"/>
      <c r="Y70" s="615"/>
      <c r="Z70" s="615"/>
    </row>
    <row r="71" spans="1:26">
      <c r="A71" s="622" t="s">
        <v>478</v>
      </c>
      <c r="B71" s="704" t="s">
        <v>402</v>
      </c>
      <c r="C71" s="623">
        <v>62</v>
      </c>
      <c r="D71" s="624">
        <v>1466</v>
      </c>
      <c r="E71" s="680" t="s">
        <v>479</v>
      </c>
      <c r="F71" s="626">
        <v>0</v>
      </c>
      <c r="G71" s="627">
        <v>0</v>
      </c>
      <c r="H71" s="628">
        <v>0</v>
      </c>
      <c r="I71" s="628">
        <v>0</v>
      </c>
      <c r="J71" s="629">
        <v>0</v>
      </c>
      <c r="K71" s="630">
        <v>0</v>
      </c>
      <c r="L71" s="631">
        <v>0</v>
      </c>
      <c r="M71" s="632">
        <v>0</v>
      </c>
      <c r="N71" s="633">
        <v>0</v>
      </c>
      <c r="O71" s="703">
        <v>0</v>
      </c>
      <c r="P71" s="635">
        <v>0</v>
      </c>
      <c r="Q71" s="636">
        <v>0</v>
      </c>
      <c r="R71" s="626">
        <v>0</v>
      </c>
      <c r="S71" s="628">
        <f t="shared" si="0"/>
        <v>0</v>
      </c>
      <c r="T71" s="602"/>
      <c r="U71" s="637"/>
      <c r="V71" s="637"/>
      <c r="W71" s="638">
        <f>S71</f>
        <v>0</v>
      </c>
      <c r="X71" s="605"/>
      <c r="Y71" s="615"/>
      <c r="Z71" s="615"/>
    </row>
    <row r="72" spans="1:26">
      <c r="A72" s="622"/>
      <c r="B72" s="622"/>
      <c r="C72" s="623">
        <v>63</v>
      </c>
      <c r="D72" s="624"/>
      <c r="E72" s="680"/>
      <c r="F72" s="626"/>
      <c r="G72" s="627"/>
      <c r="H72" s="628"/>
      <c r="I72" s="628"/>
      <c r="J72" s="629"/>
      <c r="K72" s="630"/>
      <c r="L72" s="631"/>
      <c r="M72" s="632"/>
      <c r="N72" s="633"/>
      <c r="O72" s="634"/>
      <c r="P72" s="635"/>
      <c r="Q72" s="636"/>
      <c r="R72" s="626"/>
      <c r="S72" s="628">
        <f t="shared" si="0"/>
        <v>0</v>
      </c>
      <c r="T72" s="602"/>
      <c r="U72" s="637"/>
      <c r="V72" s="637"/>
      <c r="W72" s="637"/>
      <c r="X72" s="605"/>
      <c r="Y72" s="615"/>
      <c r="Z72" s="615"/>
    </row>
    <row r="73" spans="1:26">
      <c r="A73" s="622"/>
      <c r="B73" s="622"/>
      <c r="C73" s="623">
        <v>64</v>
      </c>
      <c r="D73" s="624"/>
      <c r="E73" s="680" t="s">
        <v>480</v>
      </c>
      <c r="F73" s="626">
        <f>+F71+F69+F54</f>
        <v>19246262.209999997</v>
      </c>
      <c r="G73" s="626">
        <f t="shared" ref="G73:S73" si="12">+G71+G69+G54</f>
        <v>28286787.299999997</v>
      </c>
      <c r="H73" s="626">
        <f t="shared" si="12"/>
        <v>22265506.079999998</v>
      </c>
      <c r="I73" s="626">
        <f t="shared" si="12"/>
        <v>21678141.879999999</v>
      </c>
      <c r="J73" s="626">
        <f t="shared" si="12"/>
        <v>17605397.899999999</v>
      </c>
      <c r="K73" s="626">
        <f t="shared" si="12"/>
        <v>14113560.819999998</v>
      </c>
      <c r="L73" s="626">
        <f t="shared" si="12"/>
        <v>10694514.129999999</v>
      </c>
      <c r="M73" s="626">
        <f t="shared" si="12"/>
        <v>9258604.0299999993</v>
      </c>
      <c r="N73" s="626">
        <f t="shared" si="12"/>
        <v>7955578.7999999998</v>
      </c>
      <c r="O73" s="626">
        <f t="shared" si="12"/>
        <v>8387963.0499999998</v>
      </c>
      <c r="P73" s="626">
        <f t="shared" si="12"/>
        <v>9347118.9499999993</v>
      </c>
      <c r="Q73" s="626">
        <f t="shared" si="12"/>
        <v>10154537.530000001</v>
      </c>
      <c r="R73" s="626">
        <f t="shared" si="12"/>
        <v>20234885.199999999</v>
      </c>
      <c r="S73" s="626">
        <f t="shared" si="12"/>
        <v>14957357.014583332</v>
      </c>
      <c r="T73" s="602"/>
      <c r="U73" s="637"/>
      <c r="V73" s="637"/>
      <c r="W73" s="637"/>
      <c r="X73" s="637"/>
      <c r="Y73" s="615"/>
      <c r="Z73" s="615"/>
    </row>
    <row r="74" spans="1:26">
      <c r="A74" s="622"/>
      <c r="B74" s="622"/>
      <c r="C74" s="623">
        <v>65</v>
      </c>
      <c r="D74" s="600"/>
      <c r="E74" s="680"/>
      <c r="F74" s="626"/>
      <c r="G74" s="627"/>
      <c r="H74" s="628"/>
      <c r="I74" s="628"/>
      <c r="J74" s="629"/>
      <c r="K74" s="630"/>
      <c r="L74" s="631"/>
      <c r="M74" s="632"/>
      <c r="N74" s="633"/>
      <c r="O74" s="634"/>
      <c r="P74" s="635"/>
      <c r="Q74" s="636"/>
      <c r="R74" s="626"/>
      <c r="S74" s="628">
        <f t="shared" si="0"/>
        <v>0</v>
      </c>
      <c r="T74" s="602"/>
      <c r="U74" s="637"/>
      <c r="V74" s="637"/>
      <c r="W74" s="637"/>
      <c r="X74" s="637"/>
      <c r="Y74" s="615"/>
      <c r="Z74" s="615"/>
    </row>
    <row r="75" spans="1:26">
      <c r="A75" s="622" t="s">
        <v>481</v>
      </c>
      <c r="B75" s="622" t="s">
        <v>402</v>
      </c>
      <c r="C75" s="623">
        <v>66</v>
      </c>
      <c r="D75" s="600" t="str">
        <f>+A75</f>
        <v>1442</v>
      </c>
      <c r="E75" s="625" t="s">
        <v>482</v>
      </c>
      <c r="F75" s="626">
        <v>-401439.13</v>
      </c>
      <c r="G75" s="627">
        <v>-624811.17000000004</v>
      </c>
      <c r="H75" s="628">
        <v>-665111.98</v>
      </c>
      <c r="I75" s="628">
        <v>-612366.89</v>
      </c>
      <c r="J75" s="629">
        <v>-559025.18999999994</v>
      </c>
      <c r="K75" s="630">
        <v>-531431.04</v>
      </c>
      <c r="L75" s="631">
        <v>-430587.85</v>
      </c>
      <c r="M75" s="632">
        <v>-362696.57</v>
      </c>
      <c r="N75" s="633">
        <v>-292228.65000000002</v>
      </c>
      <c r="O75" s="634">
        <v>-248556.61</v>
      </c>
      <c r="P75" s="635">
        <v>-242332.38</v>
      </c>
      <c r="Q75" s="636">
        <v>-265166.53999999998</v>
      </c>
      <c r="R75" s="626">
        <v>-412137.48</v>
      </c>
      <c r="S75" s="628">
        <f t="shared" si="0"/>
        <v>-436758.59791666665</v>
      </c>
      <c r="T75" s="602"/>
      <c r="U75" s="637"/>
      <c r="V75" s="637"/>
      <c r="W75" s="637"/>
      <c r="X75" s="637"/>
      <c r="Y75" s="615"/>
      <c r="Z75" s="615"/>
    </row>
    <row r="76" spans="1:26">
      <c r="A76" s="622" t="s">
        <v>483</v>
      </c>
      <c r="B76" s="622" t="s">
        <v>402</v>
      </c>
      <c r="C76" s="623">
        <v>67</v>
      </c>
      <c r="D76" s="600" t="str">
        <f>+A76</f>
        <v>1443</v>
      </c>
      <c r="E76" s="625" t="s">
        <v>484</v>
      </c>
      <c r="F76" s="626">
        <v>-40000</v>
      </c>
      <c r="G76" s="627">
        <v>-40000</v>
      </c>
      <c r="H76" s="628">
        <v>-38782.51</v>
      </c>
      <c r="I76" s="628">
        <v>-38782.51</v>
      </c>
      <c r="J76" s="629">
        <v>-38782.51</v>
      </c>
      <c r="K76" s="630">
        <v>-34733.08</v>
      </c>
      <c r="L76" s="631">
        <v>-33535.199999999997</v>
      </c>
      <c r="M76" s="632">
        <v>-28404.51</v>
      </c>
      <c r="N76" s="633">
        <v>-28404.51</v>
      </c>
      <c r="O76" s="634">
        <v>-28404.51</v>
      </c>
      <c r="P76" s="635">
        <v>-28404.51</v>
      </c>
      <c r="Q76" s="636">
        <v>-28404.51</v>
      </c>
      <c r="R76" s="626">
        <v>-40000</v>
      </c>
      <c r="S76" s="628">
        <f t="shared" ref="S76:S139" si="13">((F76+R76)+((G76+H76+I76+J76+K76+L76+M76+N76+O76+P76+Q76)*2))/24</f>
        <v>-33886.530000000006</v>
      </c>
      <c r="T76" s="602"/>
      <c r="U76" s="637"/>
      <c r="V76" s="637"/>
      <c r="W76" s="637"/>
      <c r="X76" s="637"/>
      <c r="Y76" s="615"/>
      <c r="Z76" s="615"/>
    </row>
    <row r="77" spans="1:26">
      <c r="A77" s="622" t="s">
        <v>485</v>
      </c>
      <c r="B77" s="622" t="s">
        <v>402</v>
      </c>
      <c r="C77" s="623">
        <v>68</v>
      </c>
      <c r="D77" s="600" t="str">
        <f>+A77</f>
        <v>1449</v>
      </c>
      <c r="E77" s="625" t="s">
        <v>486</v>
      </c>
      <c r="F77" s="666">
        <v>-20000</v>
      </c>
      <c r="G77" s="667">
        <v>-15659.52</v>
      </c>
      <c r="H77" s="668">
        <v>-17302.900000000001</v>
      </c>
      <c r="I77" s="668">
        <v>-15893.85</v>
      </c>
      <c r="J77" s="669">
        <v>-13338.68</v>
      </c>
      <c r="K77" s="670">
        <v>-6655.48</v>
      </c>
      <c r="L77" s="671">
        <v>-5641.47</v>
      </c>
      <c r="M77" s="672">
        <v>-5614.19</v>
      </c>
      <c r="N77" s="673">
        <v>-2540.77</v>
      </c>
      <c r="O77" s="674">
        <v>-1339.49</v>
      </c>
      <c r="P77" s="675">
        <v>-1339.49</v>
      </c>
      <c r="Q77" s="676">
        <v>-788.430000000002</v>
      </c>
      <c r="R77" s="666">
        <v>-19013.580000000002</v>
      </c>
      <c r="S77" s="628">
        <f t="shared" si="13"/>
        <v>-8801.7550000000028</v>
      </c>
      <c r="T77" s="602"/>
      <c r="U77" s="637"/>
      <c r="V77" s="637"/>
      <c r="W77" s="637"/>
      <c r="X77" s="637"/>
      <c r="Y77" s="615"/>
      <c r="Z77" s="615"/>
    </row>
    <row r="78" spans="1:26">
      <c r="A78" s="622"/>
      <c r="B78" s="622"/>
      <c r="C78" s="623">
        <v>69</v>
      </c>
      <c r="D78" s="600"/>
      <c r="E78" s="625"/>
      <c r="F78" s="655"/>
      <c r="G78" s="656"/>
      <c r="H78" s="657"/>
      <c r="I78" s="657"/>
      <c r="J78" s="658"/>
      <c r="K78" s="659"/>
      <c r="L78" s="660"/>
      <c r="M78" s="661"/>
      <c r="N78" s="662"/>
      <c r="O78" s="663"/>
      <c r="P78" s="664"/>
      <c r="Q78" s="665"/>
      <c r="R78" s="655"/>
      <c r="S78" s="628">
        <f t="shared" si="13"/>
        <v>0</v>
      </c>
      <c r="T78" s="602"/>
      <c r="U78" s="637"/>
      <c r="V78" s="637"/>
      <c r="W78" s="637"/>
      <c r="X78" s="637"/>
      <c r="Y78" s="615"/>
      <c r="Z78" s="615"/>
    </row>
    <row r="79" spans="1:26">
      <c r="A79" s="622"/>
      <c r="B79" s="622"/>
      <c r="C79" s="623">
        <v>70</v>
      </c>
      <c r="D79" s="624"/>
      <c r="E79" s="680" t="s">
        <v>487</v>
      </c>
      <c r="F79" s="655">
        <f>SUM(F75:F77)</f>
        <v>-461439.13</v>
      </c>
      <c r="G79" s="655">
        <f t="shared" ref="G79:S79" si="14">SUM(G75:G77)</f>
        <v>-680470.69000000006</v>
      </c>
      <c r="H79" s="655">
        <f t="shared" si="14"/>
        <v>-721197.39</v>
      </c>
      <c r="I79" s="655">
        <f t="shared" si="14"/>
        <v>-667043.25</v>
      </c>
      <c r="J79" s="655">
        <f t="shared" si="14"/>
        <v>-611146.38</v>
      </c>
      <c r="K79" s="655">
        <f t="shared" si="14"/>
        <v>-572819.6</v>
      </c>
      <c r="L79" s="655">
        <f t="shared" si="14"/>
        <v>-469764.51999999996</v>
      </c>
      <c r="M79" s="655">
        <f t="shared" si="14"/>
        <v>-396715.27</v>
      </c>
      <c r="N79" s="655">
        <f t="shared" si="14"/>
        <v>-323173.93000000005</v>
      </c>
      <c r="O79" s="655">
        <f t="shared" si="14"/>
        <v>-278300.61</v>
      </c>
      <c r="P79" s="655">
        <f t="shared" si="14"/>
        <v>-272076.38</v>
      </c>
      <c r="Q79" s="655">
        <f t="shared" si="14"/>
        <v>-294359.48</v>
      </c>
      <c r="R79" s="655">
        <f t="shared" si="14"/>
        <v>-471151.06</v>
      </c>
      <c r="S79" s="655">
        <f t="shared" si="14"/>
        <v>-479446.88291666668</v>
      </c>
      <c r="T79" s="602"/>
      <c r="U79" s="637"/>
      <c r="V79" s="637"/>
      <c r="W79" s="637"/>
      <c r="X79" s="638">
        <f>S79</f>
        <v>-479446.88291666668</v>
      </c>
      <c r="Y79" s="615"/>
      <c r="Z79" s="615"/>
    </row>
    <row r="80" spans="1:26">
      <c r="A80" s="622"/>
      <c r="B80" s="622"/>
      <c r="C80" s="623">
        <v>71</v>
      </c>
      <c r="D80" s="624"/>
      <c r="E80" s="680"/>
      <c r="F80" s="639"/>
      <c r="G80" s="639"/>
      <c r="H80" s="639"/>
      <c r="I80" s="639"/>
      <c r="J80" s="639"/>
      <c r="K80" s="639"/>
      <c r="L80" s="639"/>
      <c r="M80" s="639"/>
      <c r="N80" s="639"/>
      <c r="O80" s="639"/>
      <c r="P80" s="639"/>
      <c r="Q80" s="639"/>
      <c r="R80" s="639"/>
      <c r="S80" s="639"/>
      <c r="T80" s="602"/>
      <c r="U80" s="637"/>
      <c r="V80" s="637"/>
      <c r="W80" s="637"/>
      <c r="X80" s="637"/>
      <c r="Y80" s="615"/>
      <c r="Z80" s="615"/>
    </row>
    <row r="81" spans="1:26">
      <c r="A81" s="622"/>
      <c r="B81" s="622"/>
      <c r="C81" s="623">
        <v>72</v>
      </c>
      <c r="D81" s="624"/>
      <c r="E81" s="680" t="s">
        <v>488</v>
      </c>
      <c r="F81" s="650">
        <f>+F73+F79</f>
        <v>18784823.079999998</v>
      </c>
      <c r="G81" s="650">
        <f t="shared" ref="G81:S81" si="15">+G73+G79</f>
        <v>27606316.609999996</v>
      </c>
      <c r="H81" s="650">
        <f t="shared" si="15"/>
        <v>21544308.689999998</v>
      </c>
      <c r="I81" s="650">
        <f t="shared" si="15"/>
        <v>21011098.629999999</v>
      </c>
      <c r="J81" s="650">
        <f t="shared" si="15"/>
        <v>16994251.52</v>
      </c>
      <c r="K81" s="650">
        <f t="shared" si="15"/>
        <v>13540741.219999999</v>
      </c>
      <c r="L81" s="650">
        <f t="shared" si="15"/>
        <v>10224749.609999999</v>
      </c>
      <c r="M81" s="650">
        <f t="shared" si="15"/>
        <v>8861888.7599999998</v>
      </c>
      <c r="N81" s="650">
        <f t="shared" si="15"/>
        <v>7632404.8700000001</v>
      </c>
      <c r="O81" s="650">
        <f t="shared" si="15"/>
        <v>8109662.4399999995</v>
      </c>
      <c r="P81" s="650">
        <f t="shared" si="15"/>
        <v>9075042.5699999984</v>
      </c>
      <c r="Q81" s="650">
        <f t="shared" si="15"/>
        <v>9860178.0500000007</v>
      </c>
      <c r="R81" s="650">
        <f t="shared" si="15"/>
        <v>19763734.140000001</v>
      </c>
      <c r="S81" s="650">
        <f t="shared" si="15"/>
        <v>14477910.131666666</v>
      </c>
      <c r="T81" s="602"/>
      <c r="U81" s="637"/>
      <c r="V81" s="637"/>
      <c r="W81" s="637"/>
      <c r="X81" s="637"/>
      <c r="Y81" s="615"/>
      <c r="Z81" s="615"/>
    </row>
    <row r="82" spans="1:26">
      <c r="A82" s="622"/>
      <c r="B82" s="622"/>
      <c r="C82" s="623">
        <v>73</v>
      </c>
      <c r="D82" s="624"/>
      <c r="E82" s="680"/>
      <c r="F82" s="626"/>
      <c r="G82" s="627"/>
      <c r="H82" s="628"/>
      <c r="I82" s="628"/>
      <c r="J82" s="629"/>
      <c r="K82" s="630"/>
      <c r="L82" s="631"/>
      <c r="M82" s="632"/>
      <c r="N82" s="633"/>
      <c r="O82" s="634"/>
      <c r="P82" s="635"/>
      <c r="Q82" s="636"/>
      <c r="R82" s="626"/>
      <c r="S82" s="628">
        <f t="shared" si="13"/>
        <v>0</v>
      </c>
      <c r="T82" s="602"/>
      <c r="U82" s="637"/>
      <c r="V82" s="637"/>
      <c r="W82" s="637"/>
      <c r="X82" s="637"/>
      <c r="Y82" s="615"/>
      <c r="Z82" s="615"/>
    </row>
    <row r="83" spans="1:26">
      <c r="A83" s="622" t="s">
        <v>489</v>
      </c>
      <c r="B83" s="622" t="s">
        <v>402</v>
      </c>
      <c r="C83" s="623">
        <v>74</v>
      </c>
      <c r="D83" s="624" t="str">
        <f>+A83</f>
        <v>1540</v>
      </c>
      <c r="E83" s="625" t="s">
        <v>490</v>
      </c>
      <c r="F83" s="626">
        <v>7019221.7300000004</v>
      </c>
      <c r="G83" s="627">
        <v>6875168.5999999996</v>
      </c>
      <c r="H83" s="628">
        <v>6777067.6399999997</v>
      </c>
      <c r="I83" s="628">
        <v>6833615.6799999997</v>
      </c>
      <c r="J83" s="629">
        <v>7007981.5999999996</v>
      </c>
      <c r="K83" s="630">
        <v>7051778.0599999996</v>
      </c>
      <c r="L83" s="631">
        <v>7233831.7300000004</v>
      </c>
      <c r="M83" s="632">
        <v>7196644.9400000004</v>
      </c>
      <c r="N83" s="633">
        <v>7223266.5300000003</v>
      </c>
      <c r="O83" s="634">
        <v>7796442.8799999999</v>
      </c>
      <c r="P83" s="635">
        <v>7542268.9100000001</v>
      </c>
      <c r="Q83" s="636">
        <v>7494539.7300000004</v>
      </c>
      <c r="R83" s="626">
        <v>7223893.4299999997</v>
      </c>
      <c r="S83" s="628">
        <f t="shared" si="13"/>
        <v>7179513.6566666672</v>
      </c>
      <c r="T83" s="602"/>
      <c r="U83" s="637"/>
      <c r="V83" s="637"/>
      <c r="W83" s="637"/>
      <c r="X83" s="637"/>
      <c r="Y83" s="615"/>
      <c r="Z83" s="615"/>
    </row>
    <row r="84" spans="1:26">
      <c r="A84" s="622" t="s">
        <v>491</v>
      </c>
      <c r="B84" s="622" t="s">
        <v>402</v>
      </c>
      <c r="C84" s="623">
        <v>75</v>
      </c>
      <c r="D84" s="624" t="str">
        <f>+A84</f>
        <v>1630</v>
      </c>
      <c r="E84" s="625" t="s">
        <v>492</v>
      </c>
      <c r="F84" s="626">
        <v>2.91038304567337E-11</v>
      </c>
      <c r="G84" s="627">
        <v>6295.25</v>
      </c>
      <c r="H84" s="628">
        <v>4651.54</v>
      </c>
      <c r="I84" s="628">
        <v>23106.77</v>
      </c>
      <c r="J84" s="629">
        <v>41906.57</v>
      </c>
      <c r="K84" s="630">
        <v>67087.56</v>
      </c>
      <c r="L84" s="631">
        <v>85003.37</v>
      </c>
      <c r="M84" s="632">
        <v>102587.63</v>
      </c>
      <c r="N84" s="633">
        <v>151876.95000000001</v>
      </c>
      <c r="O84" s="634">
        <v>166830.17000000001</v>
      </c>
      <c r="P84" s="635">
        <v>173789.35</v>
      </c>
      <c r="Q84" s="636">
        <v>187712.69</v>
      </c>
      <c r="R84" s="626">
        <v>-2.91038304567337E-11</v>
      </c>
      <c r="S84" s="628">
        <f t="shared" si="13"/>
        <v>84237.320833333346</v>
      </c>
      <c r="T84" s="602"/>
      <c r="U84" s="637"/>
      <c r="V84" s="637"/>
      <c r="W84" s="637"/>
      <c r="X84" s="637"/>
      <c r="Y84" s="615"/>
      <c r="Z84" s="615"/>
    </row>
    <row r="85" spans="1:26">
      <c r="A85" s="622" t="s">
        <v>493</v>
      </c>
      <c r="B85" s="622" t="s">
        <v>494</v>
      </c>
      <c r="C85" s="623">
        <v>76</v>
      </c>
      <c r="D85" s="624" t="str">
        <f>A85&amp;"."&amp;B85</f>
        <v>1641.[01,03]</v>
      </c>
      <c r="E85" s="625" t="s">
        <v>495</v>
      </c>
      <c r="F85" s="655">
        <v>0</v>
      </c>
      <c r="G85" s="627">
        <v>0</v>
      </c>
      <c r="H85" s="657">
        <v>0</v>
      </c>
      <c r="I85" s="657">
        <v>0</v>
      </c>
      <c r="J85" s="658">
        <v>0</v>
      </c>
      <c r="K85" s="659">
        <v>0</v>
      </c>
      <c r="L85" s="660">
        <v>0</v>
      </c>
      <c r="M85" s="661">
        <v>0</v>
      </c>
      <c r="N85" s="662">
        <v>0</v>
      </c>
      <c r="O85" s="663">
        <v>0</v>
      </c>
      <c r="P85" s="664">
        <v>0</v>
      </c>
      <c r="Q85" s="636">
        <v>0</v>
      </c>
      <c r="R85" s="655">
        <v>0</v>
      </c>
      <c r="S85" s="628">
        <f t="shared" si="13"/>
        <v>0</v>
      </c>
      <c r="T85" s="602"/>
      <c r="U85" s="637"/>
      <c r="V85" s="637"/>
      <c r="W85" s="637"/>
      <c r="X85" s="637"/>
      <c r="Y85" s="615"/>
      <c r="Z85" s="615"/>
    </row>
    <row r="86" spans="1:26">
      <c r="A86" s="622" t="s">
        <v>493</v>
      </c>
      <c r="B86" s="622" t="s">
        <v>496</v>
      </c>
      <c r="C86" s="623">
        <v>77</v>
      </c>
      <c r="D86" s="624" t="str">
        <f>A86&amp;"."&amp;B86</f>
        <v>1641.02</v>
      </c>
      <c r="E86" s="625" t="s">
        <v>497</v>
      </c>
      <c r="F86" s="655">
        <v>52788.7</v>
      </c>
      <c r="G86" s="627">
        <v>592943.59</v>
      </c>
      <c r="H86" s="657">
        <v>0</v>
      </c>
      <c r="I86" s="657">
        <v>278037.19</v>
      </c>
      <c r="J86" s="658">
        <v>364258.05</v>
      </c>
      <c r="K86" s="659">
        <v>91779.05</v>
      </c>
      <c r="L86" s="660">
        <v>6720.03999999999</v>
      </c>
      <c r="M86" s="661">
        <v>-6.3664629124105001E-12</v>
      </c>
      <c r="N86" s="662">
        <v>-6.3664629124105001E-12</v>
      </c>
      <c r="O86" s="663">
        <v>149539.65</v>
      </c>
      <c r="P86" s="664">
        <v>206387.69</v>
      </c>
      <c r="Q86" s="636">
        <v>280814.13</v>
      </c>
      <c r="R86" s="655">
        <v>87958.720000000001</v>
      </c>
      <c r="S86" s="628">
        <f t="shared" si="13"/>
        <v>170071.09166666667</v>
      </c>
      <c r="T86" s="602"/>
      <c r="U86" s="637"/>
      <c r="V86" s="637"/>
      <c r="W86" s="637"/>
      <c r="X86" s="637"/>
      <c r="Y86" s="615"/>
      <c r="Z86" s="615"/>
    </row>
    <row r="87" spans="1:26">
      <c r="A87" s="622" t="s">
        <v>493</v>
      </c>
      <c r="B87" s="622" t="s">
        <v>560</v>
      </c>
      <c r="C87" s="623">
        <v>78</v>
      </c>
      <c r="D87" s="624" t="str">
        <f>A87&amp;"."&amp;B87</f>
        <v>1641.04</v>
      </c>
      <c r="E87" s="625" t="s">
        <v>975</v>
      </c>
      <c r="F87" s="655">
        <v>186057.52</v>
      </c>
      <c r="G87" s="627">
        <v>200402.73</v>
      </c>
      <c r="H87" s="657">
        <v>219068.21</v>
      </c>
      <c r="I87" s="657">
        <v>236891.08</v>
      </c>
      <c r="J87" s="658">
        <v>206008.55</v>
      </c>
      <c r="K87" s="659">
        <v>206008.55</v>
      </c>
      <c r="L87" s="660">
        <v>1820.00999999998</v>
      </c>
      <c r="M87" s="661">
        <v>-1.9781509763561199E-11</v>
      </c>
      <c r="N87" s="662">
        <v>51352.98</v>
      </c>
      <c r="O87" s="663">
        <v>89896.35</v>
      </c>
      <c r="P87" s="664">
        <v>89896.35</v>
      </c>
      <c r="Q87" s="636">
        <v>38697.56</v>
      </c>
      <c r="R87" s="655">
        <v>38697.56</v>
      </c>
      <c r="S87" s="628">
        <f t="shared" si="13"/>
        <v>121034.99250000004</v>
      </c>
      <c r="T87" s="602"/>
      <c r="U87" s="637"/>
      <c r="V87" s="637"/>
      <c r="W87" s="637"/>
      <c r="X87" s="637"/>
      <c r="Y87" s="615"/>
      <c r="Z87" s="615"/>
    </row>
    <row r="88" spans="1:26">
      <c r="A88" s="622" t="s">
        <v>498</v>
      </c>
      <c r="B88" s="622" t="s">
        <v>402</v>
      </c>
      <c r="C88" s="623">
        <v>79</v>
      </c>
      <c r="D88" s="624" t="str">
        <f>+A88</f>
        <v>1642</v>
      </c>
      <c r="E88" s="625" t="s">
        <v>499</v>
      </c>
      <c r="F88" s="655">
        <v>712311.02</v>
      </c>
      <c r="G88" s="627">
        <v>697965.81</v>
      </c>
      <c r="H88" s="657">
        <v>679300.33</v>
      </c>
      <c r="I88" s="657">
        <v>661477.46</v>
      </c>
      <c r="J88" s="658">
        <v>1205358</v>
      </c>
      <c r="K88" s="659">
        <v>1258794.78</v>
      </c>
      <c r="L88" s="660">
        <v>1462983.32</v>
      </c>
      <c r="M88" s="661">
        <v>1461900.81</v>
      </c>
      <c r="N88" s="662">
        <v>1905391.12</v>
      </c>
      <c r="O88" s="663">
        <v>2374582.09</v>
      </c>
      <c r="P88" s="664">
        <v>2374582.09</v>
      </c>
      <c r="Q88" s="636">
        <v>2393533.4399999999</v>
      </c>
      <c r="R88" s="655">
        <v>1705163.69</v>
      </c>
      <c r="S88" s="628">
        <f t="shared" si="13"/>
        <v>1473717.2170833331</v>
      </c>
      <c r="T88" s="602"/>
      <c r="U88" s="637"/>
      <c r="V88" s="637"/>
      <c r="W88" s="637"/>
      <c r="X88" s="637"/>
      <c r="Y88" s="615"/>
      <c r="Z88" s="615"/>
    </row>
    <row r="89" spans="1:26">
      <c r="A89" s="622"/>
      <c r="B89" s="622"/>
      <c r="C89" s="623">
        <v>80</v>
      </c>
      <c r="D89" s="624"/>
      <c r="E89" s="625"/>
      <c r="F89" s="639"/>
      <c r="G89" s="640"/>
      <c r="H89" s="641"/>
      <c r="I89" s="641"/>
      <c r="J89" s="642"/>
      <c r="K89" s="643"/>
      <c r="L89" s="644"/>
      <c r="M89" s="645"/>
      <c r="N89" s="646"/>
      <c r="O89" s="647"/>
      <c r="P89" s="648"/>
      <c r="Q89" s="649"/>
      <c r="R89" s="639"/>
      <c r="S89" s="628">
        <f t="shared" si="13"/>
        <v>0</v>
      </c>
      <c r="T89" s="602"/>
      <c r="U89" s="637"/>
      <c r="V89" s="637"/>
      <c r="W89" s="637"/>
      <c r="X89" s="637"/>
      <c r="Y89" s="615"/>
      <c r="Z89" s="615"/>
    </row>
    <row r="90" spans="1:26">
      <c r="A90" s="622"/>
      <c r="B90" s="622"/>
      <c r="C90" s="623">
        <v>81</v>
      </c>
      <c r="D90" s="624"/>
      <c r="E90" s="625" t="s">
        <v>500</v>
      </c>
      <c r="F90" s="650">
        <f>SUM(F83:F88)</f>
        <v>7970378.9700000007</v>
      </c>
      <c r="G90" s="650">
        <f t="shared" ref="G90:S90" si="16">SUM(G83:G88)</f>
        <v>8372775.9800000004</v>
      </c>
      <c r="H90" s="650">
        <f t="shared" si="16"/>
        <v>7680087.7199999997</v>
      </c>
      <c r="I90" s="650">
        <f t="shared" si="16"/>
        <v>8033128.1799999997</v>
      </c>
      <c r="J90" s="650">
        <f t="shared" si="16"/>
        <v>8825512.7699999996</v>
      </c>
      <c r="K90" s="650">
        <f t="shared" si="16"/>
        <v>8675447.9999999981</v>
      </c>
      <c r="L90" s="650">
        <f t="shared" si="16"/>
        <v>8790358.4700000007</v>
      </c>
      <c r="M90" s="650">
        <f t="shared" si="16"/>
        <v>8761133.3800000008</v>
      </c>
      <c r="N90" s="650">
        <f t="shared" si="16"/>
        <v>9331887.5800000019</v>
      </c>
      <c r="O90" s="650">
        <f t="shared" si="16"/>
        <v>10577291.140000001</v>
      </c>
      <c r="P90" s="650">
        <f t="shared" si="16"/>
        <v>10386924.390000001</v>
      </c>
      <c r="Q90" s="650">
        <f t="shared" si="16"/>
        <v>10395297.550000001</v>
      </c>
      <c r="R90" s="650">
        <f t="shared" si="16"/>
        <v>9055713.3999999985</v>
      </c>
      <c r="S90" s="650">
        <f t="shared" si="16"/>
        <v>9028574.2787500005</v>
      </c>
      <c r="T90" s="602"/>
      <c r="U90" s="637"/>
      <c r="V90" s="637"/>
      <c r="W90" s="637"/>
      <c r="X90" s="638">
        <f>S90</f>
        <v>9028574.2787500005</v>
      </c>
      <c r="Y90" s="615"/>
      <c r="Z90" s="615"/>
    </row>
    <row r="91" spans="1:26">
      <c r="A91" s="622"/>
      <c r="B91" s="622"/>
      <c r="C91" s="623">
        <v>82</v>
      </c>
      <c r="D91" s="624"/>
      <c r="E91" s="680"/>
      <c r="F91" s="626"/>
      <c r="G91" s="627"/>
      <c r="H91" s="628"/>
      <c r="I91" s="628"/>
      <c r="J91" s="629"/>
      <c r="K91" s="630"/>
      <c r="L91" s="631"/>
      <c r="M91" s="632"/>
      <c r="N91" s="633"/>
      <c r="O91" s="634"/>
      <c r="P91" s="635"/>
      <c r="Q91" s="636"/>
      <c r="R91" s="626"/>
      <c r="S91" s="628">
        <f t="shared" si="13"/>
        <v>0</v>
      </c>
      <c r="T91" s="602"/>
      <c r="U91" s="637"/>
      <c r="V91" s="637"/>
      <c r="W91" s="637"/>
      <c r="X91" s="637"/>
      <c r="Y91" s="615"/>
      <c r="Z91" s="615"/>
    </row>
    <row r="92" spans="1:26">
      <c r="A92" s="622" t="s">
        <v>501</v>
      </c>
      <c r="B92" s="622" t="s">
        <v>402</v>
      </c>
      <c r="C92" s="623">
        <v>83</v>
      </c>
      <c r="D92" s="624" t="str">
        <f>+A92</f>
        <v>1655</v>
      </c>
      <c r="E92" s="625" t="s">
        <v>502</v>
      </c>
      <c r="F92" s="626">
        <v>141934.38</v>
      </c>
      <c r="G92" s="627">
        <v>1047402.23</v>
      </c>
      <c r="H92" s="628">
        <v>951220.2</v>
      </c>
      <c r="I92" s="628">
        <v>862269.45</v>
      </c>
      <c r="J92" s="629">
        <v>753777.95</v>
      </c>
      <c r="K92" s="630">
        <v>645735.46</v>
      </c>
      <c r="L92" s="631">
        <v>573398.41</v>
      </c>
      <c r="M92" s="632">
        <v>465355.91</v>
      </c>
      <c r="N92" s="633">
        <v>357313.43</v>
      </c>
      <c r="O92" s="634">
        <v>282349.87</v>
      </c>
      <c r="P92" s="635">
        <v>171680.88</v>
      </c>
      <c r="Q92" s="636">
        <v>233437.62</v>
      </c>
      <c r="R92" s="626">
        <v>146719</v>
      </c>
      <c r="S92" s="628">
        <f t="shared" si="13"/>
        <v>540689.00833333342</v>
      </c>
      <c r="T92" s="602"/>
      <c r="U92" s="637"/>
      <c r="V92" s="637"/>
      <c r="W92" s="637"/>
      <c r="X92" s="637"/>
      <c r="Y92" s="615"/>
      <c r="Z92" s="615"/>
    </row>
    <row r="93" spans="1:26">
      <c r="A93" s="598" t="s">
        <v>503</v>
      </c>
      <c r="B93" s="598" t="s">
        <v>504</v>
      </c>
      <c r="C93" s="623">
        <v>84</v>
      </c>
      <c r="D93" s="600" t="str">
        <f>A93&amp;"."&amp;B93</f>
        <v>1659.[18,19,20]</v>
      </c>
      <c r="E93" s="705" t="s">
        <v>505</v>
      </c>
      <c r="F93" s="626">
        <v>0</v>
      </c>
      <c r="G93" s="706">
        <v>0</v>
      </c>
      <c r="H93" s="628">
        <v>0</v>
      </c>
      <c r="I93" s="628">
        <v>0</v>
      </c>
      <c r="J93" s="629">
        <v>0</v>
      </c>
      <c r="K93" s="630">
        <v>0</v>
      </c>
      <c r="L93" s="631">
        <v>0</v>
      </c>
      <c r="M93" s="632">
        <v>0</v>
      </c>
      <c r="N93" s="633">
        <v>0</v>
      </c>
      <c r="O93" s="634">
        <v>752163.93</v>
      </c>
      <c r="P93" s="635">
        <v>554607.04</v>
      </c>
      <c r="Q93" s="707">
        <v>391140.84</v>
      </c>
      <c r="R93" s="626">
        <v>0</v>
      </c>
      <c r="S93" s="628">
        <f t="shared" si="13"/>
        <v>141492.65083333335</v>
      </c>
      <c r="T93" s="602"/>
      <c r="U93" s="637"/>
      <c r="V93" s="637"/>
      <c r="W93" s="637"/>
      <c r="X93" s="637"/>
      <c r="Y93" s="615"/>
      <c r="Z93" s="615"/>
    </row>
    <row r="94" spans="1:26">
      <c r="A94" s="598" t="s">
        <v>503</v>
      </c>
      <c r="B94" s="598" t="s">
        <v>506</v>
      </c>
      <c r="C94" s="623">
        <v>85</v>
      </c>
      <c r="D94" s="600" t="str">
        <f>A94&amp;"."&amp;B94</f>
        <v>1659.22</v>
      </c>
      <c r="E94" s="705" t="s">
        <v>507</v>
      </c>
      <c r="F94" s="626">
        <v>2719098.63</v>
      </c>
      <c r="G94" s="706">
        <v>2487523.08</v>
      </c>
      <c r="H94" s="628">
        <v>2183281.08</v>
      </c>
      <c r="I94" s="628">
        <v>344683.95</v>
      </c>
      <c r="J94" s="629">
        <v>344683.95</v>
      </c>
      <c r="K94" s="630">
        <v>1242211.08</v>
      </c>
      <c r="L94" s="631">
        <v>1373709.51</v>
      </c>
      <c r="M94" s="632">
        <v>1911378.55</v>
      </c>
      <c r="N94" s="633">
        <v>2541463.54</v>
      </c>
      <c r="O94" s="634">
        <v>2763023.48</v>
      </c>
      <c r="P94" s="635">
        <v>2763023.48</v>
      </c>
      <c r="Q94" s="707">
        <v>2763023.48</v>
      </c>
      <c r="R94" s="626">
        <v>1381150.02</v>
      </c>
      <c r="S94" s="628">
        <f t="shared" si="13"/>
        <v>1897344.125416667</v>
      </c>
      <c r="T94" s="602"/>
      <c r="U94" s="637"/>
      <c r="V94" s="637"/>
      <c r="W94" s="637"/>
      <c r="X94" s="637"/>
      <c r="Y94" s="615"/>
      <c r="Z94" s="615"/>
    </row>
    <row r="95" spans="1:26">
      <c r="A95" s="598" t="s">
        <v>503</v>
      </c>
      <c r="B95" s="598" t="s">
        <v>508</v>
      </c>
      <c r="C95" s="623">
        <v>86</v>
      </c>
      <c r="D95" s="600" t="str">
        <f>A95&amp;"."&amp;B95</f>
        <v>1659.[/20,/21,/22,/18,/19]</v>
      </c>
      <c r="E95" s="625" t="s">
        <v>509</v>
      </c>
      <c r="F95" s="626">
        <v>711944.81</v>
      </c>
      <c r="G95" s="708">
        <v>592136.06999999995</v>
      </c>
      <c r="H95" s="628">
        <v>472327.33</v>
      </c>
      <c r="I95" s="628">
        <v>493362.4</v>
      </c>
      <c r="J95" s="629">
        <v>357904.35</v>
      </c>
      <c r="K95" s="630">
        <v>222446.3</v>
      </c>
      <c r="L95" s="631">
        <v>165668.10999999999</v>
      </c>
      <c r="M95" s="632">
        <v>143494.04999999999</v>
      </c>
      <c r="N95" s="633">
        <v>121319.99</v>
      </c>
      <c r="O95" s="634">
        <v>99145.930000000095</v>
      </c>
      <c r="P95" s="635">
        <v>76971.870000000097</v>
      </c>
      <c r="Q95" s="709">
        <v>1033988.87</v>
      </c>
      <c r="R95" s="626">
        <v>928900.59</v>
      </c>
      <c r="S95" s="628">
        <f t="shared" si="13"/>
        <v>383265.66416666663</v>
      </c>
      <c r="T95" s="602"/>
      <c r="U95" s="637"/>
      <c r="V95" s="637"/>
      <c r="W95" s="637"/>
      <c r="X95" s="637"/>
      <c r="Y95" s="615"/>
      <c r="Z95" s="615"/>
    </row>
    <row r="96" spans="1:26">
      <c r="A96" s="598" t="s">
        <v>510</v>
      </c>
      <c r="B96" s="598" t="s">
        <v>511</v>
      </c>
      <c r="C96" s="623">
        <v>87</v>
      </c>
      <c r="D96" s="600" t="str">
        <f>A96&amp;"."&amp;B96</f>
        <v>1860.[20424,20425]</v>
      </c>
      <c r="E96" s="625" t="s">
        <v>512</v>
      </c>
      <c r="F96" s="626">
        <v>0</v>
      </c>
      <c r="G96" s="708">
        <v>0</v>
      </c>
      <c r="H96" s="628">
        <v>0</v>
      </c>
      <c r="I96" s="628">
        <v>0</v>
      </c>
      <c r="J96" s="629">
        <v>0</v>
      </c>
      <c r="K96" s="630">
        <v>0</v>
      </c>
      <c r="L96" s="631">
        <v>0</v>
      </c>
      <c r="M96" s="632">
        <v>0</v>
      </c>
      <c r="N96" s="633">
        <v>0</v>
      </c>
      <c r="O96" s="634">
        <v>0</v>
      </c>
      <c r="P96" s="635">
        <v>0</v>
      </c>
      <c r="Q96" s="709">
        <v>0</v>
      </c>
      <c r="R96" s="626">
        <v>0</v>
      </c>
      <c r="S96" s="628">
        <f t="shared" si="13"/>
        <v>0</v>
      </c>
      <c r="T96" s="602"/>
      <c r="U96" s="637"/>
      <c r="V96" s="637"/>
      <c r="W96" s="637"/>
      <c r="X96" s="637"/>
      <c r="Y96" s="615"/>
      <c r="Z96" s="615"/>
    </row>
    <row r="97" spans="1:26">
      <c r="A97" s="598" t="s">
        <v>513</v>
      </c>
      <c r="B97" s="598" t="s">
        <v>402</v>
      </c>
      <c r="C97" s="623">
        <v>88</v>
      </c>
      <c r="D97" s="600" t="str">
        <f>+A97</f>
        <v>1747</v>
      </c>
      <c r="E97" s="625" t="s">
        <v>514</v>
      </c>
      <c r="F97" s="655">
        <v>0</v>
      </c>
      <c r="G97" s="708">
        <v>0</v>
      </c>
      <c r="H97" s="657">
        <v>0</v>
      </c>
      <c r="I97" s="657">
        <v>0</v>
      </c>
      <c r="J97" s="658">
        <v>0</v>
      </c>
      <c r="K97" s="659">
        <v>0</v>
      </c>
      <c r="L97" s="660">
        <v>0</v>
      </c>
      <c r="M97" s="661">
        <v>0</v>
      </c>
      <c r="N97" s="662">
        <v>0</v>
      </c>
      <c r="O97" s="663">
        <v>0</v>
      </c>
      <c r="P97" s="664">
        <v>0</v>
      </c>
      <c r="Q97" s="709">
        <v>0</v>
      </c>
      <c r="R97" s="655">
        <v>0</v>
      </c>
      <c r="S97" s="628">
        <f t="shared" si="13"/>
        <v>0</v>
      </c>
      <c r="T97" s="602"/>
      <c r="U97" s="637"/>
      <c r="V97" s="637"/>
      <c r="W97" s="637"/>
      <c r="X97" s="637"/>
      <c r="Y97" s="615"/>
      <c r="Z97" s="615"/>
    </row>
    <row r="98" spans="1:26">
      <c r="A98" s="598" t="s">
        <v>515</v>
      </c>
      <c r="B98" s="598" t="s">
        <v>516</v>
      </c>
      <c r="C98" s="623">
        <v>89</v>
      </c>
      <c r="D98" s="710" t="s">
        <v>517</v>
      </c>
      <c r="E98" s="625" t="s">
        <v>518</v>
      </c>
      <c r="F98" s="655">
        <v>0</v>
      </c>
      <c r="G98" s="708">
        <v>0</v>
      </c>
      <c r="H98" s="657">
        <v>0</v>
      </c>
      <c r="I98" s="657">
        <v>0</v>
      </c>
      <c r="J98" s="658">
        <v>0</v>
      </c>
      <c r="K98" s="659">
        <v>0</v>
      </c>
      <c r="L98" s="660">
        <v>0</v>
      </c>
      <c r="M98" s="661">
        <v>0</v>
      </c>
      <c r="N98" s="662">
        <v>0</v>
      </c>
      <c r="O98" s="663">
        <v>0</v>
      </c>
      <c r="P98" s="664">
        <v>0</v>
      </c>
      <c r="Q98" s="709">
        <v>0</v>
      </c>
      <c r="R98" s="655">
        <v>0</v>
      </c>
      <c r="S98" s="628">
        <f t="shared" si="13"/>
        <v>0</v>
      </c>
      <c r="T98" s="602"/>
      <c r="U98" s="637"/>
      <c r="V98" s="637"/>
      <c r="W98" s="637"/>
      <c r="X98" s="637"/>
      <c r="Y98" s="615"/>
      <c r="Z98" s="615"/>
    </row>
    <row r="99" spans="1:26">
      <c r="A99" s="598"/>
      <c r="B99" s="598"/>
      <c r="C99" s="623">
        <v>90</v>
      </c>
      <c r="D99" s="600"/>
      <c r="E99" s="625"/>
      <c r="F99" s="639"/>
      <c r="G99" s="711"/>
      <c r="H99" s="641"/>
      <c r="I99" s="641"/>
      <c r="J99" s="642"/>
      <c r="K99" s="643"/>
      <c r="L99" s="644"/>
      <c r="M99" s="645"/>
      <c r="N99" s="646"/>
      <c r="O99" s="647"/>
      <c r="P99" s="648"/>
      <c r="Q99" s="712"/>
      <c r="R99" s="639"/>
      <c r="S99" s="628">
        <f t="shared" si="13"/>
        <v>0</v>
      </c>
      <c r="T99" s="602"/>
      <c r="U99" s="637"/>
      <c r="V99" s="637"/>
      <c r="W99" s="637"/>
      <c r="X99" s="637"/>
      <c r="Y99" s="615"/>
      <c r="Z99" s="615"/>
    </row>
    <row r="100" spans="1:26">
      <c r="A100" s="622"/>
      <c r="B100" s="622"/>
      <c r="C100" s="623">
        <v>91</v>
      </c>
      <c r="D100" s="624"/>
      <c r="E100" s="625" t="s">
        <v>519</v>
      </c>
      <c r="F100" s="650">
        <f>SUM(F92:F98)</f>
        <v>3572977.82</v>
      </c>
      <c r="G100" s="650">
        <f t="shared" ref="G100:S100" si="17">SUM(G92:G98)</f>
        <v>4127061.38</v>
      </c>
      <c r="H100" s="650">
        <f t="shared" si="17"/>
        <v>3606828.6100000003</v>
      </c>
      <c r="I100" s="650">
        <f t="shared" si="17"/>
        <v>1700315.7999999998</v>
      </c>
      <c r="J100" s="650">
        <f t="shared" si="17"/>
        <v>1456366.25</v>
      </c>
      <c r="K100" s="650">
        <f t="shared" si="17"/>
        <v>2110392.84</v>
      </c>
      <c r="L100" s="650">
        <f t="shared" si="17"/>
        <v>2112776.0299999998</v>
      </c>
      <c r="M100" s="650">
        <f t="shared" si="17"/>
        <v>2520228.5099999998</v>
      </c>
      <c r="N100" s="650">
        <f t="shared" si="17"/>
        <v>3020096.9600000004</v>
      </c>
      <c r="O100" s="650">
        <f t="shared" si="17"/>
        <v>3896683.2100000004</v>
      </c>
      <c r="P100" s="650">
        <f t="shared" si="17"/>
        <v>3566283.27</v>
      </c>
      <c r="Q100" s="650">
        <f t="shared" si="17"/>
        <v>4421590.8099999996</v>
      </c>
      <c r="R100" s="650">
        <f t="shared" si="17"/>
        <v>2456769.61</v>
      </c>
      <c r="S100" s="650">
        <f t="shared" si="17"/>
        <v>2962791.4487500004</v>
      </c>
      <c r="T100" s="602"/>
      <c r="U100" s="637"/>
      <c r="V100" s="637"/>
      <c r="W100" s="637"/>
      <c r="X100" s="638">
        <f>S100</f>
        <v>2962791.4487500004</v>
      </c>
      <c r="Y100" s="615"/>
      <c r="Z100" s="615"/>
    </row>
    <row r="101" spans="1:26">
      <c r="A101" s="622"/>
      <c r="B101" s="622"/>
      <c r="C101" s="623">
        <v>92</v>
      </c>
      <c r="D101" s="624"/>
      <c r="E101" s="680"/>
      <c r="F101" s="626"/>
      <c r="G101" s="708"/>
      <c r="H101" s="628"/>
      <c r="I101" s="628"/>
      <c r="J101" s="629"/>
      <c r="K101" s="630"/>
      <c r="L101" s="631"/>
      <c r="M101" s="632"/>
      <c r="N101" s="633"/>
      <c r="O101" s="634"/>
      <c r="P101" s="635"/>
      <c r="Q101" s="709"/>
      <c r="R101" s="626"/>
      <c r="S101" s="628">
        <f t="shared" si="13"/>
        <v>0</v>
      </c>
      <c r="T101" s="602"/>
      <c r="U101" s="637"/>
      <c r="V101" s="637"/>
      <c r="W101" s="637"/>
      <c r="X101" s="637"/>
      <c r="Y101" s="615"/>
      <c r="Z101" s="615"/>
    </row>
    <row r="102" spans="1:26">
      <c r="A102" s="622" t="s">
        <v>520</v>
      </c>
      <c r="B102" s="622" t="s">
        <v>402</v>
      </c>
      <c r="C102" s="623">
        <v>93</v>
      </c>
      <c r="D102" s="624" t="str">
        <f>+A102</f>
        <v>1732</v>
      </c>
      <c r="E102" s="625" t="s">
        <v>521</v>
      </c>
      <c r="F102" s="626">
        <v>28632000.649999999</v>
      </c>
      <c r="G102" s="708">
        <v>24626907.170000002</v>
      </c>
      <c r="H102" s="628">
        <v>19166796.309999999</v>
      </c>
      <c r="I102" s="628">
        <v>14583859.439999999</v>
      </c>
      <c r="J102" s="629">
        <v>8270183.4000000004</v>
      </c>
      <c r="K102" s="630">
        <v>6024538.3700000001</v>
      </c>
      <c r="L102" s="631">
        <v>4191688.79</v>
      </c>
      <c r="M102" s="632">
        <v>3736720.02</v>
      </c>
      <c r="N102" s="633">
        <v>3243044.16</v>
      </c>
      <c r="O102" s="634">
        <v>4215111.09</v>
      </c>
      <c r="P102" s="635">
        <v>10117737.65</v>
      </c>
      <c r="Q102" s="709">
        <v>16812988.379999999</v>
      </c>
      <c r="R102" s="626">
        <v>32058629.699999999</v>
      </c>
      <c r="S102" s="628">
        <f t="shared" si="13"/>
        <v>12111240.829583332</v>
      </c>
      <c r="T102" s="602"/>
      <c r="U102" s="637"/>
      <c r="V102" s="637"/>
      <c r="W102" s="637"/>
      <c r="X102" s="637"/>
      <c r="Y102" s="615"/>
      <c r="Z102" s="615"/>
    </row>
    <row r="103" spans="1:26">
      <c r="A103" s="622" t="s">
        <v>522</v>
      </c>
      <c r="B103" s="622" t="s">
        <v>402</v>
      </c>
      <c r="C103" s="623">
        <v>94</v>
      </c>
      <c r="D103" s="624" t="str">
        <f>+A103</f>
        <v>1734</v>
      </c>
      <c r="E103" s="625" t="s">
        <v>523</v>
      </c>
      <c r="F103" s="652">
        <v>2108331.48</v>
      </c>
      <c r="G103" s="652">
        <v>2156906.9</v>
      </c>
      <c r="H103" s="652">
        <v>2045199.74</v>
      </c>
      <c r="I103" s="652">
        <v>1946728.53</v>
      </c>
      <c r="J103" s="652">
        <v>1855546.01</v>
      </c>
      <c r="K103" s="652">
        <v>1897697.16</v>
      </c>
      <c r="L103" s="652">
        <v>1936068.23</v>
      </c>
      <c r="M103" s="652">
        <v>1986725.15</v>
      </c>
      <c r="N103" s="652">
        <v>2148185.7000000002</v>
      </c>
      <c r="O103" s="654">
        <v>2331237.4</v>
      </c>
      <c r="P103" s="652">
        <v>2288200.34</v>
      </c>
      <c r="Q103" s="652">
        <v>2267355.81</v>
      </c>
      <c r="R103" s="652">
        <v>2463652.9500000002</v>
      </c>
      <c r="S103" s="628">
        <f t="shared" si="13"/>
        <v>2095486.9320833331</v>
      </c>
      <c r="T103" s="602"/>
      <c r="U103" s="637"/>
      <c r="V103" s="637"/>
      <c r="W103" s="637"/>
      <c r="X103" s="637"/>
      <c r="Y103" s="615"/>
      <c r="Z103" s="615"/>
    </row>
    <row r="104" spans="1:26">
      <c r="A104" s="622"/>
      <c r="B104" s="622"/>
      <c r="C104" s="623">
        <v>95</v>
      </c>
      <c r="D104" s="624"/>
      <c r="E104" s="625" t="s">
        <v>524</v>
      </c>
      <c r="F104" s="650">
        <f>+F102+F103</f>
        <v>30740332.129999999</v>
      </c>
      <c r="G104" s="650">
        <f t="shared" ref="G104:S104" si="18">+G102+G103</f>
        <v>26783814.07</v>
      </c>
      <c r="H104" s="650">
        <f t="shared" si="18"/>
        <v>21211996.049999997</v>
      </c>
      <c r="I104" s="650">
        <f t="shared" si="18"/>
        <v>16530587.969999999</v>
      </c>
      <c r="J104" s="650">
        <f t="shared" si="18"/>
        <v>10125729.41</v>
      </c>
      <c r="K104" s="650">
        <f t="shared" si="18"/>
        <v>7922235.5300000003</v>
      </c>
      <c r="L104" s="650">
        <f t="shared" si="18"/>
        <v>6127757.0199999996</v>
      </c>
      <c r="M104" s="650">
        <f t="shared" si="18"/>
        <v>5723445.1699999999</v>
      </c>
      <c r="N104" s="650">
        <f t="shared" si="18"/>
        <v>5391229.8600000003</v>
      </c>
      <c r="O104" s="650">
        <f t="shared" si="18"/>
        <v>6546348.4900000002</v>
      </c>
      <c r="P104" s="650">
        <f t="shared" si="18"/>
        <v>12405937.99</v>
      </c>
      <c r="Q104" s="650">
        <f t="shared" si="18"/>
        <v>19080344.189999998</v>
      </c>
      <c r="R104" s="650">
        <f t="shared" si="18"/>
        <v>34522282.649999999</v>
      </c>
      <c r="S104" s="650">
        <f t="shared" si="18"/>
        <v>14206727.761666665</v>
      </c>
      <c r="T104" s="602"/>
      <c r="U104" s="638"/>
      <c r="V104" s="637"/>
      <c r="W104" s="637"/>
      <c r="X104" s="638">
        <f>S104</f>
        <v>14206727.761666665</v>
      </c>
      <c r="Y104" s="615"/>
      <c r="Z104" s="615"/>
    </row>
    <row r="105" spans="1:26">
      <c r="A105" s="622"/>
      <c r="B105" s="622"/>
      <c r="C105" s="623">
        <v>96</v>
      </c>
      <c r="D105" s="624"/>
      <c r="E105" s="680"/>
      <c r="F105" s="626"/>
      <c r="G105" s="708"/>
      <c r="H105" s="628"/>
      <c r="I105" s="628"/>
      <c r="J105" s="629"/>
      <c r="K105" s="630"/>
      <c r="L105" s="631"/>
      <c r="M105" s="632"/>
      <c r="N105" s="633"/>
      <c r="O105" s="634"/>
      <c r="P105" s="635"/>
      <c r="Q105" s="709"/>
      <c r="R105" s="626"/>
      <c r="S105" s="628">
        <f t="shared" si="13"/>
        <v>0</v>
      </c>
      <c r="T105" s="602"/>
      <c r="U105" s="637"/>
      <c r="V105" s="637"/>
      <c r="W105" s="637"/>
      <c r="X105" s="637"/>
      <c r="Y105" s="615"/>
      <c r="Z105" s="615"/>
    </row>
    <row r="106" spans="1:26">
      <c r="A106" s="622" t="s">
        <v>525</v>
      </c>
      <c r="B106" s="622" t="s">
        <v>526</v>
      </c>
      <c r="C106" s="623">
        <v>97</v>
      </c>
      <c r="D106" s="624" t="str">
        <f>A106&amp;"."&amp;B106</f>
        <v>1900.[/*6*]</v>
      </c>
      <c r="E106" s="625" t="s">
        <v>527</v>
      </c>
      <c r="F106" s="626">
        <v>1686166.53</v>
      </c>
      <c r="G106" s="708">
        <v>1768090.12</v>
      </c>
      <c r="H106" s="628">
        <v>1850013.76</v>
      </c>
      <c r="I106" s="628">
        <v>1949363.44</v>
      </c>
      <c r="J106" s="629">
        <v>2032506.72</v>
      </c>
      <c r="K106" s="630">
        <v>2115649.98</v>
      </c>
      <c r="L106" s="631">
        <v>2191057.2599999998</v>
      </c>
      <c r="M106" s="632">
        <v>2272911.42</v>
      </c>
      <c r="N106" s="633">
        <v>2354765.66</v>
      </c>
      <c r="O106" s="634">
        <v>2425610.87</v>
      </c>
      <c r="P106" s="635">
        <v>0</v>
      </c>
      <c r="Q106" s="709">
        <v>0</v>
      </c>
      <c r="R106" s="626">
        <v>0</v>
      </c>
      <c r="S106" s="628">
        <f t="shared" si="13"/>
        <v>1650254.3745833335</v>
      </c>
      <c r="T106" s="602"/>
      <c r="U106" s="637"/>
      <c r="V106" s="637"/>
      <c r="W106" s="638"/>
      <c r="X106" s="638">
        <f>S106</f>
        <v>1650254.3745833335</v>
      </c>
      <c r="Y106" s="615"/>
      <c r="Z106" s="615"/>
    </row>
    <row r="107" spans="1:26">
      <c r="A107" s="622" t="s">
        <v>525</v>
      </c>
      <c r="B107" s="622" t="s">
        <v>528</v>
      </c>
      <c r="C107" s="623">
        <v>98</v>
      </c>
      <c r="D107" s="624" t="str">
        <f>A107&amp;"."&amp;B107</f>
        <v>1900.[*6*]</v>
      </c>
      <c r="E107" s="625" t="s">
        <v>529</v>
      </c>
      <c r="F107" s="626">
        <v>24705631</v>
      </c>
      <c r="G107" s="708">
        <v>24634848.52</v>
      </c>
      <c r="H107" s="628">
        <v>24564065.989999998</v>
      </c>
      <c r="I107" s="628">
        <v>24640601.559999999</v>
      </c>
      <c r="J107" s="629">
        <v>24569226.82</v>
      </c>
      <c r="K107" s="630">
        <v>24497852.09</v>
      </c>
      <c r="L107" s="631">
        <v>24350956.390000001</v>
      </c>
      <c r="M107" s="632">
        <v>24266971.73</v>
      </c>
      <c r="N107" s="633">
        <v>24182987.050000001</v>
      </c>
      <c r="O107" s="634">
        <v>24107703.920000002</v>
      </c>
      <c r="P107" s="635">
        <v>26704947.27</v>
      </c>
      <c r="Q107" s="709">
        <v>26662110.949999999</v>
      </c>
      <c r="R107" s="626">
        <v>26488326.940000001</v>
      </c>
      <c r="S107" s="628">
        <f t="shared" si="13"/>
        <v>24898270.938333333</v>
      </c>
      <c r="T107" s="602"/>
      <c r="U107" s="637"/>
      <c r="V107" s="637"/>
      <c r="W107" s="638"/>
      <c r="X107" s="638">
        <f>S107</f>
        <v>24898270.938333333</v>
      </c>
      <c r="Y107" s="615"/>
      <c r="Z107" s="615"/>
    </row>
    <row r="108" spans="1:26">
      <c r="A108" s="622"/>
      <c r="B108" s="622"/>
      <c r="C108" s="623">
        <v>99</v>
      </c>
      <c r="D108" s="624"/>
      <c r="E108" s="680"/>
      <c r="F108" s="626"/>
      <c r="G108" s="708"/>
      <c r="H108" s="628"/>
      <c r="I108" s="628"/>
      <c r="J108" s="629"/>
      <c r="K108" s="630"/>
      <c r="L108" s="631"/>
      <c r="M108" s="632"/>
      <c r="N108" s="633"/>
      <c r="O108" s="634"/>
      <c r="P108" s="635"/>
      <c r="Q108" s="709"/>
      <c r="R108" s="626"/>
      <c r="S108" s="628">
        <f t="shared" si="13"/>
        <v>0</v>
      </c>
      <c r="T108" s="602"/>
      <c r="U108" s="637"/>
      <c r="V108" s="637"/>
      <c r="W108" s="637"/>
      <c r="X108" s="637"/>
      <c r="Y108" s="615"/>
      <c r="Z108" s="615"/>
    </row>
    <row r="109" spans="1:26">
      <c r="A109" s="622" t="s">
        <v>530</v>
      </c>
      <c r="B109" s="622" t="s">
        <v>402</v>
      </c>
      <c r="C109" s="623">
        <v>100</v>
      </c>
      <c r="D109" s="624" t="str">
        <f>+A109</f>
        <v>1910</v>
      </c>
      <c r="E109" s="625" t="s">
        <v>531</v>
      </c>
      <c r="F109" s="626">
        <v>0</v>
      </c>
      <c r="G109" s="708">
        <v>0</v>
      </c>
      <c r="H109" s="628">
        <v>0</v>
      </c>
      <c r="I109" s="628">
        <v>0</v>
      </c>
      <c r="J109" s="629">
        <v>0</v>
      </c>
      <c r="K109" s="630">
        <v>0</v>
      </c>
      <c r="L109" s="631">
        <v>0</v>
      </c>
      <c r="M109" s="632">
        <v>0</v>
      </c>
      <c r="N109" s="633">
        <v>0</v>
      </c>
      <c r="O109" s="634">
        <v>0</v>
      </c>
      <c r="P109" s="635">
        <v>0</v>
      </c>
      <c r="Q109" s="709">
        <v>0</v>
      </c>
      <c r="R109" s="626">
        <v>318120.33</v>
      </c>
      <c r="S109" s="628">
        <f t="shared" si="13"/>
        <v>13255.01375</v>
      </c>
      <c r="T109" s="602"/>
      <c r="U109" s="637"/>
      <c r="V109" s="637"/>
      <c r="W109" s="638">
        <f>S109</f>
        <v>13255.01375</v>
      </c>
      <c r="X109" s="637"/>
      <c r="Y109" s="615"/>
      <c r="Z109" s="615"/>
    </row>
    <row r="110" spans="1:26">
      <c r="A110" s="622"/>
      <c r="B110" s="622"/>
      <c r="C110" s="623">
        <v>101</v>
      </c>
      <c r="D110" s="624"/>
      <c r="E110" s="680"/>
      <c r="F110" s="626"/>
      <c r="G110" s="708"/>
      <c r="H110" s="628"/>
      <c r="I110" s="628"/>
      <c r="J110" s="629"/>
      <c r="K110" s="630"/>
      <c r="L110" s="631"/>
      <c r="M110" s="632"/>
      <c r="N110" s="633"/>
      <c r="O110" s="634"/>
      <c r="P110" s="635"/>
      <c r="Q110" s="709"/>
      <c r="R110" s="626"/>
      <c r="S110" s="628">
        <f t="shared" si="13"/>
        <v>0</v>
      </c>
      <c r="T110" s="602"/>
      <c r="U110" s="637"/>
      <c r="V110" s="637"/>
      <c r="W110" s="637"/>
      <c r="X110" s="637"/>
      <c r="Y110" s="615"/>
      <c r="Z110" s="615"/>
    </row>
    <row r="111" spans="1:26">
      <c r="A111" s="622" t="s">
        <v>532</v>
      </c>
      <c r="B111" s="622" t="s">
        <v>533</v>
      </c>
      <c r="C111" s="623">
        <v>102</v>
      </c>
      <c r="D111" s="624" t="str">
        <f t="shared" ref="D111:D123" si="19">A111&amp;"."&amp;B111</f>
        <v>1810.12</v>
      </c>
      <c r="E111" s="625" t="s">
        <v>534</v>
      </c>
      <c r="F111" s="626">
        <v>78604.129999999903</v>
      </c>
      <c r="G111" s="708">
        <v>78044.67</v>
      </c>
      <c r="H111" s="628">
        <v>77485.210000000006</v>
      </c>
      <c r="I111" s="628">
        <v>76925.75</v>
      </c>
      <c r="J111" s="629">
        <v>76366.289999999994</v>
      </c>
      <c r="K111" s="630">
        <v>75806.83</v>
      </c>
      <c r="L111" s="631">
        <v>75247.37</v>
      </c>
      <c r="M111" s="632">
        <v>74687.91</v>
      </c>
      <c r="N111" s="633">
        <v>74128.45</v>
      </c>
      <c r="O111" s="634">
        <v>73568.989999999903</v>
      </c>
      <c r="P111" s="635">
        <v>73009.529999999897</v>
      </c>
      <c r="Q111" s="709">
        <v>72450.069999999905</v>
      </c>
      <c r="R111" s="626">
        <v>71890.609999999899</v>
      </c>
      <c r="S111" s="628">
        <f t="shared" si="13"/>
        <v>75247.369999999966</v>
      </c>
      <c r="T111" s="602"/>
      <c r="U111" s="637"/>
      <c r="V111" s="637"/>
      <c r="W111" s="637"/>
      <c r="X111" s="637"/>
      <c r="Y111" s="615"/>
      <c r="Z111" s="615"/>
    </row>
    <row r="112" spans="1:26">
      <c r="A112" s="622" t="s">
        <v>532</v>
      </c>
      <c r="B112" s="622" t="s">
        <v>535</v>
      </c>
      <c r="C112" s="623">
        <v>103</v>
      </c>
      <c r="D112" s="624" t="str">
        <f t="shared" si="19"/>
        <v>1810.13</v>
      </c>
      <c r="E112" s="625" t="s">
        <v>536</v>
      </c>
      <c r="F112" s="626">
        <v>66295.419999999896</v>
      </c>
      <c r="G112" s="708">
        <v>65875.820000000007</v>
      </c>
      <c r="H112" s="628">
        <v>65456.22</v>
      </c>
      <c r="I112" s="628">
        <v>65036.62</v>
      </c>
      <c r="J112" s="629">
        <v>64617.02</v>
      </c>
      <c r="K112" s="630">
        <v>64197.42</v>
      </c>
      <c r="L112" s="631">
        <v>63777.82</v>
      </c>
      <c r="M112" s="632">
        <v>63358.22</v>
      </c>
      <c r="N112" s="633">
        <v>62938.62</v>
      </c>
      <c r="O112" s="634">
        <v>62519.02</v>
      </c>
      <c r="P112" s="635">
        <v>62099.42</v>
      </c>
      <c r="Q112" s="709">
        <v>61679.82</v>
      </c>
      <c r="R112" s="626">
        <v>61260.22</v>
      </c>
      <c r="S112" s="628">
        <f t="shared" si="13"/>
        <v>63777.82</v>
      </c>
      <c r="T112" s="602"/>
      <c r="U112" s="637"/>
      <c r="V112" s="637"/>
      <c r="W112" s="637"/>
      <c r="X112" s="637"/>
      <c r="Y112" s="615"/>
      <c r="Z112" s="615"/>
    </row>
    <row r="113" spans="1:26">
      <c r="A113" s="622" t="s">
        <v>532</v>
      </c>
      <c r="B113" s="622" t="s">
        <v>537</v>
      </c>
      <c r="C113" s="623">
        <v>104</v>
      </c>
      <c r="D113" s="624" t="str">
        <f t="shared" si="19"/>
        <v>1810.17</v>
      </c>
      <c r="E113" s="625" t="s">
        <v>538</v>
      </c>
      <c r="F113" s="626">
        <v>1240690.05</v>
      </c>
      <c r="G113" s="708">
        <v>1235272.18</v>
      </c>
      <c r="H113" s="628">
        <v>1229854.31</v>
      </c>
      <c r="I113" s="628">
        <v>1224436.44</v>
      </c>
      <c r="J113" s="629">
        <v>1219018.57</v>
      </c>
      <c r="K113" s="630">
        <v>1213600.7</v>
      </c>
      <c r="L113" s="631">
        <v>1208182.83</v>
      </c>
      <c r="M113" s="632">
        <v>1202764.96</v>
      </c>
      <c r="N113" s="633">
        <v>1197347.0900000001</v>
      </c>
      <c r="O113" s="634">
        <v>1191929.22</v>
      </c>
      <c r="P113" s="635">
        <v>1186511.3500000001</v>
      </c>
      <c r="Q113" s="709">
        <v>1181093.48</v>
      </c>
      <c r="R113" s="626">
        <v>1175675.6100000001</v>
      </c>
      <c r="S113" s="628">
        <f t="shared" si="13"/>
        <v>1208182.83</v>
      </c>
      <c r="T113" s="602"/>
      <c r="U113" s="637"/>
      <c r="V113" s="637"/>
      <c r="W113" s="637"/>
      <c r="X113" s="637"/>
      <c r="Y113" s="615"/>
      <c r="Z113" s="615"/>
    </row>
    <row r="114" spans="1:26">
      <c r="A114" s="622" t="s">
        <v>532</v>
      </c>
      <c r="B114" s="622" t="s">
        <v>539</v>
      </c>
      <c r="C114" s="623">
        <v>105</v>
      </c>
      <c r="D114" s="624" t="str">
        <f t="shared" si="19"/>
        <v>1810.18</v>
      </c>
      <c r="E114" s="625" t="s">
        <v>540</v>
      </c>
      <c r="F114" s="626">
        <v>73826.64</v>
      </c>
      <c r="G114" s="708">
        <v>72478.58</v>
      </c>
      <c r="H114" s="628">
        <v>71130.52</v>
      </c>
      <c r="I114" s="628">
        <v>69782.460000000006</v>
      </c>
      <c r="J114" s="629">
        <v>68434.399999999994</v>
      </c>
      <c r="K114" s="630">
        <v>67086.34</v>
      </c>
      <c r="L114" s="631">
        <v>65738.28</v>
      </c>
      <c r="M114" s="632">
        <v>64390.22</v>
      </c>
      <c r="N114" s="633">
        <v>63042.16</v>
      </c>
      <c r="O114" s="634">
        <v>61694.1</v>
      </c>
      <c r="P114" s="635">
        <v>60346.04</v>
      </c>
      <c r="Q114" s="709">
        <v>58997.98</v>
      </c>
      <c r="R114" s="626">
        <v>57649.919999999998</v>
      </c>
      <c r="S114" s="628">
        <f t="shared" si="13"/>
        <v>65738.28</v>
      </c>
      <c r="T114" s="602"/>
      <c r="U114" s="637"/>
      <c r="V114" s="637"/>
      <c r="W114" s="637"/>
      <c r="X114" s="637"/>
      <c r="Y114" s="615"/>
      <c r="Z114" s="615"/>
    </row>
    <row r="115" spans="1:26">
      <c r="A115" s="622" t="s">
        <v>532</v>
      </c>
      <c r="B115" s="622" t="s">
        <v>541</v>
      </c>
      <c r="C115" s="623">
        <v>106</v>
      </c>
      <c r="D115" s="624" t="str">
        <f t="shared" si="19"/>
        <v>1810.19</v>
      </c>
      <c r="E115" s="625" t="s">
        <v>542</v>
      </c>
      <c r="F115" s="626">
        <v>164515.07999999999</v>
      </c>
      <c r="G115" s="708">
        <v>163867.57999999999</v>
      </c>
      <c r="H115" s="628">
        <v>163220.07999999999</v>
      </c>
      <c r="I115" s="628">
        <v>162572.57999999999</v>
      </c>
      <c r="J115" s="629">
        <v>161925.07999999999</v>
      </c>
      <c r="K115" s="630">
        <v>161277.57999999999</v>
      </c>
      <c r="L115" s="631">
        <v>160630.07999999999</v>
      </c>
      <c r="M115" s="632">
        <v>159982.57999999999</v>
      </c>
      <c r="N115" s="633">
        <v>159335.07999999999</v>
      </c>
      <c r="O115" s="634">
        <v>158687.57999999999</v>
      </c>
      <c r="P115" s="635">
        <v>158040.07999999999</v>
      </c>
      <c r="Q115" s="709">
        <v>157392.57999999999</v>
      </c>
      <c r="R115" s="626">
        <v>156745.07999999999</v>
      </c>
      <c r="S115" s="628">
        <f t="shared" si="13"/>
        <v>160630.08000000002</v>
      </c>
      <c r="T115" s="602"/>
      <c r="U115" s="637"/>
      <c r="V115" s="637"/>
      <c r="W115" s="637"/>
      <c r="X115" s="637"/>
      <c r="Y115" s="615"/>
      <c r="Z115" s="615"/>
    </row>
    <row r="116" spans="1:26">
      <c r="A116" s="622" t="s">
        <v>532</v>
      </c>
      <c r="B116" s="622" t="s">
        <v>543</v>
      </c>
      <c r="C116" s="623">
        <v>107</v>
      </c>
      <c r="D116" s="624" t="str">
        <f t="shared" si="19"/>
        <v>1810.20</v>
      </c>
      <c r="E116" s="713" t="s">
        <v>544</v>
      </c>
      <c r="F116" s="626">
        <v>120596.71</v>
      </c>
      <c r="G116" s="708">
        <v>119548.04</v>
      </c>
      <c r="H116" s="628">
        <v>118499.37</v>
      </c>
      <c r="I116" s="628">
        <v>117450.7</v>
      </c>
      <c r="J116" s="629">
        <v>116402.03</v>
      </c>
      <c r="K116" s="630">
        <v>115353.36</v>
      </c>
      <c r="L116" s="631">
        <v>114304.69</v>
      </c>
      <c r="M116" s="632">
        <v>113256.02</v>
      </c>
      <c r="N116" s="633">
        <v>112207.35</v>
      </c>
      <c r="O116" s="634">
        <v>111158.68</v>
      </c>
      <c r="P116" s="635">
        <v>110110.01</v>
      </c>
      <c r="Q116" s="709">
        <v>109061.34</v>
      </c>
      <c r="R116" s="626">
        <v>108012.67</v>
      </c>
      <c r="S116" s="628">
        <f t="shared" si="13"/>
        <v>114304.69</v>
      </c>
      <c r="T116" s="602"/>
      <c r="U116" s="637"/>
      <c r="V116" s="637"/>
      <c r="W116" s="637"/>
      <c r="X116" s="637"/>
      <c r="Y116" s="615"/>
      <c r="Z116" s="615"/>
    </row>
    <row r="117" spans="1:26">
      <c r="A117" s="622" t="s">
        <v>532</v>
      </c>
      <c r="B117" s="622" t="s">
        <v>545</v>
      </c>
      <c r="C117" s="623">
        <v>108</v>
      </c>
      <c r="D117" s="624" t="str">
        <f t="shared" si="19"/>
        <v>1810.21</v>
      </c>
      <c r="E117" s="713" t="s">
        <v>546</v>
      </c>
      <c r="F117" s="626">
        <v>126678.97</v>
      </c>
      <c r="G117" s="708">
        <v>125840.04</v>
      </c>
      <c r="H117" s="628">
        <v>125001.11</v>
      </c>
      <c r="I117" s="628">
        <v>124162.18</v>
      </c>
      <c r="J117" s="629">
        <v>123323.25</v>
      </c>
      <c r="K117" s="630">
        <v>122484.32</v>
      </c>
      <c r="L117" s="631">
        <v>121645.39</v>
      </c>
      <c r="M117" s="632">
        <v>120806.46</v>
      </c>
      <c r="N117" s="633">
        <v>119967.53</v>
      </c>
      <c r="O117" s="634">
        <v>119128.6</v>
      </c>
      <c r="P117" s="635">
        <v>118289.67</v>
      </c>
      <c r="Q117" s="709">
        <v>117450.74</v>
      </c>
      <c r="R117" s="626">
        <v>116611.81</v>
      </c>
      <c r="S117" s="628">
        <f t="shared" si="13"/>
        <v>121645.38999999997</v>
      </c>
      <c r="T117" s="602"/>
      <c r="U117" s="637"/>
      <c r="V117" s="637"/>
      <c r="W117" s="637"/>
      <c r="X117" s="637"/>
      <c r="Y117" s="615"/>
      <c r="Z117" s="615"/>
    </row>
    <row r="118" spans="1:26">
      <c r="A118" s="622" t="s">
        <v>532</v>
      </c>
      <c r="B118" s="622" t="s">
        <v>506</v>
      </c>
      <c r="C118" s="623">
        <v>109</v>
      </c>
      <c r="D118" s="624" t="str">
        <f t="shared" si="19"/>
        <v>1810.22</v>
      </c>
      <c r="E118" s="713" t="s">
        <v>547</v>
      </c>
      <c r="F118" s="655">
        <v>103750.1</v>
      </c>
      <c r="G118" s="708">
        <v>100291.77</v>
      </c>
      <c r="H118" s="657">
        <v>96833.44</v>
      </c>
      <c r="I118" s="657">
        <v>93375.11</v>
      </c>
      <c r="J118" s="658">
        <v>89916.78</v>
      </c>
      <c r="K118" s="659">
        <v>86458.45</v>
      </c>
      <c r="L118" s="660">
        <v>83000.12</v>
      </c>
      <c r="M118" s="661">
        <v>79541.789999999994</v>
      </c>
      <c r="N118" s="662">
        <v>76083.460000000006</v>
      </c>
      <c r="O118" s="663">
        <v>72625.13</v>
      </c>
      <c r="P118" s="664">
        <v>69166.8</v>
      </c>
      <c r="Q118" s="714">
        <v>65708.47</v>
      </c>
      <c r="R118" s="655">
        <v>62250.14</v>
      </c>
      <c r="S118" s="628">
        <f t="shared" si="13"/>
        <v>83000.12</v>
      </c>
      <c r="T118" s="602"/>
      <c r="U118" s="637"/>
      <c r="V118" s="637"/>
      <c r="W118" s="637"/>
      <c r="X118" s="637"/>
      <c r="Y118" s="615"/>
      <c r="Z118" s="615"/>
    </row>
    <row r="119" spans="1:26">
      <c r="A119" s="622" t="s">
        <v>532</v>
      </c>
      <c r="B119" s="622" t="s">
        <v>548</v>
      </c>
      <c r="C119" s="623">
        <v>110</v>
      </c>
      <c r="D119" s="624" t="str">
        <f t="shared" si="19"/>
        <v>1810.23</v>
      </c>
      <c r="E119" s="713" t="s">
        <v>549</v>
      </c>
      <c r="F119" s="663">
        <v>61144.39</v>
      </c>
      <c r="G119" s="634">
        <v>60967.67</v>
      </c>
      <c r="H119" s="634">
        <v>60790.95</v>
      </c>
      <c r="I119" s="634">
        <v>59506.01</v>
      </c>
      <c r="J119" s="703">
        <v>59332.52</v>
      </c>
      <c r="K119" s="703">
        <v>59159.03</v>
      </c>
      <c r="L119" s="634">
        <v>58985.54</v>
      </c>
      <c r="M119" s="634">
        <v>58812.05</v>
      </c>
      <c r="N119" s="634">
        <v>58638.559999999998</v>
      </c>
      <c r="O119" s="634">
        <v>58465.07</v>
      </c>
      <c r="P119" s="663">
        <v>58291.58</v>
      </c>
      <c r="Q119" s="663">
        <v>58118.09</v>
      </c>
      <c r="R119" s="663">
        <v>57944.6</v>
      </c>
      <c r="S119" s="628">
        <f t="shared" si="13"/>
        <v>59217.630416666652</v>
      </c>
      <c r="T119" s="602"/>
      <c r="U119" s="637"/>
      <c r="V119" s="637"/>
      <c r="W119" s="637"/>
      <c r="X119" s="637"/>
      <c r="Y119" s="615"/>
      <c r="Z119" s="615"/>
    </row>
    <row r="120" spans="1:26">
      <c r="A120" s="622" t="s">
        <v>532</v>
      </c>
      <c r="B120" s="622" t="s">
        <v>550</v>
      </c>
      <c r="C120" s="623">
        <v>111</v>
      </c>
      <c r="D120" s="624" t="str">
        <f t="shared" si="19"/>
        <v>1810.24</v>
      </c>
      <c r="E120" s="713" t="s">
        <v>551</v>
      </c>
      <c r="F120" s="663">
        <v>60452.25</v>
      </c>
      <c r="G120" s="634">
        <v>60322.52</v>
      </c>
      <c r="H120" s="634">
        <v>60192.79</v>
      </c>
      <c r="I120" s="634">
        <v>58941.24</v>
      </c>
      <c r="J120" s="703">
        <v>58813.94</v>
      </c>
      <c r="K120" s="703">
        <v>58686.64</v>
      </c>
      <c r="L120" s="634">
        <v>58559.34</v>
      </c>
      <c r="M120" s="634">
        <v>58432.04</v>
      </c>
      <c r="N120" s="634">
        <v>58304.74</v>
      </c>
      <c r="O120" s="663">
        <v>58177.440000000002</v>
      </c>
      <c r="P120" s="663">
        <v>58050.14</v>
      </c>
      <c r="Q120" s="663">
        <v>57922.84</v>
      </c>
      <c r="R120" s="663">
        <v>57795.54</v>
      </c>
      <c r="S120" s="628">
        <f t="shared" si="13"/>
        <v>58793.963749999995</v>
      </c>
      <c r="T120" s="602"/>
      <c r="U120" s="637"/>
      <c r="V120" s="637"/>
      <c r="W120" s="637"/>
      <c r="X120" s="637"/>
      <c r="Y120" s="615"/>
      <c r="Z120" s="615"/>
    </row>
    <row r="121" spans="1:26">
      <c r="A121" s="622" t="s">
        <v>532</v>
      </c>
      <c r="B121" s="622" t="s">
        <v>552</v>
      </c>
      <c r="C121" s="623">
        <v>112</v>
      </c>
      <c r="D121" s="624" t="str">
        <f t="shared" si="19"/>
        <v>1810.25</v>
      </c>
      <c r="E121" s="713" t="s">
        <v>551</v>
      </c>
      <c r="F121" s="663">
        <v>61497.83</v>
      </c>
      <c r="G121" s="634">
        <v>61321.11</v>
      </c>
      <c r="H121" s="634">
        <v>61144.39</v>
      </c>
      <c r="I121" s="634">
        <v>59852.99</v>
      </c>
      <c r="J121" s="703">
        <v>59679.5</v>
      </c>
      <c r="K121" s="703">
        <v>59506.01</v>
      </c>
      <c r="L121" s="634">
        <v>59332.52</v>
      </c>
      <c r="M121" s="634">
        <v>59159.03</v>
      </c>
      <c r="N121" s="634">
        <v>58985.54</v>
      </c>
      <c r="O121" s="663">
        <v>58812.05</v>
      </c>
      <c r="P121" s="663">
        <v>58638.559999999998</v>
      </c>
      <c r="Q121" s="663">
        <v>58465.07</v>
      </c>
      <c r="R121" s="663">
        <v>58291.58</v>
      </c>
      <c r="S121" s="628">
        <f t="shared" si="13"/>
        <v>59565.956249999988</v>
      </c>
      <c r="T121" s="602"/>
      <c r="U121" s="637"/>
      <c r="V121" s="637"/>
      <c r="W121" s="637"/>
      <c r="X121" s="637"/>
      <c r="Y121" s="615"/>
      <c r="Z121" s="615"/>
    </row>
    <row r="122" spans="1:26">
      <c r="A122" s="622" t="s">
        <v>532</v>
      </c>
      <c r="B122" s="622" t="s">
        <v>553</v>
      </c>
      <c r="C122" s="623">
        <v>113</v>
      </c>
      <c r="D122" s="624" t="str">
        <f t="shared" si="19"/>
        <v>1810.26</v>
      </c>
      <c r="E122" s="713" t="s">
        <v>551</v>
      </c>
      <c r="F122" s="663">
        <v>60711.71</v>
      </c>
      <c r="G122" s="663">
        <v>60581.98</v>
      </c>
      <c r="H122" s="663">
        <v>60452.25</v>
      </c>
      <c r="I122" s="663">
        <v>59195.839999999997</v>
      </c>
      <c r="J122" s="715">
        <v>59068.54</v>
      </c>
      <c r="K122" s="715">
        <v>58941.24</v>
      </c>
      <c r="L122" s="663">
        <v>58813.94</v>
      </c>
      <c r="M122" s="663">
        <v>58686.64</v>
      </c>
      <c r="N122" s="663">
        <v>58559.34</v>
      </c>
      <c r="O122" s="663">
        <v>58432.04</v>
      </c>
      <c r="P122" s="663">
        <v>58304.74</v>
      </c>
      <c r="Q122" s="663">
        <v>58177.440000000002</v>
      </c>
      <c r="R122" s="663">
        <v>58050.14</v>
      </c>
      <c r="S122" s="628">
        <f t="shared" si="13"/>
        <v>59049.576250000006</v>
      </c>
      <c r="T122" s="602"/>
      <c r="U122" s="637"/>
      <c r="V122" s="637"/>
      <c r="W122" s="637"/>
      <c r="X122" s="637"/>
      <c r="Y122" s="615"/>
      <c r="Z122" s="615"/>
    </row>
    <row r="123" spans="1:26">
      <c r="A123" s="622" t="s">
        <v>532</v>
      </c>
      <c r="B123" s="622" t="s">
        <v>976</v>
      </c>
      <c r="C123" s="623">
        <v>114</v>
      </c>
      <c r="D123" s="624" t="str">
        <f t="shared" si="19"/>
        <v>1810.99</v>
      </c>
      <c r="E123" s="713" t="s">
        <v>977</v>
      </c>
      <c r="F123" s="674"/>
      <c r="G123" s="634">
        <v>-2104120.19</v>
      </c>
      <c r="H123" s="674">
        <v>-2093227.2</v>
      </c>
      <c r="I123" s="674">
        <v>-2077862.81</v>
      </c>
      <c r="J123" s="716">
        <v>-2066981.14</v>
      </c>
      <c r="K123" s="716">
        <v>-2056099.47</v>
      </c>
      <c r="L123" s="674">
        <v>-2045217.8</v>
      </c>
      <c r="M123" s="674">
        <v>-2034336.13</v>
      </c>
      <c r="N123" s="674">
        <v>-2023454.46</v>
      </c>
      <c r="O123" s="674">
        <v>-2012572.79</v>
      </c>
      <c r="P123" s="674">
        <v>-2001691.12</v>
      </c>
      <c r="Q123" s="674">
        <v>-1990809.45</v>
      </c>
      <c r="R123" s="674">
        <v>-1979927.78</v>
      </c>
      <c r="S123" s="628">
        <f t="shared" si="13"/>
        <v>-1958028.0374999999</v>
      </c>
      <c r="T123" s="602"/>
      <c r="U123" s="637"/>
      <c r="V123" s="637"/>
      <c r="W123" s="637"/>
      <c r="X123" s="637"/>
      <c r="Y123" s="615"/>
      <c r="Z123" s="615"/>
    </row>
    <row r="124" spans="1:26">
      <c r="A124" s="622"/>
      <c r="B124" s="622"/>
      <c r="C124" s="623">
        <v>115</v>
      </c>
      <c r="D124" s="624"/>
      <c r="E124" s="717" t="s">
        <v>554</v>
      </c>
      <c r="F124" s="626">
        <f>SUM(F111:F123)</f>
        <v>2218763.2799999998</v>
      </c>
      <c r="G124" s="626">
        <f t="shared" ref="G124:S124" si="20">SUM(G111:G123)</f>
        <v>100291.77000000002</v>
      </c>
      <c r="H124" s="626">
        <f t="shared" si="20"/>
        <v>96833.440000000177</v>
      </c>
      <c r="I124" s="626">
        <f t="shared" si="20"/>
        <v>93375.10999999987</v>
      </c>
      <c r="J124" s="626">
        <f t="shared" si="20"/>
        <v>89916.780000000028</v>
      </c>
      <c r="K124" s="626">
        <f t="shared" si="20"/>
        <v>86458.450000000419</v>
      </c>
      <c r="L124" s="626">
        <f t="shared" si="20"/>
        <v>83000.120000000345</v>
      </c>
      <c r="M124" s="626">
        <f t="shared" si="20"/>
        <v>79541.790000000037</v>
      </c>
      <c r="N124" s="626">
        <f t="shared" si="20"/>
        <v>76083.460000000428</v>
      </c>
      <c r="O124" s="626">
        <f t="shared" si="20"/>
        <v>72625.130000000354</v>
      </c>
      <c r="P124" s="626">
        <f t="shared" si="20"/>
        <v>69166.800000000047</v>
      </c>
      <c r="Q124" s="626">
        <f t="shared" si="20"/>
        <v>65708.470000000205</v>
      </c>
      <c r="R124" s="626">
        <f t="shared" si="20"/>
        <v>62250.139999999898</v>
      </c>
      <c r="S124" s="626">
        <f t="shared" si="20"/>
        <v>171125.66916666715</v>
      </c>
      <c r="T124" s="602"/>
      <c r="U124" s="638">
        <f>S124</f>
        <v>171125.66916666715</v>
      </c>
      <c r="V124" s="638"/>
      <c r="W124" s="637"/>
      <c r="X124" s="637"/>
      <c r="Y124" s="615"/>
      <c r="Z124" s="615"/>
    </row>
    <row r="125" spans="1:26">
      <c r="A125" s="622"/>
      <c r="B125" s="622"/>
      <c r="C125" s="623">
        <v>116</v>
      </c>
      <c r="D125" s="624"/>
      <c r="E125" s="718"/>
      <c r="F125" s="626"/>
      <c r="G125" s="708"/>
      <c r="H125" s="628"/>
      <c r="I125" s="628"/>
      <c r="J125" s="629"/>
      <c r="K125" s="630"/>
      <c r="L125" s="631"/>
      <c r="M125" s="632"/>
      <c r="N125" s="633"/>
      <c r="O125" s="634"/>
      <c r="P125" s="635"/>
      <c r="Q125" s="709"/>
      <c r="R125" s="626"/>
      <c r="S125" s="628">
        <f t="shared" si="13"/>
        <v>0</v>
      </c>
      <c r="T125" s="602"/>
      <c r="U125" s="637"/>
      <c r="V125" s="637"/>
      <c r="W125" s="637"/>
      <c r="X125" s="637"/>
      <c r="Y125" s="615"/>
      <c r="Z125" s="615"/>
    </row>
    <row r="126" spans="1:26">
      <c r="A126" s="622" t="s">
        <v>555</v>
      </c>
      <c r="B126" s="622" t="s">
        <v>516</v>
      </c>
      <c r="C126" s="623">
        <v>117</v>
      </c>
      <c r="D126" s="624" t="str">
        <f>A126&amp;"."&amp;B126</f>
        <v>1890.01</v>
      </c>
      <c r="E126" s="717" t="s">
        <v>556</v>
      </c>
      <c r="F126" s="626">
        <v>0</v>
      </c>
      <c r="G126" s="708">
        <v>0</v>
      </c>
      <c r="H126" s="628">
        <v>0</v>
      </c>
      <c r="I126" s="628">
        <v>0</v>
      </c>
      <c r="J126" s="629">
        <v>0</v>
      </c>
      <c r="K126" s="630">
        <v>0</v>
      </c>
      <c r="L126" s="631">
        <v>0</v>
      </c>
      <c r="M126" s="632">
        <v>0</v>
      </c>
      <c r="N126" s="633">
        <v>0</v>
      </c>
      <c r="O126" s="634">
        <v>0</v>
      </c>
      <c r="P126" s="635">
        <v>0</v>
      </c>
      <c r="Q126" s="709">
        <v>0</v>
      </c>
      <c r="R126" s="626">
        <v>0</v>
      </c>
      <c r="S126" s="628">
        <f t="shared" si="13"/>
        <v>0</v>
      </c>
      <c r="T126" s="602"/>
      <c r="U126" s="637"/>
      <c r="V126" s="637"/>
      <c r="W126" s="637"/>
      <c r="X126" s="637"/>
      <c r="Y126" s="615"/>
      <c r="Z126" s="615"/>
    </row>
    <row r="127" spans="1:26">
      <c r="A127" s="622" t="s">
        <v>555</v>
      </c>
      <c r="B127" s="622" t="s">
        <v>496</v>
      </c>
      <c r="C127" s="623">
        <v>118</v>
      </c>
      <c r="D127" s="624" t="str">
        <f>A127&amp;"."&amp;B127</f>
        <v>1890.02</v>
      </c>
      <c r="E127" s="625" t="s">
        <v>557</v>
      </c>
      <c r="F127" s="626">
        <v>0</v>
      </c>
      <c r="G127" s="708">
        <v>0</v>
      </c>
      <c r="H127" s="628">
        <v>0</v>
      </c>
      <c r="I127" s="628">
        <v>0</v>
      </c>
      <c r="J127" s="629">
        <v>0</v>
      </c>
      <c r="K127" s="630">
        <v>0</v>
      </c>
      <c r="L127" s="631">
        <v>0</v>
      </c>
      <c r="M127" s="632">
        <v>0</v>
      </c>
      <c r="N127" s="633">
        <v>0</v>
      </c>
      <c r="O127" s="634">
        <v>0</v>
      </c>
      <c r="P127" s="635">
        <v>0</v>
      </c>
      <c r="Q127" s="709">
        <v>0</v>
      </c>
      <c r="R127" s="626">
        <v>0</v>
      </c>
      <c r="S127" s="628">
        <f t="shared" si="13"/>
        <v>0</v>
      </c>
      <c r="T127" s="602"/>
      <c r="U127" s="637"/>
      <c r="V127" s="637"/>
      <c r="W127" s="637"/>
      <c r="X127" s="637"/>
      <c r="Y127" s="615"/>
      <c r="Z127" s="615"/>
    </row>
    <row r="128" spans="1:26">
      <c r="A128" s="622" t="s">
        <v>555</v>
      </c>
      <c r="B128" s="622" t="s">
        <v>558</v>
      </c>
      <c r="C128" s="623">
        <v>119</v>
      </c>
      <c r="D128" s="624" t="str">
        <f>A128&amp;"."&amp;B128</f>
        <v>1890.03</v>
      </c>
      <c r="E128" s="625" t="s">
        <v>559</v>
      </c>
      <c r="F128" s="626">
        <v>0</v>
      </c>
      <c r="G128" s="708">
        <v>0</v>
      </c>
      <c r="H128" s="628">
        <v>0</v>
      </c>
      <c r="I128" s="628">
        <v>0</v>
      </c>
      <c r="J128" s="629">
        <v>0</v>
      </c>
      <c r="K128" s="630">
        <v>0</v>
      </c>
      <c r="L128" s="631">
        <v>0</v>
      </c>
      <c r="M128" s="632">
        <v>0</v>
      </c>
      <c r="N128" s="633">
        <v>0</v>
      </c>
      <c r="O128" s="634">
        <v>0</v>
      </c>
      <c r="P128" s="635">
        <v>0</v>
      </c>
      <c r="Q128" s="709">
        <v>0</v>
      </c>
      <c r="R128" s="626">
        <v>0</v>
      </c>
      <c r="S128" s="628">
        <f t="shared" si="13"/>
        <v>0</v>
      </c>
      <c r="T128" s="602"/>
      <c r="U128" s="637"/>
      <c r="V128" s="637"/>
      <c r="W128" s="637"/>
      <c r="X128" s="637"/>
      <c r="Y128" s="615"/>
      <c r="Z128" s="615"/>
    </row>
    <row r="129" spans="1:26">
      <c r="A129" s="622" t="s">
        <v>555</v>
      </c>
      <c r="B129" s="622" t="s">
        <v>560</v>
      </c>
      <c r="C129" s="623">
        <v>120</v>
      </c>
      <c r="D129" s="624" t="str">
        <f>A129&amp;"."&amp;B129</f>
        <v>1890.04</v>
      </c>
      <c r="E129" s="625" t="s">
        <v>561</v>
      </c>
      <c r="F129" s="626">
        <v>867212.39</v>
      </c>
      <c r="G129" s="708">
        <v>863798.17</v>
      </c>
      <c r="H129" s="628">
        <v>860383.95</v>
      </c>
      <c r="I129" s="628">
        <v>856969.73</v>
      </c>
      <c r="J129" s="629">
        <v>853555.51</v>
      </c>
      <c r="K129" s="630">
        <v>850141.29</v>
      </c>
      <c r="L129" s="631">
        <v>846727.07</v>
      </c>
      <c r="M129" s="632">
        <v>843312.85</v>
      </c>
      <c r="N129" s="633">
        <v>839898.63</v>
      </c>
      <c r="O129" s="634">
        <v>836484.41</v>
      </c>
      <c r="P129" s="635">
        <v>833070.19</v>
      </c>
      <c r="Q129" s="709">
        <v>829655.97</v>
      </c>
      <c r="R129" s="626">
        <v>826241.75</v>
      </c>
      <c r="S129" s="628">
        <f t="shared" si="13"/>
        <v>846727.07000000018</v>
      </c>
      <c r="T129" s="602"/>
      <c r="U129" s="637"/>
      <c r="V129" s="637"/>
      <c r="W129" s="637"/>
      <c r="X129" s="637"/>
      <c r="Y129" s="615"/>
      <c r="Z129" s="615"/>
    </row>
    <row r="130" spans="1:26">
      <c r="A130" s="622" t="s">
        <v>555</v>
      </c>
      <c r="B130" s="622"/>
      <c r="C130" s="623">
        <v>121</v>
      </c>
      <c r="D130" s="624"/>
      <c r="E130" s="625" t="s">
        <v>562</v>
      </c>
      <c r="F130" s="626">
        <v>0</v>
      </c>
      <c r="G130" s="719">
        <v>0</v>
      </c>
      <c r="H130" s="628">
        <v>0</v>
      </c>
      <c r="I130" s="628">
        <v>0</v>
      </c>
      <c r="J130" s="629">
        <v>0</v>
      </c>
      <c r="K130" s="630">
        <v>0</v>
      </c>
      <c r="L130" s="631">
        <v>0</v>
      </c>
      <c r="M130" s="632">
        <v>0</v>
      </c>
      <c r="N130" s="633">
        <v>0</v>
      </c>
      <c r="O130" s="634">
        <v>0</v>
      </c>
      <c r="P130" s="635">
        <v>0</v>
      </c>
      <c r="Q130" s="714">
        <v>0</v>
      </c>
      <c r="R130" s="626">
        <v>0</v>
      </c>
      <c r="S130" s="628">
        <f t="shared" si="13"/>
        <v>0</v>
      </c>
      <c r="T130" s="602"/>
      <c r="U130" s="637"/>
      <c r="V130" s="637"/>
      <c r="W130" s="637"/>
      <c r="X130" s="637"/>
      <c r="Y130" s="615"/>
      <c r="Z130" s="615"/>
    </row>
    <row r="131" spans="1:26">
      <c r="A131" s="622"/>
      <c r="B131" s="622"/>
      <c r="C131" s="623">
        <v>122</v>
      </c>
      <c r="D131" s="624"/>
      <c r="E131" s="625"/>
      <c r="F131" s="639"/>
      <c r="G131" s="711"/>
      <c r="H131" s="641"/>
      <c r="I131" s="641"/>
      <c r="J131" s="642"/>
      <c r="K131" s="643"/>
      <c r="L131" s="644"/>
      <c r="M131" s="645"/>
      <c r="N131" s="646"/>
      <c r="O131" s="647"/>
      <c r="P131" s="648"/>
      <c r="Q131" s="712"/>
      <c r="R131" s="639"/>
      <c r="S131" s="628">
        <f t="shared" si="13"/>
        <v>0</v>
      </c>
      <c r="T131" s="602"/>
      <c r="U131" s="637"/>
      <c r="V131" s="637"/>
      <c r="W131" s="637"/>
      <c r="X131" s="637"/>
      <c r="Y131" s="615"/>
      <c r="Z131" s="615"/>
    </row>
    <row r="132" spans="1:26">
      <c r="A132" s="622"/>
      <c r="B132" s="622"/>
      <c r="C132" s="623">
        <v>123</v>
      </c>
      <c r="D132" s="624"/>
      <c r="E132" s="625" t="s">
        <v>554</v>
      </c>
      <c r="F132" s="650">
        <f>SUM(F126:F130)</f>
        <v>867212.39</v>
      </c>
      <c r="G132" s="650">
        <f t="shared" ref="G132:S132" si="21">SUM(G126:G130)</f>
        <v>863798.17</v>
      </c>
      <c r="H132" s="650">
        <f t="shared" si="21"/>
        <v>860383.95</v>
      </c>
      <c r="I132" s="650">
        <f t="shared" si="21"/>
        <v>856969.73</v>
      </c>
      <c r="J132" s="650">
        <f t="shared" si="21"/>
        <v>853555.51</v>
      </c>
      <c r="K132" s="650">
        <f t="shared" si="21"/>
        <v>850141.29</v>
      </c>
      <c r="L132" s="650">
        <f t="shared" si="21"/>
        <v>846727.07</v>
      </c>
      <c r="M132" s="650">
        <f t="shared" si="21"/>
        <v>843312.85</v>
      </c>
      <c r="N132" s="650">
        <f t="shared" si="21"/>
        <v>839898.63</v>
      </c>
      <c r="O132" s="650">
        <f t="shared" si="21"/>
        <v>836484.41</v>
      </c>
      <c r="P132" s="650">
        <f t="shared" si="21"/>
        <v>833070.19</v>
      </c>
      <c r="Q132" s="650">
        <f t="shared" si="21"/>
        <v>829655.97</v>
      </c>
      <c r="R132" s="650">
        <f t="shared" si="21"/>
        <v>826241.75</v>
      </c>
      <c r="S132" s="650">
        <f t="shared" si="21"/>
        <v>846727.07000000018</v>
      </c>
      <c r="T132" s="602"/>
      <c r="U132" s="638">
        <f>S132</f>
        <v>846727.07000000018</v>
      </c>
      <c r="V132" s="638"/>
      <c r="W132" s="637"/>
      <c r="X132" s="637"/>
      <c r="Y132" s="615"/>
      <c r="Z132" s="615"/>
    </row>
    <row r="133" spans="1:26">
      <c r="A133" s="622"/>
      <c r="B133" s="622"/>
      <c r="C133" s="623">
        <v>124</v>
      </c>
      <c r="D133" s="624"/>
      <c r="E133" s="680"/>
      <c r="F133" s="626"/>
      <c r="G133" s="708"/>
      <c r="H133" s="628"/>
      <c r="I133" s="628"/>
      <c r="J133" s="629"/>
      <c r="K133" s="630"/>
      <c r="L133" s="631"/>
      <c r="M133" s="632"/>
      <c r="N133" s="633"/>
      <c r="O133" s="634"/>
      <c r="P133" s="635"/>
      <c r="Q133" s="709"/>
      <c r="R133" s="626"/>
      <c r="S133" s="628">
        <f t="shared" si="13"/>
        <v>0</v>
      </c>
      <c r="T133" s="602"/>
      <c r="U133" s="637"/>
      <c r="V133" s="637"/>
      <c r="W133" s="637"/>
      <c r="X133" s="637"/>
      <c r="Y133" s="615"/>
      <c r="Z133" s="615"/>
    </row>
    <row r="134" spans="1:26">
      <c r="A134" s="622" t="s">
        <v>515</v>
      </c>
      <c r="B134" s="622" t="s">
        <v>496</v>
      </c>
      <c r="C134" s="623">
        <v>125</v>
      </c>
      <c r="D134" s="624" t="str">
        <f>A134&amp;"."&amp;B134</f>
        <v>1750.02</v>
      </c>
      <c r="E134" s="625" t="s">
        <v>563</v>
      </c>
      <c r="F134" s="626">
        <v>0</v>
      </c>
      <c r="G134" s="708">
        <v>0</v>
      </c>
      <c r="H134" s="628">
        <v>0</v>
      </c>
      <c r="I134" s="628">
        <v>0</v>
      </c>
      <c r="J134" s="629">
        <v>0</v>
      </c>
      <c r="K134" s="630">
        <v>0</v>
      </c>
      <c r="L134" s="631">
        <v>0</v>
      </c>
      <c r="M134" s="632">
        <v>0</v>
      </c>
      <c r="N134" s="633">
        <v>0</v>
      </c>
      <c r="O134" s="634">
        <v>0</v>
      </c>
      <c r="P134" s="635">
        <v>0</v>
      </c>
      <c r="Q134" s="709">
        <v>0</v>
      </c>
      <c r="R134" s="626">
        <v>0</v>
      </c>
      <c r="S134" s="628">
        <f t="shared" si="13"/>
        <v>0</v>
      </c>
      <c r="T134" s="602"/>
      <c r="U134" s="637"/>
      <c r="V134" s="637"/>
      <c r="W134" s="637"/>
      <c r="X134" s="637"/>
      <c r="Y134" s="615"/>
      <c r="Z134" s="615"/>
    </row>
    <row r="135" spans="1:26">
      <c r="A135" s="622" t="s">
        <v>503</v>
      </c>
      <c r="B135" s="622" t="s">
        <v>564</v>
      </c>
      <c r="C135" s="623">
        <v>126</v>
      </c>
      <c r="D135" s="624" t="str">
        <f>A135&amp;"."&amp;B135</f>
        <v>1659.[21]</v>
      </c>
      <c r="E135" s="625" t="s">
        <v>509</v>
      </c>
      <c r="F135" s="626">
        <v>0</v>
      </c>
      <c r="G135" s="708">
        <v>0</v>
      </c>
      <c r="H135" s="628">
        <v>0</v>
      </c>
      <c r="I135" s="628">
        <v>0</v>
      </c>
      <c r="J135" s="629">
        <v>0</v>
      </c>
      <c r="K135" s="630">
        <v>0</v>
      </c>
      <c r="L135" s="631">
        <v>0</v>
      </c>
      <c r="M135" s="632">
        <v>0</v>
      </c>
      <c r="N135" s="633">
        <v>0</v>
      </c>
      <c r="O135" s="634">
        <v>0</v>
      </c>
      <c r="P135" s="635">
        <v>0</v>
      </c>
      <c r="Q135" s="709">
        <v>0</v>
      </c>
      <c r="R135" s="626">
        <v>0</v>
      </c>
      <c r="S135" s="628">
        <f t="shared" si="13"/>
        <v>0</v>
      </c>
      <c r="T135" s="602"/>
      <c r="U135" s="637"/>
      <c r="V135" s="637"/>
      <c r="W135" s="637"/>
      <c r="X135" s="637"/>
      <c r="Y135" s="615"/>
      <c r="Z135" s="615"/>
    </row>
    <row r="136" spans="1:26">
      <c r="A136" s="622" t="s">
        <v>565</v>
      </c>
      <c r="B136" s="622" t="s">
        <v>402</v>
      </c>
      <c r="C136" s="623">
        <v>127</v>
      </c>
      <c r="D136" s="720" t="str">
        <f>+A136</f>
        <v>1823</v>
      </c>
      <c r="E136" s="625" t="s">
        <v>566</v>
      </c>
      <c r="F136" s="626">
        <v>51471119.32</v>
      </c>
      <c r="G136" s="708">
        <v>51474103.770000003</v>
      </c>
      <c r="H136" s="628">
        <v>51477105.710000001</v>
      </c>
      <c r="I136" s="628">
        <v>52358916.280000001</v>
      </c>
      <c r="J136" s="629">
        <v>52361745.270000003</v>
      </c>
      <c r="K136" s="630">
        <v>52364591.909999996</v>
      </c>
      <c r="L136" s="631">
        <v>52367591.340000004</v>
      </c>
      <c r="M136" s="632">
        <v>52400689.82</v>
      </c>
      <c r="N136" s="633">
        <v>52517843.890000001</v>
      </c>
      <c r="O136" s="634">
        <v>52859086.200000003</v>
      </c>
      <c r="P136" s="635">
        <v>53863817.210000001</v>
      </c>
      <c r="Q136" s="709">
        <v>52299664.549999997</v>
      </c>
      <c r="R136" s="626">
        <v>49627340.659999996</v>
      </c>
      <c r="S136" s="628">
        <f t="shared" si="13"/>
        <v>52241198.828333326</v>
      </c>
      <c r="T136" s="602"/>
      <c r="U136" s="637"/>
      <c r="V136" s="637"/>
      <c r="W136" s="637"/>
      <c r="X136" s="638">
        <f>S136</f>
        <v>52241198.828333326</v>
      </c>
      <c r="Y136" s="615"/>
      <c r="Z136" s="615"/>
    </row>
    <row r="137" spans="1:26">
      <c r="A137" s="622" t="s">
        <v>567</v>
      </c>
      <c r="B137" s="622" t="s">
        <v>402</v>
      </c>
      <c r="C137" s="623">
        <v>128</v>
      </c>
      <c r="D137" s="720" t="str">
        <f>+A137</f>
        <v>1840</v>
      </c>
      <c r="E137" s="625" t="s">
        <v>568</v>
      </c>
      <c r="F137" s="626">
        <v>-67632.320000000007</v>
      </c>
      <c r="G137" s="708">
        <v>-113186.96</v>
      </c>
      <c r="H137" s="628">
        <v>-63619.71</v>
      </c>
      <c r="I137" s="628">
        <v>-145417.21</v>
      </c>
      <c r="J137" s="629">
        <v>-161351.10999999999</v>
      </c>
      <c r="K137" s="630">
        <v>-127223.8</v>
      </c>
      <c r="L137" s="631">
        <v>-111028.91</v>
      </c>
      <c r="M137" s="632">
        <v>-91144.65</v>
      </c>
      <c r="N137" s="633">
        <v>-131459.70000000001</v>
      </c>
      <c r="O137" s="634">
        <v>-150701.76999999999</v>
      </c>
      <c r="P137" s="635">
        <v>-159252.68</v>
      </c>
      <c r="Q137" s="709">
        <v>-109616.47</v>
      </c>
      <c r="R137" s="626">
        <v>-64198.02</v>
      </c>
      <c r="S137" s="628">
        <f t="shared" si="13"/>
        <v>-119159.84499999999</v>
      </c>
      <c r="T137" s="602"/>
      <c r="U137" s="637"/>
      <c r="V137" s="637"/>
      <c r="W137" s="637"/>
      <c r="X137" s="638">
        <f>S137</f>
        <v>-119159.84499999999</v>
      </c>
      <c r="Y137" s="615"/>
      <c r="Z137" s="615"/>
    </row>
    <row r="138" spans="1:26">
      <c r="A138" s="622" t="s">
        <v>569</v>
      </c>
      <c r="B138" s="622" t="s">
        <v>402</v>
      </c>
      <c r="C138" s="623">
        <v>129</v>
      </c>
      <c r="D138" s="624" t="s">
        <v>570</v>
      </c>
      <c r="E138" s="625" t="s">
        <v>571</v>
      </c>
      <c r="F138" s="626">
        <v>10483.599999999904</v>
      </c>
      <c r="G138" s="708">
        <v>-18042.14999999998</v>
      </c>
      <c r="H138" s="628">
        <v>-35788.390000000007</v>
      </c>
      <c r="I138" s="628">
        <v>-81566.23000000001</v>
      </c>
      <c r="J138" s="629">
        <v>-75237.210000000021</v>
      </c>
      <c r="K138" s="630">
        <v>-87120.2</v>
      </c>
      <c r="L138" s="631">
        <v>-142541.12</v>
      </c>
      <c r="M138" s="632">
        <v>-155721.53</v>
      </c>
      <c r="N138" s="633">
        <v>-128242.37999999998</v>
      </c>
      <c r="O138" s="634">
        <v>-104739.90000000002</v>
      </c>
      <c r="P138" s="635">
        <v>-68900.88</v>
      </c>
      <c r="Q138" s="709">
        <v>-15703.479999999996</v>
      </c>
      <c r="R138" s="626">
        <v>168813.16999999998</v>
      </c>
      <c r="S138" s="628">
        <f t="shared" si="13"/>
        <v>-68662.923750000002</v>
      </c>
      <c r="T138" s="602"/>
      <c r="U138" s="637"/>
      <c r="V138" s="637"/>
      <c r="W138" s="637"/>
      <c r="X138" s="638">
        <f>S138</f>
        <v>-68662.923750000002</v>
      </c>
      <c r="Y138" s="615"/>
      <c r="Z138" s="615"/>
    </row>
    <row r="139" spans="1:26">
      <c r="A139" s="622" t="s">
        <v>510</v>
      </c>
      <c r="B139" s="622" t="s">
        <v>572</v>
      </c>
      <c r="C139" s="623">
        <v>130</v>
      </c>
      <c r="D139" s="624" t="str">
        <f t="shared" ref="D139:D145" si="22">A139&amp;"."&amp;B139</f>
        <v>1860.205*</v>
      </c>
      <c r="E139" s="625" t="s">
        <v>573</v>
      </c>
      <c r="F139" s="626">
        <v>0</v>
      </c>
      <c r="G139" s="708">
        <v>0</v>
      </c>
      <c r="H139" s="628">
        <v>0</v>
      </c>
      <c r="I139" s="628">
        <v>0</v>
      </c>
      <c r="J139" s="629">
        <v>0</v>
      </c>
      <c r="K139" s="630">
        <v>0</v>
      </c>
      <c r="L139" s="631">
        <v>0</v>
      </c>
      <c r="M139" s="632">
        <v>0</v>
      </c>
      <c r="N139" s="633">
        <v>0</v>
      </c>
      <c r="O139" s="634">
        <v>0</v>
      </c>
      <c r="P139" s="635">
        <v>0</v>
      </c>
      <c r="Q139" s="709">
        <v>0</v>
      </c>
      <c r="R139" s="626">
        <v>0</v>
      </c>
      <c r="S139" s="628">
        <f t="shared" si="13"/>
        <v>0</v>
      </c>
      <c r="T139" s="602"/>
      <c r="U139" s="637"/>
      <c r="V139" s="637"/>
      <c r="W139" s="637"/>
      <c r="X139" s="637"/>
      <c r="Y139" s="615"/>
      <c r="Z139" s="615"/>
    </row>
    <row r="140" spans="1:26">
      <c r="A140" s="622" t="s">
        <v>510</v>
      </c>
      <c r="B140" s="622" t="s">
        <v>574</v>
      </c>
      <c r="C140" s="623">
        <v>131</v>
      </c>
      <c r="D140" s="624" t="str">
        <f t="shared" si="22"/>
        <v>1860.201*</v>
      </c>
      <c r="E140" s="625" t="s">
        <v>575</v>
      </c>
      <c r="F140" s="626">
        <v>0</v>
      </c>
      <c r="G140" s="708">
        <v>0</v>
      </c>
      <c r="H140" s="628">
        <v>0</v>
      </c>
      <c r="I140" s="628">
        <v>0</v>
      </c>
      <c r="J140" s="629">
        <v>0</v>
      </c>
      <c r="K140" s="630">
        <v>0</v>
      </c>
      <c r="L140" s="631">
        <v>0</v>
      </c>
      <c r="M140" s="632">
        <v>0</v>
      </c>
      <c r="N140" s="633">
        <v>0</v>
      </c>
      <c r="O140" s="634">
        <v>0</v>
      </c>
      <c r="P140" s="635">
        <v>0</v>
      </c>
      <c r="Q140" s="709">
        <v>0</v>
      </c>
      <c r="R140" s="626">
        <v>0</v>
      </c>
      <c r="S140" s="628">
        <f t="shared" ref="S140:S203" si="23">((F140+R140)+((G140+H140+I140+J140+K140+L140+M140+N140+O140+P140+Q140)*2))/24</f>
        <v>0</v>
      </c>
      <c r="T140" s="602"/>
      <c r="U140" s="637"/>
      <c r="V140" s="637"/>
      <c r="W140" s="637"/>
      <c r="X140" s="637"/>
      <c r="Y140" s="615"/>
      <c r="Z140" s="615"/>
    </row>
    <row r="141" spans="1:26">
      <c r="A141" s="622" t="s">
        <v>510</v>
      </c>
      <c r="B141" s="622" t="s">
        <v>576</v>
      </c>
      <c r="C141" s="623">
        <v>132</v>
      </c>
      <c r="D141" s="624" t="str">
        <f t="shared" si="22"/>
        <v>1860.202*</v>
      </c>
      <c r="E141" s="625" t="s">
        <v>577</v>
      </c>
      <c r="F141" s="626">
        <v>998935.74</v>
      </c>
      <c r="G141" s="708">
        <v>985897.7</v>
      </c>
      <c r="H141" s="628">
        <v>970609.92</v>
      </c>
      <c r="I141" s="628">
        <v>954524.1</v>
      </c>
      <c r="J141" s="629">
        <v>938438.28</v>
      </c>
      <c r="K141" s="630">
        <v>962286.22</v>
      </c>
      <c r="L141" s="631">
        <v>953634.98</v>
      </c>
      <c r="M141" s="632">
        <v>945067.25</v>
      </c>
      <c r="N141" s="633">
        <v>936499.52</v>
      </c>
      <c r="O141" s="634">
        <v>927931.79</v>
      </c>
      <c r="P141" s="635">
        <v>944933.42</v>
      </c>
      <c r="Q141" s="709">
        <v>938997.83</v>
      </c>
      <c r="R141" s="626">
        <v>1321815.02</v>
      </c>
      <c r="S141" s="628">
        <f t="shared" si="23"/>
        <v>968266.36583333311</v>
      </c>
      <c r="T141" s="602"/>
      <c r="U141" s="637"/>
      <c r="V141" s="637"/>
      <c r="W141" s="637"/>
      <c r="X141" s="638">
        <f>S141</f>
        <v>968266.36583333311</v>
      </c>
      <c r="Y141" s="615"/>
      <c r="Z141" s="615"/>
    </row>
    <row r="142" spans="1:26">
      <c r="A142" s="598" t="s">
        <v>510</v>
      </c>
      <c r="B142" s="598" t="s">
        <v>578</v>
      </c>
      <c r="C142" s="623">
        <v>133</v>
      </c>
      <c r="D142" s="600" t="str">
        <f t="shared" si="22"/>
        <v>1860.20206</v>
      </c>
      <c r="E142" s="625" t="s">
        <v>579</v>
      </c>
      <c r="F142" s="626">
        <v>0</v>
      </c>
      <c r="G142" s="708">
        <v>0</v>
      </c>
      <c r="H142" s="628">
        <v>0</v>
      </c>
      <c r="I142" s="628">
        <v>0</v>
      </c>
      <c r="J142" s="629">
        <v>0</v>
      </c>
      <c r="K142" s="630">
        <v>0</v>
      </c>
      <c r="L142" s="631">
        <v>0</v>
      </c>
      <c r="M142" s="632">
        <v>0</v>
      </c>
      <c r="N142" s="633">
        <v>0</v>
      </c>
      <c r="O142" s="634">
        <v>0</v>
      </c>
      <c r="P142" s="635">
        <v>0</v>
      </c>
      <c r="Q142" s="709">
        <v>0</v>
      </c>
      <c r="R142" s="626">
        <v>0</v>
      </c>
      <c r="S142" s="628">
        <f t="shared" si="23"/>
        <v>0</v>
      </c>
      <c r="T142" s="602"/>
      <c r="U142" s="637"/>
      <c r="V142" s="637"/>
      <c r="W142" s="637"/>
      <c r="X142" s="637"/>
      <c r="Y142" s="615"/>
      <c r="Z142" s="615"/>
    </row>
    <row r="143" spans="1:26">
      <c r="A143" s="598" t="s">
        <v>510</v>
      </c>
      <c r="B143" s="598" t="s">
        <v>580</v>
      </c>
      <c r="C143" s="623">
        <v>134</v>
      </c>
      <c r="D143" s="600" t="str">
        <f t="shared" si="22"/>
        <v>1860.[20426,20427]</v>
      </c>
      <c r="E143" s="625" t="s">
        <v>581</v>
      </c>
      <c r="F143" s="626">
        <v>0</v>
      </c>
      <c r="G143" s="708">
        <v>0</v>
      </c>
      <c r="H143" s="628">
        <v>0</v>
      </c>
      <c r="I143" s="628">
        <v>0</v>
      </c>
      <c r="J143" s="629">
        <v>0</v>
      </c>
      <c r="K143" s="630">
        <v>0</v>
      </c>
      <c r="L143" s="631">
        <v>0</v>
      </c>
      <c r="M143" s="632">
        <v>0</v>
      </c>
      <c r="N143" s="633">
        <v>0</v>
      </c>
      <c r="O143" s="634">
        <v>0</v>
      </c>
      <c r="P143" s="635">
        <v>0</v>
      </c>
      <c r="Q143" s="709">
        <v>0</v>
      </c>
      <c r="R143" s="626">
        <v>0</v>
      </c>
      <c r="S143" s="628">
        <f t="shared" si="23"/>
        <v>0</v>
      </c>
      <c r="T143" s="602"/>
      <c r="U143" s="637"/>
      <c r="V143" s="637"/>
      <c r="W143" s="637"/>
      <c r="X143" s="637"/>
      <c r="Y143" s="615"/>
      <c r="Z143" s="615"/>
    </row>
    <row r="144" spans="1:26">
      <c r="A144" s="598" t="s">
        <v>510</v>
      </c>
      <c r="B144" s="598" t="s">
        <v>582</v>
      </c>
      <c r="C144" s="623">
        <v>135</v>
      </c>
      <c r="D144" s="600" t="str">
        <f t="shared" si="22"/>
        <v>1860.[204*,/20424,/20425,/20426,/20427]</v>
      </c>
      <c r="E144" s="625" t="s">
        <v>583</v>
      </c>
      <c r="F144" s="626">
        <v>18201108.41</v>
      </c>
      <c r="G144" s="708">
        <v>18252514.34</v>
      </c>
      <c r="H144" s="628">
        <v>18285672.82</v>
      </c>
      <c r="I144" s="628">
        <v>18303837.34</v>
      </c>
      <c r="J144" s="629">
        <v>18324504.629999999</v>
      </c>
      <c r="K144" s="630">
        <v>18311625.559999999</v>
      </c>
      <c r="L144" s="631">
        <v>18019991.59</v>
      </c>
      <c r="M144" s="632">
        <v>17914168.600000001</v>
      </c>
      <c r="N144" s="633">
        <v>17920822.18</v>
      </c>
      <c r="O144" s="634">
        <v>17986542.59</v>
      </c>
      <c r="P144" s="635">
        <v>18015428.170000002</v>
      </c>
      <c r="Q144" s="709">
        <v>19788910.890000001</v>
      </c>
      <c r="R144" s="626">
        <v>20139439.84</v>
      </c>
      <c r="S144" s="628">
        <f t="shared" si="23"/>
        <v>18357857.736249998</v>
      </c>
      <c r="T144" s="602"/>
      <c r="U144" s="637"/>
      <c r="V144" s="637"/>
      <c r="W144" s="721">
        <v>1911203.44</v>
      </c>
      <c r="X144" s="638">
        <f>S144-W144</f>
        <v>16446654.296249999</v>
      </c>
      <c r="Y144" s="615"/>
      <c r="Z144" s="615"/>
    </row>
    <row r="145" spans="1:26">
      <c r="A145" s="598" t="s">
        <v>584</v>
      </c>
      <c r="B145" s="598" t="s">
        <v>585</v>
      </c>
      <c r="C145" s="623">
        <v>136</v>
      </c>
      <c r="D145" s="600" t="str">
        <f t="shared" si="22"/>
        <v>1862.204*</v>
      </c>
      <c r="E145" s="625" t="s">
        <v>586</v>
      </c>
      <c r="F145" s="626">
        <v>4116785.62</v>
      </c>
      <c r="G145" s="708">
        <v>3830666.35</v>
      </c>
      <c r="H145" s="628">
        <v>3987930.69</v>
      </c>
      <c r="I145" s="628">
        <v>4114032.66</v>
      </c>
      <c r="J145" s="629">
        <v>4606809.47</v>
      </c>
      <c r="K145" s="630">
        <v>4557614.63</v>
      </c>
      <c r="L145" s="631">
        <v>4519160.07</v>
      </c>
      <c r="M145" s="632">
        <v>4851295.3099999996</v>
      </c>
      <c r="N145" s="633">
        <v>4921418.24</v>
      </c>
      <c r="O145" s="634">
        <v>5041102.8899999997</v>
      </c>
      <c r="P145" s="635">
        <v>5041177.71</v>
      </c>
      <c r="Q145" s="709">
        <v>7129938.8700000001</v>
      </c>
      <c r="R145" s="626">
        <v>4013684.71</v>
      </c>
      <c r="S145" s="628">
        <f t="shared" si="23"/>
        <v>4722198.5045833327</v>
      </c>
      <c r="T145" s="602"/>
      <c r="U145" s="637"/>
      <c r="V145" s="637"/>
      <c r="W145" s="638">
        <f>S145</f>
        <v>4722198.5045833327</v>
      </c>
      <c r="X145" s="637"/>
      <c r="Y145" s="615"/>
      <c r="Z145" s="615"/>
    </row>
    <row r="146" spans="1:26">
      <c r="A146" s="598" t="s">
        <v>587</v>
      </c>
      <c r="B146" s="598" t="s">
        <v>402</v>
      </c>
      <c r="C146" s="623">
        <v>137</v>
      </c>
      <c r="D146" s="600" t="str">
        <f>+A146</f>
        <v>1866</v>
      </c>
      <c r="E146" s="634" t="s">
        <v>588</v>
      </c>
      <c r="F146" s="652">
        <v>3597416</v>
      </c>
      <c r="G146" s="652">
        <v>3597416</v>
      </c>
      <c r="H146" s="652">
        <v>3597416</v>
      </c>
      <c r="I146" s="652">
        <v>3555871</v>
      </c>
      <c r="J146" s="652">
        <v>3555871</v>
      </c>
      <c r="K146" s="652">
        <v>3555871</v>
      </c>
      <c r="L146" s="652">
        <v>3555871</v>
      </c>
      <c r="M146" s="652">
        <v>3555871</v>
      </c>
      <c r="N146" s="652">
        <v>3555871</v>
      </c>
      <c r="O146" s="654">
        <v>3555871</v>
      </c>
      <c r="P146" s="652">
        <v>3555871</v>
      </c>
      <c r="Q146" s="652">
        <v>3555871</v>
      </c>
      <c r="R146" s="652">
        <v>3555871</v>
      </c>
      <c r="S146" s="628">
        <f t="shared" si="23"/>
        <v>3564526.2083333335</v>
      </c>
      <c r="T146" s="602"/>
      <c r="U146" s="637"/>
      <c r="V146" s="637"/>
      <c r="W146" s="638">
        <f>S146</f>
        <v>3564526.2083333335</v>
      </c>
      <c r="X146" s="638"/>
      <c r="Y146" s="615"/>
      <c r="Z146" s="615"/>
    </row>
    <row r="147" spans="1:26">
      <c r="A147" s="622"/>
      <c r="B147" s="622"/>
      <c r="C147" s="623">
        <v>138</v>
      </c>
      <c r="D147" s="624"/>
      <c r="E147" s="625" t="s">
        <v>589</v>
      </c>
      <c r="F147" s="650">
        <f>SUM(F134:F146)</f>
        <v>78328216.370000005</v>
      </c>
      <c r="G147" s="650">
        <f t="shared" ref="G147:S147" si="24">SUM(G134:G146)</f>
        <v>78009369.049999997</v>
      </c>
      <c r="H147" s="650">
        <f t="shared" si="24"/>
        <v>78219327.039999992</v>
      </c>
      <c r="I147" s="650">
        <f t="shared" si="24"/>
        <v>79060197.939999998</v>
      </c>
      <c r="J147" s="650">
        <f t="shared" si="24"/>
        <v>79550780.329999998</v>
      </c>
      <c r="K147" s="650">
        <f t="shared" si="24"/>
        <v>79537645.319999993</v>
      </c>
      <c r="L147" s="650">
        <f t="shared" si="24"/>
        <v>79162678.950000018</v>
      </c>
      <c r="M147" s="650">
        <f t="shared" si="24"/>
        <v>79420225.800000012</v>
      </c>
      <c r="N147" s="650">
        <f t="shared" si="24"/>
        <v>79592752.749999985</v>
      </c>
      <c r="O147" s="650">
        <f t="shared" si="24"/>
        <v>80115092.799999997</v>
      </c>
      <c r="P147" s="650">
        <f t="shared" si="24"/>
        <v>81193073.950000003</v>
      </c>
      <c r="Q147" s="650">
        <f t="shared" si="24"/>
        <v>83588063.189999998</v>
      </c>
      <c r="R147" s="650">
        <f t="shared" si="24"/>
        <v>78762766.379999995</v>
      </c>
      <c r="S147" s="650">
        <f t="shared" si="24"/>
        <v>79666224.874583319</v>
      </c>
      <c r="T147" s="602"/>
      <c r="U147" s="637"/>
      <c r="V147" s="637"/>
      <c r="W147" s="637"/>
      <c r="X147" s="637"/>
      <c r="Y147" s="615"/>
      <c r="Z147" s="615"/>
    </row>
    <row r="148" spans="1:26">
      <c r="A148" s="622"/>
      <c r="B148" s="622"/>
      <c r="C148" s="623">
        <v>139</v>
      </c>
      <c r="D148" s="624"/>
      <c r="E148" s="680"/>
      <c r="F148" s="626"/>
      <c r="G148" s="708"/>
      <c r="H148" s="628"/>
      <c r="I148" s="628"/>
      <c r="J148" s="629"/>
      <c r="K148" s="630"/>
      <c r="L148" s="631"/>
      <c r="M148" s="632"/>
      <c r="N148" s="633"/>
      <c r="O148" s="634"/>
      <c r="P148" s="635"/>
      <c r="Q148" s="709"/>
      <c r="R148" s="626"/>
      <c r="S148" s="628">
        <f t="shared" si="23"/>
        <v>0</v>
      </c>
      <c r="T148" s="602"/>
      <c r="U148" s="637"/>
      <c r="V148" s="637"/>
      <c r="W148" s="637"/>
      <c r="X148" s="637"/>
      <c r="Y148" s="615"/>
      <c r="Z148" s="615"/>
    </row>
    <row r="149" spans="1:26">
      <c r="A149" s="622" t="s">
        <v>590</v>
      </c>
      <c r="B149" s="622" t="s">
        <v>402</v>
      </c>
      <c r="C149" s="623">
        <v>140</v>
      </c>
      <c r="D149" s="624"/>
      <c r="E149" s="625" t="s">
        <v>591</v>
      </c>
      <c r="F149" s="626">
        <v>156305207.13</v>
      </c>
      <c r="G149" s="708">
        <v>24421868.41</v>
      </c>
      <c r="H149" s="628">
        <v>41171423.25</v>
      </c>
      <c r="I149" s="628">
        <v>56483768.100000001</v>
      </c>
      <c r="J149" s="629">
        <v>64753779.909999996</v>
      </c>
      <c r="K149" s="630">
        <v>70295784.159999996</v>
      </c>
      <c r="L149" s="631">
        <v>75264580.459999993</v>
      </c>
      <c r="M149" s="632">
        <v>79770220.25</v>
      </c>
      <c r="N149" s="633">
        <v>83874065.469999999</v>
      </c>
      <c r="O149" s="634">
        <v>88861448.659999996</v>
      </c>
      <c r="P149" s="635">
        <v>98160199.450000003</v>
      </c>
      <c r="Q149" s="709">
        <v>110210704.31</v>
      </c>
      <c r="R149" s="626">
        <v>135117509.71000001</v>
      </c>
      <c r="S149" s="628">
        <f t="shared" si="23"/>
        <v>78248266.737500012</v>
      </c>
      <c r="T149" s="602"/>
      <c r="U149" s="637"/>
      <c r="V149" s="637"/>
      <c r="W149" s="637"/>
      <c r="X149" s="637"/>
      <c r="Y149" s="615"/>
      <c r="Z149" s="615"/>
    </row>
    <row r="150" spans="1:26">
      <c r="A150" s="622" t="s">
        <v>592</v>
      </c>
      <c r="B150" s="622" t="s">
        <v>402</v>
      </c>
      <c r="C150" s="623">
        <v>141</v>
      </c>
      <c r="D150" s="624"/>
      <c r="E150" s="625" t="s">
        <v>593</v>
      </c>
      <c r="F150" s="626">
        <v>46817597.850000001</v>
      </c>
      <c r="G150" s="708">
        <v>4329047.46</v>
      </c>
      <c r="H150" s="628">
        <v>8144824.2199999997</v>
      </c>
      <c r="I150" s="628">
        <v>11913582.199999999</v>
      </c>
      <c r="J150" s="629">
        <v>15629660.82</v>
      </c>
      <c r="K150" s="630">
        <v>19641103.890000001</v>
      </c>
      <c r="L150" s="631">
        <v>23808301.02</v>
      </c>
      <c r="M150" s="632">
        <v>27425881.100000001</v>
      </c>
      <c r="N150" s="633">
        <v>31996474.899999999</v>
      </c>
      <c r="O150" s="634">
        <v>36090125.700000003</v>
      </c>
      <c r="P150" s="635">
        <v>40028030.579999998</v>
      </c>
      <c r="Q150" s="709">
        <v>44017177.710000001</v>
      </c>
      <c r="R150" s="626">
        <v>48703743.799999997</v>
      </c>
      <c r="S150" s="628">
        <f t="shared" si="23"/>
        <v>25898740.035416666</v>
      </c>
      <c r="T150" s="602"/>
      <c r="U150" s="637"/>
      <c r="V150" s="637"/>
      <c r="W150" s="637"/>
      <c r="X150" s="637"/>
      <c r="Y150" s="615"/>
      <c r="Z150" s="615"/>
    </row>
    <row r="151" spans="1:26">
      <c r="A151" s="598" t="s">
        <v>594</v>
      </c>
      <c r="B151" s="598" t="s">
        <v>595</v>
      </c>
      <c r="C151" s="623">
        <v>142</v>
      </c>
      <c r="D151" s="600"/>
      <c r="E151" s="625" t="s">
        <v>596</v>
      </c>
      <c r="F151" s="626">
        <v>0</v>
      </c>
      <c r="G151" s="708">
        <v>315.98</v>
      </c>
      <c r="H151" s="628">
        <v>315.98</v>
      </c>
      <c r="I151" s="628">
        <v>315.98</v>
      </c>
      <c r="J151" s="629">
        <v>315.98</v>
      </c>
      <c r="K151" s="630">
        <v>315.98</v>
      </c>
      <c r="L151" s="631">
        <v>315.98</v>
      </c>
      <c r="M151" s="632">
        <v>315.98</v>
      </c>
      <c r="N151" s="633">
        <v>315.98</v>
      </c>
      <c r="O151" s="634">
        <v>315.98</v>
      </c>
      <c r="P151" s="635">
        <v>315.98</v>
      </c>
      <c r="Q151" s="709">
        <v>315.98</v>
      </c>
      <c r="R151" s="626">
        <v>315.98</v>
      </c>
      <c r="S151" s="628">
        <f t="shared" si="23"/>
        <v>302.81416666666672</v>
      </c>
      <c r="T151" s="602"/>
      <c r="U151" s="637"/>
      <c r="V151" s="637"/>
      <c r="W151" s="637"/>
      <c r="X151" s="637"/>
      <c r="Y151" s="615"/>
      <c r="Z151" s="615"/>
    </row>
    <row r="152" spans="1:26">
      <c r="A152" s="598" t="s">
        <v>597</v>
      </c>
      <c r="B152" s="598" t="s">
        <v>402</v>
      </c>
      <c r="C152" s="623">
        <v>143</v>
      </c>
      <c r="D152" s="600"/>
      <c r="E152" s="625" t="s">
        <v>598</v>
      </c>
      <c r="F152" s="626">
        <v>5473309.9500000002</v>
      </c>
      <c r="G152" s="708">
        <v>429269.29</v>
      </c>
      <c r="H152" s="628">
        <v>844912.97</v>
      </c>
      <c r="I152" s="628">
        <v>1337555.07</v>
      </c>
      <c r="J152" s="629">
        <v>1801041.39</v>
      </c>
      <c r="K152" s="630">
        <v>2272948.0699999998</v>
      </c>
      <c r="L152" s="631">
        <v>2748701.28</v>
      </c>
      <c r="M152" s="632">
        <v>3219897.06</v>
      </c>
      <c r="N152" s="633">
        <v>3771772.86</v>
      </c>
      <c r="O152" s="634">
        <v>4251828.58</v>
      </c>
      <c r="P152" s="635">
        <v>4693376.74</v>
      </c>
      <c r="Q152" s="709">
        <v>5170135.07</v>
      </c>
      <c r="R152" s="626">
        <v>5729641.6100000003</v>
      </c>
      <c r="S152" s="628">
        <f t="shared" si="23"/>
        <v>3011909.5133333337</v>
      </c>
      <c r="T152" s="602"/>
      <c r="U152" s="637"/>
      <c r="V152" s="637"/>
      <c r="W152" s="637"/>
      <c r="X152" s="637"/>
      <c r="Y152" s="615"/>
      <c r="Z152" s="615"/>
    </row>
    <row r="153" spans="1:26">
      <c r="A153" s="598"/>
      <c r="B153" s="598"/>
      <c r="C153" s="623">
        <v>144</v>
      </c>
      <c r="D153" s="600"/>
      <c r="E153" s="625" t="s">
        <v>599</v>
      </c>
      <c r="F153" s="650">
        <f>SUM(F149:F152)</f>
        <v>208596114.92999998</v>
      </c>
      <c r="G153" s="650">
        <f t="shared" ref="G153:S153" si="25">SUM(G149:G152)</f>
        <v>29180501.140000001</v>
      </c>
      <c r="H153" s="650">
        <f t="shared" si="25"/>
        <v>50161476.419999994</v>
      </c>
      <c r="I153" s="650">
        <f t="shared" si="25"/>
        <v>69735221.349999994</v>
      </c>
      <c r="J153" s="650">
        <f t="shared" si="25"/>
        <v>82184798.099999994</v>
      </c>
      <c r="K153" s="650">
        <f t="shared" si="25"/>
        <v>92210152.099999994</v>
      </c>
      <c r="L153" s="650">
        <f t="shared" si="25"/>
        <v>101821898.73999999</v>
      </c>
      <c r="M153" s="650">
        <f t="shared" si="25"/>
        <v>110416314.39</v>
      </c>
      <c r="N153" s="650">
        <f t="shared" si="25"/>
        <v>119642629.21000001</v>
      </c>
      <c r="O153" s="650">
        <f t="shared" si="25"/>
        <v>129203718.92</v>
      </c>
      <c r="P153" s="650">
        <f t="shared" si="25"/>
        <v>142881922.75</v>
      </c>
      <c r="Q153" s="650">
        <f t="shared" si="25"/>
        <v>159398333.06999999</v>
      </c>
      <c r="R153" s="650">
        <f t="shared" si="25"/>
        <v>189551211.09999999</v>
      </c>
      <c r="S153" s="650">
        <f t="shared" si="25"/>
        <v>107159219.10041668</v>
      </c>
      <c r="T153" s="602"/>
      <c r="U153" s="638">
        <f>S153</f>
        <v>107159219.10041668</v>
      </c>
      <c r="V153" s="637"/>
      <c r="W153" s="637"/>
      <c r="X153" s="638"/>
      <c r="Y153" s="615"/>
      <c r="Z153" s="615"/>
    </row>
    <row r="154" spans="1:26">
      <c r="A154" s="598"/>
      <c r="B154" s="598"/>
      <c r="C154" s="623">
        <v>145</v>
      </c>
      <c r="D154" s="600"/>
      <c r="E154" s="680"/>
      <c r="F154" s="626"/>
      <c r="G154" s="708"/>
      <c r="H154" s="628"/>
      <c r="I154" s="628"/>
      <c r="J154" s="629"/>
      <c r="K154" s="630"/>
      <c r="L154" s="631"/>
      <c r="M154" s="632"/>
      <c r="N154" s="633"/>
      <c r="O154" s="634"/>
      <c r="P154" s="635"/>
      <c r="Q154" s="709"/>
      <c r="R154" s="626"/>
      <c r="S154" s="628">
        <f t="shared" si="23"/>
        <v>0</v>
      </c>
      <c r="T154" s="602"/>
      <c r="U154" s="637"/>
      <c r="V154" s="637"/>
      <c r="W154" s="637"/>
      <c r="X154" s="637"/>
      <c r="Y154" s="615"/>
      <c r="Z154" s="615"/>
    </row>
    <row r="155" spans="1:26">
      <c r="A155" s="598" t="s">
        <v>600</v>
      </c>
      <c r="B155" s="598" t="s">
        <v>402</v>
      </c>
      <c r="C155" s="623">
        <v>146</v>
      </c>
      <c r="D155" s="600" t="str">
        <f>+A155</f>
        <v>4073</v>
      </c>
      <c r="E155" s="625" t="s">
        <v>601</v>
      </c>
      <c r="F155" s="626">
        <v>0</v>
      </c>
      <c r="G155" s="708">
        <v>0</v>
      </c>
      <c r="H155" s="628">
        <v>0</v>
      </c>
      <c r="I155" s="628">
        <v>0</v>
      </c>
      <c r="J155" s="629">
        <v>0</v>
      </c>
      <c r="K155" s="630">
        <v>0</v>
      </c>
      <c r="L155" s="631">
        <v>0</v>
      </c>
      <c r="M155" s="632">
        <v>0</v>
      </c>
      <c r="N155" s="633">
        <v>0</v>
      </c>
      <c r="O155" s="634">
        <v>0</v>
      </c>
      <c r="P155" s="635">
        <v>0</v>
      </c>
      <c r="Q155" s="709">
        <v>0</v>
      </c>
      <c r="R155" s="626">
        <v>0</v>
      </c>
      <c r="S155" s="628">
        <f t="shared" si="23"/>
        <v>0</v>
      </c>
      <c r="T155" s="602"/>
      <c r="U155" s="637"/>
      <c r="V155" s="637"/>
      <c r="W155" s="637"/>
      <c r="X155" s="637"/>
      <c r="Y155" s="615"/>
      <c r="Z155" s="615"/>
    </row>
    <row r="156" spans="1:26">
      <c r="A156" s="598"/>
      <c r="B156" s="598"/>
      <c r="C156" s="623">
        <v>147</v>
      </c>
      <c r="D156" s="600"/>
      <c r="E156" s="680"/>
      <c r="F156" s="626"/>
      <c r="G156" s="708"/>
      <c r="H156" s="628"/>
      <c r="I156" s="628"/>
      <c r="J156" s="629"/>
      <c r="K156" s="630"/>
      <c r="L156" s="631"/>
      <c r="M156" s="632"/>
      <c r="N156" s="633"/>
      <c r="O156" s="634"/>
      <c r="P156" s="635"/>
      <c r="Q156" s="709"/>
      <c r="R156" s="626"/>
      <c r="S156" s="628">
        <f t="shared" si="23"/>
        <v>0</v>
      </c>
      <c r="T156" s="602"/>
      <c r="U156" s="637"/>
      <c r="V156" s="637"/>
      <c r="W156" s="637"/>
      <c r="X156" s="637"/>
      <c r="Y156" s="615"/>
      <c r="Z156" s="615"/>
    </row>
    <row r="157" spans="1:26">
      <c r="A157" s="622" t="s">
        <v>602</v>
      </c>
      <c r="B157" s="622" t="s">
        <v>402</v>
      </c>
      <c r="C157" s="623">
        <v>148</v>
      </c>
      <c r="D157" s="624" t="str">
        <f>+A157</f>
        <v>4081</v>
      </c>
      <c r="E157" s="625" t="s">
        <v>603</v>
      </c>
      <c r="F157" s="626">
        <v>24749541.870000001</v>
      </c>
      <c r="G157" s="708">
        <v>3836972.66</v>
      </c>
      <c r="H157" s="628">
        <v>6751554.4400000004</v>
      </c>
      <c r="I157" s="628">
        <v>9432019.3200000003</v>
      </c>
      <c r="J157" s="629">
        <v>11257476.91</v>
      </c>
      <c r="K157" s="630">
        <v>12596899.210000001</v>
      </c>
      <c r="L157" s="631">
        <v>13829823.17</v>
      </c>
      <c r="M157" s="632">
        <v>14936881.880000001</v>
      </c>
      <c r="N157" s="633">
        <v>15914791.720000001</v>
      </c>
      <c r="O157" s="634">
        <v>17067350.68</v>
      </c>
      <c r="P157" s="635">
        <v>18557185.190000001</v>
      </c>
      <c r="Q157" s="709">
        <v>20462300.530000001</v>
      </c>
      <c r="R157" s="626">
        <v>23821833.370000001</v>
      </c>
      <c r="S157" s="628">
        <f t="shared" si="23"/>
        <v>14077411.944166668</v>
      </c>
      <c r="T157" s="602"/>
      <c r="U157" s="637"/>
      <c r="V157" s="637"/>
      <c r="W157" s="637"/>
      <c r="X157" s="637"/>
      <c r="Y157" s="615"/>
      <c r="Z157" s="615"/>
    </row>
    <row r="158" spans="1:26">
      <c r="A158" s="622" t="s">
        <v>604</v>
      </c>
      <c r="B158" s="622" t="s">
        <v>402</v>
      </c>
      <c r="C158" s="623">
        <v>149</v>
      </c>
      <c r="D158" s="624" t="s">
        <v>605</v>
      </c>
      <c r="E158" s="625" t="s">
        <v>606</v>
      </c>
      <c r="F158" s="626">
        <v>2089762.22</v>
      </c>
      <c r="G158" s="708">
        <v>211533.78</v>
      </c>
      <c r="H158" s="628">
        <v>420032.08</v>
      </c>
      <c r="I158" s="628">
        <v>640876.53</v>
      </c>
      <c r="J158" s="629">
        <v>843451.4</v>
      </c>
      <c r="K158" s="630">
        <v>1017339.53</v>
      </c>
      <c r="L158" s="631">
        <v>1186862.9099999999</v>
      </c>
      <c r="M158" s="632">
        <v>1239648.44</v>
      </c>
      <c r="N158" s="633">
        <v>1429082.66</v>
      </c>
      <c r="O158" s="634">
        <v>1601150.82</v>
      </c>
      <c r="P158" s="635">
        <v>1756791.44</v>
      </c>
      <c r="Q158" s="709">
        <v>1915268.6</v>
      </c>
      <c r="R158" s="626">
        <v>2104822.19</v>
      </c>
      <c r="S158" s="628">
        <f t="shared" si="23"/>
        <v>1196610.86625</v>
      </c>
      <c r="T158" s="602"/>
      <c r="U158" s="637"/>
      <c r="V158" s="637"/>
      <c r="W158" s="637"/>
      <c r="X158" s="637"/>
      <c r="Y158" s="615"/>
      <c r="Z158" s="615"/>
    </row>
    <row r="159" spans="1:26">
      <c r="A159" s="622"/>
      <c r="B159" s="622"/>
      <c r="C159" s="623">
        <v>150</v>
      </c>
      <c r="D159" s="624"/>
      <c r="E159" s="680" t="s">
        <v>607</v>
      </c>
      <c r="F159" s="650">
        <f>+F157+F158</f>
        <v>26839304.09</v>
      </c>
      <c r="G159" s="650">
        <f t="shared" ref="G159:S159" si="26">+G157+G158</f>
        <v>4048506.44</v>
      </c>
      <c r="H159" s="650">
        <f t="shared" si="26"/>
        <v>7171586.5200000005</v>
      </c>
      <c r="I159" s="650">
        <f t="shared" si="26"/>
        <v>10072895.85</v>
      </c>
      <c r="J159" s="650">
        <f t="shared" si="26"/>
        <v>12100928.310000001</v>
      </c>
      <c r="K159" s="650">
        <f t="shared" si="26"/>
        <v>13614238.74</v>
      </c>
      <c r="L159" s="650">
        <f t="shared" si="26"/>
        <v>15016686.08</v>
      </c>
      <c r="M159" s="650">
        <f t="shared" si="26"/>
        <v>16176530.32</v>
      </c>
      <c r="N159" s="650">
        <f t="shared" si="26"/>
        <v>17343874.379999999</v>
      </c>
      <c r="O159" s="650">
        <f t="shared" si="26"/>
        <v>18668501.5</v>
      </c>
      <c r="P159" s="650">
        <f t="shared" si="26"/>
        <v>20313976.630000003</v>
      </c>
      <c r="Q159" s="650">
        <f t="shared" si="26"/>
        <v>22377569.130000003</v>
      </c>
      <c r="R159" s="650">
        <f t="shared" si="26"/>
        <v>25926655.560000002</v>
      </c>
      <c r="S159" s="650">
        <f t="shared" si="26"/>
        <v>15274022.810416669</v>
      </c>
      <c r="T159" s="602"/>
      <c r="U159" s="638">
        <f>S159</f>
        <v>15274022.810416669</v>
      </c>
      <c r="V159" s="637"/>
      <c r="W159" s="637"/>
      <c r="X159" s="638"/>
      <c r="Y159" s="615"/>
      <c r="Z159" s="615"/>
    </row>
    <row r="160" spans="1:26">
      <c r="A160" s="622"/>
      <c r="B160" s="622"/>
      <c r="C160" s="623">
        <v>151</v>
      </c>
      <c r="D160" s="624"/>
      <c r="E160" s="680"/>
      <c r="F160" s="626"/>
      <c r="G160" s="708"/>
      <c r="H160" s="628"/>
      <c r="I160" s="628"/>
      <c r="J160" s="629"/>
      <c r="K160" s="630"/>
      <c r="L160" s="631"/>
      <c r="M160" s="632"/>
      <c r="N160" s="633"/>
      <c r="O160" s="634"/>
      <c r="P160" s="635"/>
      <c r="Q160" s="709"/>
      <c r="R160" s="626"/>
      <c r="S160" s="628">
        <f t="shared" si="23"/>
        <v>0</v>
      </c>
      <c r="T160" s="602"/>
      <c r="U160" s="637"/>
      <c r="V160" s="637"/>
      <c r="W160" s="637"/>
      <c r="X160" s="637"/>
      <c r="Y160" s="615"/>
      <c r="Z160" s="615"/>
    </row>
    <row r="161" spans="1:26">
      <c r="A161" s="622" t="s">
        <v>608</v>
      </c>
      <c r="B161" s="622" t="s">
        <v>402</v>
      </c>
      <c r="C161" s="623">
        <v>152</v>
      </c>
      <c r="D161" s="624" t="str">
        <f>+A161</f>
        <v>4032</v>
      </c>
      <c r="E161" s="625" t="s">
        <v>609</v>
      </c>
      <c r="F161" s="626">
        <v>25145321.359999999</v>
      </c>
      <c r="G161" s="708">
        <v>1807641.44</v>
      </c>
      <c r="H161" s="628">
        <v>3662870.53</v>
      </c>
      <c r="I161" s="628">
        <v>5500503.2699999996</v>
      </c>
      <c r="J161" s="629">
        <v>7345620.5999999996</v>
      </c>
      <c r="K161" s="630">
        <v>9204261.5399999991</v>
      </c>
      <c r="L161" s="631">
        <v>11070351.52</v>
      </c>
      <c r="M161" s="632">
        <v>12942828.140000001</v>
      </c>
      <c r="N161" s="633">
        <v>14826797.029999999</v>
      </c>
      <c r="O161" s="634">
        <v>16728621.310000001</v>
      </c>
      <c r="P161" s="635">
        <v>18641977.399999999</v>
      </c>
      <c r="Q161" s="709">
        <v>20568906.449999999</v>
      </c>
      <c r="R161" s="626">
        <v>22501731.329999998</v>
      </c>
      <c r="S161" s="628">
        <f t="shared" si="23"/>
        <v>12176992.13125</v>
      </c>
      <c r="T161" s="602"/>
      <c r="U161" s="637"/>
      <c r="V161" s="637"/>
      <c r="W161" s="637"/>
      <c r="X161" s="637"/>
      <c r="Y161" s="615"/>
      <c r="Z161" s="615"/>
    </row>
    <row r="162" spans="1:26">
      <c r="A162" s="622" t="s">
        <v>610</v>
      </c>
      <c r="B162" s="622" t="s">
        <v>402</v>
      </c>
      <c r="C162" s="623">
        <v>153</v>
      </c>
      <c r="D162" s="624" t="str">
        <f>+A162</f>
        <v>4042</v>
      </c>
      <c r="E162" s="625" t="s">
        <v>611</v>
      </c>
      <c r="F162" s="626">
        <v>2538010.06</v>
      </c>
      <c r="G162" s="708">
        <v>243401.61</v>
      </c>
      <c r="H162" s="628">
        <v>489696.84</v>
      </c>
      <c r="I162" s="628">
        <v>699331.25</v>
      </c>
      <c r="J162" s="629">
        <v>936229.3</v>
      </c>
      <c r="K162" s="630">
        <v>1172861.54</v>
      </c>
      <c r="L162" s="631">
        <v>1409534.14</v>
      </c>
      <c r="M162" s="632">
        <v>1630631.32</v>
      </c>
      <c r="N162" s="633">
        <v>1851728.5</v>
      </c>
      <c r="O162" s="634">
        <v>2072825.68</v>
      </c>
      <c r="P162" s="635">
        <v>2294485.88</v>
      </c>
      <c r="Q162" s="709">
        <v>2515583.06</v>
      </c>
      <c r="R162" s="626">
        <v>2736728</v>
      </c>
      <c r="S162" s="628">
        <f t="shared" si="23"/>
        <v>1496139.8458333332</v>
      </c>
      <c r="T162" s="602"/>
      <c r="U162" s="637"/>
      <c r="V162" s="637"/>
      <c r="W162" s="637"/>
      <c r="X162" s="637"/>
      <c r="Y162" s="615"/>
      <c r="Z162" s="615"/>
    </row>
    <row r="163" spans="1:26">
      <c r="A163" s="622" t="s">
        <v>612</v>
      </c>
      <c r="B163" s="622" t="s">
        <v>402</v>
      </c>
      <c r="C163" s="623">
        <v>154</v>
      </c>
      <c r="D163" s="624" t="str">
        <f>+A163</f>
        <v>4062</v>
      </c>
      <c r="E163" s="625" t="s">
        <v>613</v>
      </c>
      <c r="F163" s="626">
        <v>0</v>
      </c>
      <c r="G163" s="708">
        <v>0</v>
      </c>
      <c r="H163" s="628">
        <v>0</v>
      </c>
      <c r="I163" s="628">
        <v>0</v>
      </c>
      <c r="J163" s="629">
        <v>0</v>
      </c>
      <c r="K163" s="630">
        <v>0</v>
      </c>
      <c r="L163" s="631">
        <v>0</v>
      </c>
      <c r="M163" s="632">
        <v>0</v>
      </c>
      <c r="N163" s="633">
        <v>0</v>
      </c>
      <c r="O163" s="634">
        <v>0</v>
      </c>
      <c r="P163" s="635">
        <v>0</v>
      </c>
      <c r="Q163" s="709">
        <v>0</v>
      </c>
      <c r="R163" s="626">
        <v>0</v>
      </c>
      <c r="S163" s="628">
        <f t="shared" si="23"/>
        <v>0</v>
      </c>
      <c r="T163" s="602"/>
      <c r="U163" s="637"/>
      <c r="V163" s="637"/>
      <c r="W163" s="637"/>
      <c r="X163" s="637"/>
      <c r="Y163" s="615"/>
      <c r="Z163" s="615"/>
    </row>
    <row r="164" spans="1:26">
      <c r="A164" s="622"/>
      <c r="B164" s="622"/>
      <c r="C164" s="623">
        <v>155</v>
      </c>
      <c r="D164" s="624"/>
      <c r="E164" s="625" t="s">
        <v>614</v>
      </c>
      <c r="F164" s="650">
        <f>SUM(F161:F163)</f>
        <v>27683331.419999998</v>
      </c>
      <c r="G164" s="650">
        <f t="shared" ref="G164:S164" si="27">SUM(G161:G163)</f>
        <v>2051043.0499999998</v>
      </c>
      <c r="H164" s="650">
        <f t="shared" si="27"/>
        <v>4152567.3699999996</v>
      </c>
      <c r="I164" s="650">
        <f t="shared" si="27"/>
        <v>6199834.5199999996</v>
      </c>
      <c r="J164" s="650">
        <f t="shared" si="27"/>
        <v>8281849.8999999994</v>
      </c>
      <c r="K164" s="650">
        <f t="shared" si="27"/>
        <v>10377123.079999998</v>
      </c>
      <c r="L164" s="650">
        <f t="shared" si="27"/>
        <v>12479885.66</v>
      </c>
      <c r="M164" s="650">
        <f t="shared" si="27"/>
        <v>14573459.460000001</v>
      </c>
      <c r="N164" s="650">
        <f t="shared" si="27"/>
        <v>16678525.529999999</v>
      </c>
      <c r="O164" s="650">
        <f t="shared" si="27"/>
        <v>18801446.990000002</v>
      </c>
      <c r="P164" s="650">
        <f t="shared" si="27"/>
        <v>20936463.279999997</v>
      </c>
      <c r="Q164" s="650">
        <f t="shared" si="27"/>
        <v>23084489.509999998</v>
      </c>
      <c r="R164" s="650">
        <f t="shared" si="27"/>
        <v>25238459.329999998</v>
      </c>
      <c r="S164" s="650">
        <f t="shared" si="27"/>
        <v>13673131.977083333</v>
      </c>
      <c r="T164" s="602"/>
      <c r="U164" s="638">
        <f>S164</f>
        <v>13673131.977083333</v>
      </c>
      <c r="V164" s="637"/>
      <c r="W164" s="637"/>
      <c r="X164" s="638"/>
      <c r="Y164" s="615"/>
      <c r="Z164" s="615"/>
    </row>
    <row r="165" spans="1:26">
      <c r="A165" s="622"/>
      <c r="B165" s="622"/>
      <c r="C165" s="623">
        <v>156</v>
      </c>
      <c r="D165" s="624"/>
      <c r="E165" s="680"/>
      <c r="F165" s="626"/>
      <c r="G165" s="708"/>
      <c r="H165" s="628"/>
      <c r="I165" s="628"/>
      <c r="J165" s="629"/>
      <c r="K165" s="630"/>
      <c r="L165" s="631"/>
      <c r="M165" s="632"/>
      <c r="N165" s="633"/>
      <c r="O165" s="634"/>
      <c r="P165" s="635"/>
      <c r="Q165" s="709"/>
      <c r="R165" s="626"/>
      <c r="S165" s="628">
        <f t="shared" si="23"/>
        <v>0</v>
      </c>
      <c r="T165" s="602"/>
      <c r="U165" s="637"/>
      <c r="V165" s="637"/>
      <c r="W165" s="637"/>
      <c r="X165" s="637"/>
      <c r="Y165" s="615"/>
      <c r="Z165" s="615"/>
    </row>
    <row r="166" spans="1:26">
      <c r="A166" s="622" t="s">
        <v>615</v>
      </c>
      <c r="B166" s="622" t="s">
        <v>402</v>
      </c>
      <c r="C166" s="623">
        <v>157</v>
      </c>
      <c r="D166" s="624" t="str">
        <f>+A166</f>
        <v>4271</v>
      </c>
      <c r="E166" s="625" t="s">
        <v>616</v>
      </c>
      <c r="F166" s="626">
        <v>0</v>
      </c>
      <c r="G166" s="708">
        <v>0</v>
      </c>
      <c r="H166" s="628">
        <v>0</v>
      </c>
      <c r="I166" s="628">
        <v>0</v>
      </c>
      <c r="J166" s="629">
        <v>0</v>
      </c>
      <c r="K166" s="630">
        <v>0</v>
      </c>
      <c r="L166" s="631">
        <v>0</v>
      </c>
      <c r="M166" s="632">
        <v>0</v>
      </c>
      <c r="N166" s="633">
        <v>0</v>
      </c>
      <c r="O166" s="634">
        <v>0</v>
      </c>
      <c r="P166" s="635">
        <v>0</v>
      </c>
      <c r="Q166" s="709">
        <v>0</v>
      </c>
      <c r="R166" s="626">
        <v>0</v>
      </c>
      <c r="S166" s="628">
        <f t="shared" si="23"/>
        <v>0</v>
      </c>
      <c r="T166" s="602"/>
      <c r="U166" s="637"/>
      <c r="V166" s="637"/>
      <c r="W166" s="637"/>
      <c r="X166" s="637"/>
      <c r="Y166" s="615"/>
      <c r="Z166" s="615"/>
    </row>
    <row r="167" spans="1:26">
      <c r="A167" s="622" t="s">
        <v>617</v>
      </c>
      <c r="B167" s="622" t="s">
        <v>402</v>
      </c>
      <c r="C167" s="623">
        <v>158</v>
      </c>
      <c r="D167" s="624" t="str">
        <f>+A167</f>
        <v>4279</v>
      </c>
      <c r="E167" s="625" t="s">
        <v>618</v>
      </c>
      <c r="F167" s="626">
        <v>11047666.279999999</v>
      </c>
      <c r="G167" s="708">
        <v>929093.54</v>
      </c>
      <c r="H167" s="628">
        <v>1857968.35</v>
      </c>
      <c r="I167" s="628">
        <v>2786843.12</v>
      </c>
      <c r="J167" s="629">
        <v>3715717.91</v>
      </c>
      <c r="K167" s="630">
        <v>4644373.96</v>
      </c>
      <c r="L167" s="631">
        <v>5573030.0099999998</v>
      </c>
      <c r="M167" s="632">
        <v>6501686.0499999998</v>
      </c>
      <c r="N167" s="633">
        <v>7430263.3399999999</v>
      </c>
      <c r="O167" s="634">
        <v>8358840.6399999997</v>
      </c>
      <c r="P167" s="635">
        <v>9287417.9199999999</v>
      </c>
      <c r="Q167" s="709">
        <v>10215995.220000001</v>
      </c>
      <c r="R167" s="626">
        <v>11144572.52</v>
      </c>
      <c r="S167" s="628">
        <f t="shared" si="23"/>
        <v>6033112.455000001</v>
      </c>
      <c r="T167" s="602"/>
      <c r="U167" s="637"/>
      <c r="V167" s="637"/>
      <c r="W167" s="637"/>
      <c r="X167" s="637"/>
      <c r="Y167" s="615"/>
      <c r="Z167" s="615"/>
    </row>
    <row r="168" spans="1:26">
      <c r="A168" s="622" t="s">
        <v>617</v>
      </c>
      <c r="B168" s="622" t="s">
        <v>619</v>
      </c>
      <c r="C168" s="623">
        <v>159</v>
      </c>
      <c r="D168" s="624" t="str">
        <f>A168&amp;"."&amp;B168</f>
        <v>4279.1</v>
      </c>
      <c r="E168" s="651" t="s">
        <v>620</v>
      </c>
      <c r="F168" s="626">
        <v>0</v>
      </c>
      <c r="G168" s="708">
        <v>0</v>
      </c>
      <c r="H168" s="628">
        <v>0</v>
      </c>
      <c r="I168" s="628">
        <v>0</v>
      </c>
      <c r="J168" s="629">
        <v>0</v>
      </c>
      <c r="K168" s="630">
        <v>0</v>
      </c>
      <c r="L168" s="631">
        <v>0</v>
      </c>
      <c r="M168" s="632">
        <v>0</v>
      </c>
      <c r="N168" s="633">
        <v>0</v>
      </c>
      <c r="O168" s="634">
        <v>0</v>
      </c>
      <c r="P168" s="635">
        <v>0</v>
      </c>
      <c r="Q168" s="709">
        <v>0</v>
      </c>
      <c r="R168" s="626">
        <v>0</v>
      </c>
      <c r="S168" s="628">
        <f t="shared" si="23"/>
        <v>0</v>
      </c>
      <c r="T168" s="602"/>
      <c r="U168" s="637"/>
      <c r="V168" s="637"/>
      <c r="W168" s="637"/>
      <c r="X168" s="637"/>
      <c r="Y168" s="615"/>
      <c r="Z168" s="615"/>
    </row>
    <row r="169" spans="1:26">
      <c r="A169" s="622" t="s">
        <v>621</v>
      </c>
      <c r="B169" s="622" t="s">
        <v>622</v>
      </c>
      <c r="C169" s="623">
        <v>160</v>
      </c>
      <c r="D169" s="624" t="str">
        <f>+A169</f>
        <v>4310</v>
      </c>
      <c r="E169" s="625" t="s">
        <v>318</v>
      </c>
      <c r="F169" s="626">
        <v>227969.41</v>
      </c>
      <c r="G169" s="708">
        <v>30677.119999999999</v>
      </c>
      <c r="H169" s="628">
        <v>81587.850000000006</v>
      </c>
      <c r="I169" s="628">
        <v>149632.70000000001</v>
      </c>
      <c r="J169" s="629">
        <v>228625.65</v>
      </c>
      <c r="K169" s="630">
        <v>311878.78999999998</v>
      </c>
      <c r="L169" s="631">
        <v>391659.7</v>
      </c>
      <c r="M169" s="632">
        <v>436010.29</v>
      </c>
      <c r="N169" s="633">
        <v>501177.14</v>
      </c>
      <c r="O169" s="634">
        <v>556392.51</v>
      </c>
      <c r="P169" s="635">
        <v>607614.67000000004</v>
      </c>
      <c r="Q169" s="709">
        <v>631236.1</v>
      </c>
      <c r="R169" s="626">
        <v>653866.05000000005</v>
      </c>
      <c r="S169" s="628">
        <f t="shared" si="23"/>
        <v>363950.85416666669</v>
      </c>
      <c r="T169" s="602"/>
      <c r="U169" s="637"/>
      <c r="V169" s="637"/>
      <c r="W169" s="637"/>
      <c r="X169" s="637"/>
      <c r="Y169" s="615"/>
      <c r="Z169" s="615"/>
    </row>
    <row r="170" spans="1:26">
      <c r="A170" s="622" t="s">
        <v>621</v>
      </c>
      <c r="B170" s="622" t="s">
        <v>623</v>
      </c>
      <c r="C170" s="623">
        <v>161</v>
      </c>
      <c r="D170" s="722" t="s">
        <v>624</v>
      </c>
      <c r="E170" s="625" t="s">
        <v>625</v>
      </c>
      <c r="F170" s="626">
        <v>27310</v>
      </c>
      <c r="G170" s="708">
        <v>0</v>
      </c>
      <c r="H170" s="628">
        <v>0</v>
      </c>
      <c r="I170" s="628">
        <v>0</v>
      </c>
      <c r="J170" s="629">
        <v>0</v>
      </c>
      <c r="K170" s="630">
        <v>0</v>
      </c>
      <c r="L170" s="631">
        <v>0</v>
      </c>
      <c r="M170" s="632">
        <v>0</v>
      </c>
      <c r="N170" s="633">
        <v>0</v>
      </c>
      <c r="O170" s="634">
        <v>0</v>
      </c>
      <c r="P170" s="635">
        <v>0</v>
      </c>
      <c r="Q170" s="709">
        <v>0</v>
      </c>
      <c r="R170" s="626">
        <v>0</v>
      </c>
      <c r="S170" s="628">
        <f t="shared" si="23"/>
        <v>1137.9166666666667</v>
      </c>
      <c r="T170" s="602"/>
      <c r="U170" s="637"/>
      <c r="V170" s="637"/>
      <c r="W170" s="637"/>
      <c r="X170" s="637"/>
      <c r="Y170" s="615"/>
      <c r="Z170" s="615"/>
    </row>
    <row r="171" spans="1:26">
      <c r="A171" s="622" t="s">
        <v>626</v>
      </c>
      <c r="B171" s="622" t="s">
        <v>402</v>
      </c>
      <c r="C171" s="623">
        <v>162</v>
      </c>
      <c r="D171" s="624" t="str">
        <f>+A171</f>
        <v>4280</v>
      </c>
      <c r="E171" s="625" t="s">
        <v>627</v>
      </c>
      <c r="F171" s="626">
        <v>172248.52</v>
      </c>
      <c r="G171" s="708">
        <v>14351.32</v>
      </c>
      <c r="H171" s="628">
        <v>28702.639999999999</v>
      </c>
      <c r="I171" s="628">
        <v>42872.84</v>
      </c>
      <c r="J171" s="629">
        <v>57212.84</v>
      </c>
      <c r="K171" s="630">
        <v>71552.84</v>
      </c>
      <c r="L171" s="631">
        <v>85892.84</v>
      </c>
      <c r="M171" s="632">
        <v>100232.84</v>
      </c>
      <c r="N171" s="633">
        <v>114572.84</v>
      </c>
      <c r="O171" s="634">
        <v>128912.84</v>
      </c>
      <c r="P171" s="635">
        <v>143252.84</v>
      </c>
      <c r="Q171" s="709">
        <v>157592.84</v>
      </c>
      <c r="R171" s="626">
        <v>171932.84</v>
      </c>
      <c r="S171" s="628">
        <f t="shared" si="23"/>
        <v>93103.349999999977</v>
      </c>
      <c r="T171" s="602"/>
      <c r="U171" s="637"/>
      <c r="V171" s="637"/>
      <c r="W171" s="637"/>
      <c r="X171" s="637"/>
      <c r="Y171" s="615"/>
      <c r="Z171" s="615"/>
    </row>
    <row r="172" spans="1:26">
      <c r="A172" s="622" t="s">
        <v>628</v>
      </c>
      <c r="B172" s="622" t="s">
        <v>402</v>
      </c>
      <c r="C172" s="623">
        <v>163</v>
      </c>
      <c r="D172" s="624" t="str">
        <f>+A172</f>
        <v>4281</v>
      </c>
      <c r="E172" s="625" t="s">
        <v>629</v>
      </c>
      <c r="F172" s="626">
        <v>40970.639999999999</v>
      </c>
      <c r="G172" s="708">
        <v>3414.22</v>
      </c>
      <c r="H172" s="628">
        <v>6828.44</v>
      </c>
      <c r="I172" s="628">
        <v>10242.66</v>
      </c>
      <c r="J172" s="629">
        <v>13656.88</v>
      </c>
      <c r="K172" s="630">
        <v>17071.099999999999</v>
      </c>
      <c r="L172" s="631">
        <v>20485.32</v>
      </c>
      <c r="M172" s="632">
        <v>23899.54</v>
      </c>
      <c r="N172" s="633">
        <v>27313.759999999998</v>
      </c>
      <c r="O172" s="634">
        <v>30727.98</v>
      </c>
      <c r="P172" s="635">
        <v>34142.199999999997</v>
      </c>
      <c r="Q172" s="709">
        <v>37556.42</v>
      </c>
      <c r="R172" s="626">
        <v>40970.639999999999</v>
      </c>
      <c r="S172" s="628">
        <f t="shared" si="23"/>
        <v>22192.429999999997</v>
      </c>
      <c r="T172" s="602"/>
      <c r="U172" s="637"/>
      <c r="V172" s="637"/>
      <c r="W172" s="637"/>
      <c r="X172" s="637"/>
      <c r="Y172" s="615"/>
      <c r="Z172" s="615"/>
    </row>
    <row r="173" spans="1:26">
      <c r="A173" s="622"/>
      <c r="B173" s="622"/>
      <c r="C173" s="623">
        <v>164</v>
      </c>
      <c r="D173" s="624"/>
      <c r="E173" s="625" t="s">
        <v>630</v>
      </c>
      <c r="F173" s="650">
        <f>SUM(F166:F172)</f>
        <v>11516164.85</v>
      </c>
      <c r="G173" s="650">
        <f t="shared" ref="G173:S173" si="28">SUM(G166:G172)</f>
        <v>977536.2</v>
      </c>
      <c r="H173" s="650">
        <f t="shared" si="28"/>
        <v>1975087.28</v>
      </c>
      <c r="I173" s="650">
        <f t="shared" si="28"/>
        <v>2989591.3200000003</v>
      </c>
      <c r="J173" s="650">
        <f t="shared" si="28"/>
        <v>4015213.28</v>
      </c>
      <c r="K173" s="650">
        <f t="shared" si="28"/>
        <v>5044876.6899999995</v>
      </c>
      <c r="L173" s="650">
        <f t="shared" si="28"/>
        <v>6071067.8700000001</v>
      </c>
      <c r="M173" s="650">
        <f t="shared" si="28"/>
        <v>7061828.7199999997</v>
      </c>
      <c r="N173" s="650">
        <f t="shared" si="28"/>
        <v>8073327.0799999991</v>
      </c>
      <c r="O173" s="650">
        <f t="shared" si="28"/>
        <v>9074873.9700000007</v>
      </c>
      <c r="P173" s="650">
        <f t="shared" si="28"/>
        <v>10072427.629999999</v>
      </c>
      <c r="Q173" s="650">
        <f t="shared" si="28"/>
        <v>11042380.58</v>
      </c>
      <c r="R173" s="650">
        <f t="shared" si="28"/>
        <v>12011342.050000001</v>
      </c>
      <c r="S173" s="650">
        <f t="shared" si="28"/>
        <v>6513497.0058333343</v>
      </c>
      <c r="T173" s="602"/>
      <c r="U173" s="638">
        <f>S173</f>
        <v>6513497.0058333343</v>
      </c>
      <c r="V173" s="637"/>
      <c r="W173" s="637"/>
      <c r="X173" s="638"/>
      <c r="Y173" s="615"/>
      <c r="Z173" s="615"/>
    </row>
    <row r="174" spans="1:26">
      <c r="A174" s="622"/>
      <c r="B174" s="622"/>
      <c r="C174" s="623">
        <v>165</v>
      </c>
      <c r="D174" s="624"/>
      <c r="E174" s="625"/>
      <c r="F174" s="626"/>
      <c r="G174" s="708"/>
      <c r="H174" s="628"/>
      <c r="I174" s="628"/>
      <c r="J174" s="629"/>
      <c r="K174" s="630"/>
      <c r="L174" s="631"/>
      <c r="M174" s="632"/>
      <c r="N174" s="633"/>
      <c r="O174" s="634"/>
      <c r="P174" s="635"/>
      <c r="Q174" s="709"/>
      <c r="R174" s="626"/>
      <c r="S174" s="628">
        <f t="shared" si="23"/>
        <v>0</v>
      </c>
      <c r="T174" s="602"/>
      <c r="U174" s="637"/>
      <c r="V174" s="637"/>
      <c r="W174" s="637"/>
      <c r="X174" s="637"/>
      <c r="Y174" s="615"/>
      <c r="Z174" s="615"/>
    </row>
    <row r="175" spans="1:26">
      <c r="A175" s="622" t="s">
        <v>631</v>
      </c>
      <c r="B175" s="622" t="s">
        <v>402</v>
      </c>
      <c r="C175" s="623">
        <v>166</v>
      </c>
      <c r="D175" s="624" t="str">
        <f t="shared" ref="D175:D181" si="29">+A175</f>
        <v>4091</v>
      </c>
      <c r="E175" s="625" t="s">
        <v>632</v>
      </c>
      <c r="F175" s="626">
        <v>3112194.93</v>
      </c>
      <c r="G175" s="708">
        <v>2557266.35</v>
      </c>
      <c r="H175" s="628">
        <v>4076844.5</v>
      </c>
      <c r="I175" s="628">
        <v>5601669.1900000004</v>
      </c>
      <c r="J175" s="629">
        <v>5723490.9400000004</v>
      </c>
      <c r="K175" s="630">
        <v>5087405.2699999996</v>
      </c>
      <c r="L175" s="631">
        <v>3936066.91</v>
      </c>
      <c r="M175" s="632">
        <v>3299654.61</v>
      </c>
      <c r="N175" s="633">
        <v>2254452.36</v>
      </c>
      <c r="O175" s="634">
        <v>342403.22</v>
      </c>
      <c r="P175" s="635">
        <v>694977.99</v>
      </c>
      <c r="Q175" s="709">
        <v>767944.27</v>
      </c>
      <c r="R175" s="626">
        <v>4577015.2699999996</v>
      </c>
      <c r="S175" s="628">
        <f t="shared" si="23"/>
        <v>3182231.7258333336</v>
      </c>
      <c r="T175" s="602"/>
      <c r="U175" s="637"/>
      <c r="V175" s="637"/>
      <c r="W175" s="637"/>
      <c r="X175" s="637"/>
      <c r="Y175" s="615"/>
      <c r="Z175" s="615"/>
    </row>
    <row r="176" spans="1:26">
      <c r="A176" s="622" t="s">
        <v>633</v>
      </c>
      <c r="B176" s="622" t="s">
        <v>402</v>
      </c>
      <c r="C176" s="623">
        <v>167</v>
      </c>
      <c r="D176" s="624" t="str">
        <f t="shared" si="29"/>
        <v>4092</v>
      </c>
      <c r="E176" s="625" t="s">
        <v>634</v>
      </c>
      <c r="F176" s="626">
        <v>2861307.83</v>
      </c>
      <c r="G176" s="708">
        <v>1791.34</v>
      </c>
      <c r="H176" s="628">
        <v>-4072.77</v>
      </c>
      <c r="I176" s="628">
        <v>6168.62</v>
      </c>
      <c r="J176" s="629">
        <v>12619.45</v>
      </c>
      <c r="K176" s="630">
        <v>29679.09</v>
      </c>
      <c r="L176" s="631">
        <v>46194.23</v>
      </c>
      <c r="M176" s="632">
        <v>58088.959999999999</v>
      </c>
      <c r="N176" s="633">
        <v>124414.75</v>
      </c>
      <c r="O176" s="634">
        <v>-3959.8000000000202</v>
      </c>
      <c r="P176" s="635">
        <v>-158977.68</v>
      </c>
      <c r="Q176" s="709">
        <v>-68477.759999999995</v>
      </c>
      <c r="R176" s="626">
        <v>-202120.14</v>
      </c>
      <c r="S176" s="628">
        <f t="shared" si="23"/>
        <v>114421.85625</v>
      </c>
      <c r="T176" s="602"/>
      <c r="U176" s="637"/>
      <c r="V176" s="637"/>
      <c r="W176" s="637"/>
      <c r="X176" s="637"/>
      <c r="Y176" s="615"/>
      <c r="Z176" s="615"/>
    </row>
    <row r="177" spans="1:26">
      <c r="A177" s="622" t="s">
        <v>635</v>
      </c>
      <c r="B177" s="622" t="s">
        <v>402</v>
      </c>
      <c r="C177" s="623">
        <v>168</v>
      </c>
      <c r="D177" s="624" t="str">
        <f t="shared" si="29"/>
        <v>4101</v>
      </c>
      <c r="E177" s="625" t="s">
        <v>636</v>
      </c>
      <c r="F177" s="626">
        <v>41338.980000000003</v>
      </c>
      <c r="G177" s="708">
        <v>-43647.16</v>
      </c>
      <c r="H177" s="628">
        <v>-87294.41</v>
      </c>
      <c r="I177" s="628">
        <v>-479450.32</v>
      </c>
      <c r="J177" s="629">
        <v>-635749.15</v>
      </c>
      <c r="K177" s="630">
        <v>-792047.99</v>
      </c>
      <c r="L177" s="631">
        <v>-547043.65</v>
      </c>
      <c r="M177" s="632">
        <v>-636507.4</v>
      </c>
      <c r="N177" s="633">
        <v>-725971.16</v>
      </c>
      <c r="O177" s="634">
        <v>452676.07</v>
      </c>
      <c r="P177" s="635">
        <v>330098.7</v>
      </c>
      <c r="Q177" s="709">
        <v>2214308.3199999998</v>
      </c>
      <c r="R177" s="626">
        <v>1569439.44</v>
      </c>
      <c r="S177" s="628">
        <f t="shared" si="23"/>
        <v>-12103.245000000034</v>
      </c>
      <c r="T177" s="602"/>
      <c r="U177" s="637"/>
      <c r="V177" s="637"/>
      <c r="W177" s="637"/>
      <c r="X177" s="637"/>
      <c r="Y177" s="615"/>
      <c r="Z177" s="615"/>
    </row>
    <row r="178" spans="1:26">
      <c r="A178" s="622" t="s">
        <v>637</v>
      </c>
      <c r="B178" s="622" t="s">
        <v>402</v>
      </c>
      <c r="C178" s="623">
        <v>169</v>
      </c>
      <c r="D178" s="723" t="str">
        <f t="shared" si="29"/>
        <v>4102</v>
      </c>
      <c r="E178" s="625" t="s">
        <v>638</v>
      </c>
      <c r="F178" s="626">
        <v>0</v>
      </c>
      <c r="G178" s="708">
        <v>0</v>
      </c>
      <c r="H178" s="628">
        <v>0</v>
      </c>
      <c r="I178" s="628">
        <v>0</v>
      </c>
      <c r="J178" s="629">
        <v>0</v>
      </c>
      <c r="K178" s="630">
        <v>0</v>
      </c>
      <c r="L178" s="631">
        <v>0</v>
      </c>
      <c r="M178" s="632">
        <v>0</v>
      </c>
      <c r="N178" s="633">
        <v>0</v>
      </c>
      <c r="O178" s="634">
        <v>0</v>
      </c>
      <c r="P178" s="635">
        <v>0</v>
      </c>
      <c r="Q178" s="709">
        <v>0</v>
      </c>
      <c r="R178" s="626">
        <v>0</v>
      </c>
      <c r="S178" s="628">
        <f t="shared" si="23"/>
        <v>0</v>
      </c>
      <c r="T178" s="602"/>
      <c r="U178" s="637"/>
      <c r="V178" s="637"/>
      <c r="W178" s="637"/>
      <c r="X178" s="637"/>
      <c r="Y178" s="615"/>
      <c r="Z178" s="615"/>
    </row>
    <row r="179" spans="1:26">
      <c r="A179" s="622" t="s">
        <v>639</v>
      </c>
      <c r="B179" s="622" t="s">
        <v>402</v>
      </c>
      <c r="C179" s="623">
        <v>170</v>
      </c>
      <c r="D179" s="724" t="str">
        <f t="shared" si="29"/>
        <v>4111</v>
      </c>
      <c r="E179" s="625" t="s">
        <v>640</v>
      </c>
      <c r="F179" s="626">
        <v>0</v>
      </c>
      <c r="G179" s="708">
        <v>0</v>
      </c>
      <c r="H179" s="628">
        <v>0</v>
      </c>
      <c r="I179" s="628">
        <v>0</v>
      </c>
      <c r="J179" s="629">
        <v>0</v>
      </c>
      <c r="K179" s="630">
        <v>0</v>
      </c>
      <c r="L179" s="631">
        <v>0</v>
      </c>
      <c r="M179" s="632">
        <v>0</v>
      </c>
      <c r="N179" s="633">
        <v>0</v>
      </c>
      <c r="O179" s="634">
        <v>0</v>
      </c>
      <c r="P179" s="635">
        <v>0</v>
      </c>
      <c r="Q179" s="709">
        <v>0</v>
      </c>
      <c r="R179" s="626">
        <v>0</v>
      </c>
      <c r="S179" s="628">
        <f t="shared" si="23"/>
        <v>0</v>
      </c>
      <c r="T179" s="602"/>
      <c r="U179" s="637"/>
      <c r="V179" s="637"/>
      <c r="W179" s="637"/>
      <c r="X179" s="637"/>
      <c r="Y179" s="615"/>
      <c r="Z179" s="615"/>
    </row>
    <row r="180" spans="1:26">
      <c r="A180" s="622" t="s">
        <v>641</v>
      </c>
      <c r="B180" s="622" t="s">
        <v>402</v>
      </c>
      <c r="C180" s="623">
        <v>171</v>
      </c>
      <c r="D180" s="723" t="str">
        <f t="shared" si="29"/>
        <v>4112</v>
      </c>
      <c r="E180" s="625" t="s">
        <v>642</v>
      </c>
      <c r="F180" s="626">
        <v>0</v>
      </c>
      <c r="G180" s="708">
        <v>0</v>
      </c>
      <c r="H180" s="628">
        <v>0</v>
      </c>
      <c r="I180" s="628">
        <v>0</v>
      </c>
      <c r="J180" s="629">
        <v>0</v>
      </c>
      <c r="K180" s="630">
        <v>0</v>
      </c>
      <c r="L180" s="631">
        <v>0</v>
      </c>
      <c r="M180" s="632">
        <v>0</v>
      </c>
      <c r="N180" s="633">
        <v>0</v>
      </c>
      <c r="O180" s="634">
        <v>0</v>
      </c>
      <c r="P180" s="635">
        <v>0</v>
      </c>
      <c r="Q180" s="709">
        <v>0</v>
      </c>
      <c r="R180" s="626">
        <v>0</v>
      </c>
      <c r="S180" s="628">
        <f t="shared" si="23"/>
        <v>0</v>
      </c>
      <c r="T180" s="602"/>
      <c r="U180" s="637"/>
      <c r="V180" s="637"/>
      <c r="W180" s="637"/>
      <c r="X180" s="637"/>
      <c r="Y180" s="615"/>
      <c r="Z180" s="615"/>
    </row>
    <row r="181" spans="1:26">
      <c r="A181" s="622" t="s">
        <v>643</v>
      </c>
      <c r="B181" s="622" t="s">
        <v>402</v>
      </c>
      <c r="C181" s="623">
        <v>172</v>
      </c>
      <c r="D181" s="624" t="str">
        <f t="shared" si="29"/>
        <v>[4200,4114]</v>
      </c>
      <c r="E181" s="625" t="s">
        <v>644</v>
      </c>
      <c r="F181" s="626">
        <v>-52577</v>
      </c>
      <c r="G181" s="708">
        <v>-4126.08</v>
      </c>
      <c r="H181" s="628">
        <v>-8252.17</v>
      </c>
      <c r="I181" s="628">
        <v>-12378.25</v>
      </c>
      <c r="J181" s="629">
        <v>-16504.330000000002</v>
      </c>
      <c r="K181" s="630">
        <v>-20630.419999999998</v>
      </c>
      <c r="L181" s="631">
        <v>-24404</v>
      </c>
      <c r="M181" s="632">
        <v>-28471.33</v>
      </c>
      <c r="N181" s="633">
        <v>-32538.67</v>
      </c>
      <c r="O181" s="634">
        <v>-36606</v>
      </c>
      <c r="P181" s="635">
        <v>-40673.33</v>
      </c>
      <c r="Q181" s="709">
        <v>-44766.67</v>
      </c>
      <c r="R181" s="626">
        <v>-48834</v>
      </c>
      <c r="S181" s="628">
        <f t="shared" si="23"/>
        <v>-26671.395833333332</v>
      </c>
      <c r="T181" s="602"/>
      <c r="U181" s="637"/>
      <c r="V181" s="637"/>
      <c r="W181" s="637"/>
      <c r="X181" s="637"/>
      <c r="Y181" s="615"/>
      <c r="Z181" s="615"/>
    </row>
    <row r="182" spans="1:26">
      <c r="A182" s="622"/>
      <c r="B182" s="622"/>
      <c r="C182" s="623">
        <v>173</v>
      </c>
      <c r="D182" s="624"/>
      <c r="E182" s="625" t="s">
        <v>645</v>
      </c>
      <c r="F182" s="650">
        <f>SUM(F175:F181)</f>
        <v>5962264.7400000002</v>
      </c>
      <c r="G182" s="650">
        <f t="shared" ref="G182:S182" si="30">SUM(G175:G181)</f>
        <v>2511284.4499999997</v>
      </c>
      <c r="H182" s="650">
        <f t="shared" si="30"/>
        <v>3977225.15</v>
      </c>
      <c r="I182" s="650">
        <f t="shared" si="30"/>
        <v>5116009.24</v>
      </c>
      <c r="J182" s="650">
        <f t="shared" si="30"/>
        <v>5083856.91</v>
      </c>
      <c r="K182" s="650">
        <f t="shared" si="30"/>
        <v>4304405.9499999993</v>
      </c>
      <c r="L182" s="650">
        <f t="shared" si="30"/>
        <v>3410813.49</v>
      </c>
      <c r="M182" s="650">
        <f t="shared" si="30"/>
        <v>2692764.84</v>
      </c>
      <c r="N182" s="650">
        <f t="shared" si="30"/>
        <v>1620357.2799999998</v>
      </c>
      <c r="O182" s="650">
        <f t="shared" si="30"/>
        <v>754513.49</v>
      </c>
      <c r="P182" s="650">
        <f t="shared" si="30"/>
        <v>825425.68</v>
      </c>
      <c r="Q182" s="650">
        <f t="shared" si="30"/>
        <v>2869008.16</v>
      </c>
      <c r="R182" s="650">
        <f t="shared" si="30"/>
        <v>5895500.5700000003</v>
      </c>
      <c r="S182" s="650">
        <f t="shared" si="30"/>
        <v>3257878.9412500001</v>
      </c>
      <c r="T182" s="602"/>
      <c r="U182" s="638">
        <f>S182</f>
        <v>3257878.9412500001</v>
      </c>
      <c r="V182" s="637"/>
      <c r="W182" s="637"/>
      <c r="X182" s="638"/>
      <c r="Y182" s="615"/>
      <c r="Z182" s="615"/>
    </row>
    <row r="183" spans="1:26">
      <c r="A183" s="622"/>
      <c r="B183" s="622"/>
      <c r="C183" s="623">
        <v>174</v>
      </c>
      <c r="D183" s="624"/>
      <c r="E183" s="625"/>
      <c r="F183" s="626"/>
      <c r="G183" s="708"/>
      <c r="H183" s="628"/>
      <c r="I183" s="628"/>
      <c r="J183" s="629"/>
      <c r="K183" s="630"/>
      <c r="L183" s="631"/>
      <c r="M183" s="632"/>
      <c r="N183" s="633"/>
      <c r="O183" s="634"/>
      <c r="P183" s="635"/>
      <c r="Q183" s="709"/>
      <c r="R183" s="626"/>
      <c r="S183" s="628">
        <f t="shared" si="23"/>
        <v>0</v>
      </c>
      <c r="T183" s="602"/>
      <c r="U183" s="637"/>
      <c r="V183" s="637"/>
      <c r="W183" s="637"/>
      <c r="X183" s="637"/>
      <c r="Y183" s="615"/>
      <c r="Z183" s="615"/>
    </row>
    <row r="184" spans="1:26">
      <c r="A184" s="622"/>
      <c r="B184" s="622"/>
      <c r="C184" s="623">
        <v>175</v>
      </c>
      <c r="D184" s="624"/>
      <c r="E184" s="625"/>
      <c r="F184" s="626"/>
      <c r="G184" s="708"/>
      <c r="H184" s="628"/>
      <c r="I184" s="628"/>
      <c r="J184" s="629"/>
      <c r="K184" s="630"/>
      <c r="L184" s="631"/>
      <c r="M184" s="632"/>
      <c r="N184" s="633"/>
      <c r="O184" s="634"/>
      <c r="P184" s="635"/>
      <c r="Q184" s="709"/>
      <c r="R184" s="626"/>
      <c r="S184" s="628">
        <f t="shared" si="23"/>
        <v>0</v>
      </c>
      <c r="T184" s="602"/>
      <c r="U184" s="637"/>
      <c r="V184" s="637"/>
      <c r="W184" s="637"/>
      <c r="X184" s="637"/>
      <c r="Y184" s="615"/>
      <c r="Z184" s="615"/>
    </row>
    <row r="185" spans="1:26">
      <c r="A185" s="622" t="s">
        <v>646</v>
      </c>
      <c r="B185" s="622" t="s">
        <v>402</v>
      </c>
      <c r="C185" s="623">
        <v>176</v>
      </c>
      <c r="D185" s="725" t="s">
        <v>646</v>
      </c>
      <c r="E185" s="625" t="s">
        <v>647</v>
      </c>
      <c r="F185" s="626">
        <v>0</v>
      </c>
      <c r="G185" s="708">
        <v>0</v>
      </c>
      <c r="H185" s="628">
        <v>0</v>
      </c>
      <c r="I185" s="628">
        <v>0</v>
      </c>
      <c r="J185" s="629">
        <v>0</v>
      </c>
      <c r="K185" s="630">
        <v>0</v>
      </c>
      <c r="L185" s="631">
        <v>0</v>
      </c>
      <c r="M185" s="632">
        <v>0</v>
      </c>
      <c r="N185" s="633">
        <v>0</v>
      </c>
      <c r="O185" s="634">
        <v>0</v>
      </c>
      <c r="P185" s="635">
        <v>0</v>
      </c>
      <c r="Q185" s="709">
        <v>0</v>
      </c>
      <c r="R185" s="626">
        <v>0</v>
      </c>
      <c r="S185" s="628">
        <f t="shared" si="23"/>
        <v>0</v>
      </c>
      <c r="T185" s="602"/>
      <c r="U185" s="637"/>
      <c r="V185" s="637"/>
      <c r="W185" s="637"/>
      <c r="X185" s="637"/>
      <c r="Y185" s="615"/>
      <c r="Z185" s="615"/>
    </row>
    <row r="186" spans="1:26">
      <c r="A186" s="622" t="s">
        <v>648</v>
      </c>
      <c r="B186" s="622" t="s">
        <v>402</v>
      </c>
      <c r="C186" s="623">
        <v>177</v>
      </c>
      <c r="D186" s="725" t="s">
        <v>648</v>
      </c>
      <c r="E186" s="625" t="s">
        <v>353</v>
      </c>
      <c r="F186" s="626">
        <v>0</v>
      </c>
      <c r="G186" s="708">
        <v>0</v>
      </c>
      <c r="H186" s="628">
        <v>0</v>
      </c>
      <c r="I186" s="628">
        <v>0</v>
      </c>
      <c r="J186" s="629">
        <v>0</v>
      </c>
      <c r="K186" s="630">
        <v>0</v>
      </c>
      <c r="L186" s="631">
        <v>0</v>
      </c>
      <c r="M186" s="632">
        <v>0</v>
      </c>
      <c r="N186" s="633">
        <v>0</v>
      </c>
      <c r="O186" s="634">
        <v>0</v>
      </c>
      <c r="P186" s="635">
        <v>0</v>
      </c>
      <c r="Q186" s="709">
        <v>0</v>
      </c>
      <c r="R186" s="626">
        <v>0</v>
      </c>
      <c r="S186" s="628">
        <f t="shared" si="23"/>
        <v>0</v>
      </c>
      <c r="T186" s="602"/>
      <c r="U186" s="637"/>
      <c r="V186" s="637"/>
      <c r="W186" s="637"/>
      <c r="X186" s="637"/>
      <c r="Y186" s="615"/>
      <c r="Z186" s="615"/>
    </row>
    <row r="187" spans="1:26">
      <c r="A187" s="622" t="s">
        <v>649</v>
      </c>
      <c r="B187" s="622" t="s">
        <v>402</v>
      </c>
      <c r="C187" s="623">
        <v>178</v>
      </c>
      <c r="D187" s="722" t="s">
        <v>650</v>
      </c>
      <c r="E187" s="625" t="s">
        <v>355</v>
      </c>
      <c r="F187" s="626">
        <v>263833.14</v>
      </c>
      <c r="G187" s="708">
        <v>14753.75</v>
      </c>
      <c r="H187" s="628">
        <v>43293.75</v>
      </c>
      <c r="I187" s="628">
        <v>60860.21</v>
      </c>
      <c r="J187" s="629">
        <v>74110.210000000006</v>
      </c>
      <c r="K187" s="630">
        <v>78050.210000000006</v>
      </c>
      <c r="L187" s="631">
        <v>82558.600000000006</v>
      </c>
      <c r="M187" s="632">
        <v>107911.98</v>
      </c>
      <c r="N187" s="633">
        <v>136956.31</v>
      </c>
      <c r="O187" s="703">
        <v>195295.73</v>
      </c>
      <c r="P187" s="635">
        <v>214414.6</v>
      </c>
      <c r="Q187" s="709">
        <v>224245.8</v>
      </c>
      <c r="R187" s="626">
        <v>232468.15</v>
      </c>
      <c r="S187" s="628">
        <f t="shared" si="23"/>
        <v>123383.48291666666</v>
      </c>
      <c r="T187" s="606"/>
      <c r="U187" s="637"/>
      <c r="V187" s="637"/>
      <c r="W187" s="637"/>
      <c r="X187" s="637"/>
      <c r="Y187" s="615"/>
      <c r="Z187" s="615"/>
    </row>
    <row r="188" spans="1:26">
      <c r="A188" s="622" t="s">
        <v>651</v>
      </c>
      <c r="B188" s="704" t="s">
        <v>402</v>
      </c>
      <c r="C188" s="623">
        <v>179</v>
      </c>
      <c r="D188" s="722" t="s">
        <v>652</v>
      </c>
      <c r="E188" s="625" t="s">
        <v>359</v>
      </c>
      <c r="F188" s="626">
        <v>275000</v>
      </c>
      <c r="G188" s="708">
        <v>0</v>
      </c>
      <c r="H188" s="628">
        <v>0</v>
      </c>
      <c r="I188" s="628">
        <v>39.04</v>
      </c>
      <c r="J188" s="629">
        <v>1138.45</v>
      </c>
      <c r="K188" s="630">
        <v>1138.45</v>
      </c>
      <c r="L188" s="631">
        <v>1138.45</v>
      </c>
      <c r="M188" s="632">
        <v>1183.79</v>
      </c>
      <c r="N188" s="633">
        <v>1183.79</v>
      </c>
      <c r="O188" s="634">
        <v>251183.79</v>
      </c>
      <c r="P188" s="635">
        <v>1001183.79</v>
      </c>
      <c r="Q188" s="709">
        <v>1001183.79</v>
      </c>
      <c r="R188" s="626">
        <v>1001183.79</v>
      </c>
      <c r="S188" s="628">
        <f t="shared" si="23"/>
        <v>241455.43625</v>
      </c>
      <c r="T188" s="602"/>
      <c r="U188" s="637"/>
      <c r="V188" s="637"/>
      <c r="W188" s="637"/>
      <c r="X188" s="637"/>
      <c r="Y188" s="615"/>
      <c r="Z188" s="615"/>
    </row>
    <row r="189" spans="1:26">
      <c r="A189" s="622" t="s">
        <v>402</v>
      </c>
      <c r="B189" s="622" t="s">
        <v>653</v>
      </c>
      <c r="C189" s="623">
        <v>180</v>
      </c>
      <c r="D189" s="722" t="s">
        <v>653</v>
      </c>
      <c r="E189" s="625" t="s">
        <v>654</v>
      </c>
      <c r="F189" s="626">
        <v>140881.34</v>
      </c>
      <c r="G189" s="708">
        <v>10696.89</v>
      </c>
      <c r="H189" s="628">
        <v>22607.64</v>
      </c>
      <c r="I189" s="628">
        <v>36018.39</v>
      </c>
      <c r="J189" s="629">
        <v>45929.14</v>
      </c>
      <c r="K189" s="630">
        <v>50839.89</v>
      </c>
      <c r="L189" s="631">
        <v>62856.41</v>
      </c>
      <c r="M189" s="632">
        <v>74025.3</v>
      </c>
      <c r="N189" s="633">
        <v>83998.75</v>
      </c>
      <c r="O189" s="703">
        <v>94998.41</v>
      </c>
      <c r="P189" s="635">
        <v>101488.85</v>
      </c>
      <c r="Q189" s="709">
        <v>112743.55</v>
      </c>
      <c r="R189" s="626">
        <v>128203.67</v>
      </c>
      <c r="S189" s="628">
        <f t="shared" si="23"/>
        <v>69228.810416666674</v>
      </c>
      <c r="T189" s="602"/>
      <c r="U189" s="637"/>
      <c r="V189" s="637"/>
      <c r="W189" s="637"/>
      <c r="X189" s="637"/>
      <c r="Y189" s="615"/>
      <c r="Z189" s="615"/>
    </row>
    <row r="190" spans="1:26">
      <c r="A190" s="622" t="s">
        <v>655</v>
      </c>
      <c r="B190" s="622" t="s">
        <v>402</v>
      </c>
      <c r="C190" s="623">
        <v>181</v>
      </c>
      <c r="D190" s="722" t="s">
        <v>656</v>
      </c>
      <c r="E190" s="625" t="s">
        <v>363</v>
      </c>
      <c r="F190" s="626">
        <v>213923.08</v>
      </c>
      <c r="G190" s="708">
        <v>0</v>
      </c>
      <c r="H190" s="628">
        <v>0</v>
      </c>
      <c r="I190" s="628">
        <v>631.73</v>
      </c>
      <c r="J190" s="629">
        <v>631.73</v>
      </c>
      <c r="K190" s="630">
        <v>631.73</v>
      </c>
      <c r="L190" s="631">
        <v>631.73</v>
      </c>
      <c r="M190" s="632">
        <v>816.73</v>
      </c>
      <c r="N190" s="633">
        <v>1126.73</v>
      </c>
      <c r="O190" s="703">
        <v>1126.73</v>
      </c>
      <c r="P190" s="635">
        <v>1126.73</v>
      </c>
      <c r="Q190" s="709">
        <v>1436.73</v>
      </c>
      <c r="R190" s="626">
        <v>1436.73</v>
      </c>
      <c r="S190" s="628">
        <f t="shared" si="23"/>
        <v>9653.3729166666672</v>
      </c>
      <c r="T190" s="602"/>
      <c r="U190" s="637"/>
      <c r="V190" s="637"/>
      <c r="W190" s="637"/>
      <c r="X190" s="637"/>
      <c r="Y190" s="615"/>
      <c r="Z190" s="615"/>
    </row>
    <row r="191" spans="1:26">
      <c r="A191" s="622" t="s">
        <v>657</v>
      </c>
      <c r="B191" s="622" t="s">
        <v>402</v>
      </c>
      <c r="C191" s="623">
        <v>182</v>
      </c>
      <c r="D191" s="722" t="s">
        <v>658</v>
      </c>
      <c r="E191" s="625" t="s">
        <v>659</v>
      </c>
      <c r="F191" s="626">
        <v>0</v>
      </c>
      <c r="G191" s="708">
        <v>0</v>
      </c>
      <c r="H191" s="628">
        <v>0</v>
      </c>
      <c r="I191" s="628">
        <v>0</v>
      </c>
      <c r="J191" s="629">
        <v>0</v>
      </c>
      <c r="K191" s="630">
        <v>0</v>
      </c>
      <c r="L191" s="631">
        <v>0</v>
      </c>
      <c r="M191" s="632">
        <v>0</v>
      </c>
      <c r="N191" s="633">
        <v>0</v>
      </c>
      <c r="O191" s="634">
        <v>0</v>
      </c>
      <c r="P191" s="635">
        <v>0</v>
      </c>
      <c r="Q191" s="709">
        <v>0</v>
      </c>
      <c r="R191" s="626">
        <v>0</v>
      </c>
      <c r="S191" s="628">
        <f t="shared" si="23"/>
        <v>0</v>
      </c>
      <c r="T191" s="602"/>
      <c r="U191" s="637"/>
      <c r="V191" s="637"/>
      <c r="W191" s="637"/>
      <c r="X191" s="637"/>
      <c r="Y191" s="615"/>
      <c r="Z191" s="615"/>
    </row>
    <row r="192" spans="1:26">
      <c r="A192" s="598" t="s">
        <v>660</v>
      </c>
      <c r="B192" s="598" t="s">
        <v>658</v>
      </c>
      <c r="C192" s="623">
        <v>183</v>
      </c>
      <c r="D192" s="600" t="str">
        <f>A192&amp;"."&amp;B192</f>
        <v>6011.4171</v>
      </c>
      <c r="E192" s="726" t="s">
        <v>661</v>
      </c>
      <c r="F192" s="626">
        <v>0</v>
      </c>
      <c r="G192" s="708">
        <v>0</v>
      </c>
      <c r="H192" s="628">
        <v>0</v>
      </c>
      <c r="I192" s="628">
        <v>0</v>
      </c>
      <c r="J192" s="629">
        <v>0</v>
      </c>
      <c r="K192" s="630">
        <v>0</v>
      </c>
      <c r="L192" s="631">
        <v>0</v>
      </c>
      <c r="M192" s="632">
        <v>0</v>
      </c>
      <c r="N192" s="633">
        <v>0</v>
      </c>
      <c r="O192" s="634">
        <v>0</v>
      </c>
      <c r="P192" s="635">
        <v>0</v>
      </c>
      <c r="Q192" s="709">
        <v>0</v>
      </c>
      <c r="R192" s="626">
        <v>0</v>
      </c>
      <c r="S192" s="628">
        <f t="shared" si="23"/>
        <v>0</v>
      </c>
      <c r="T192" s="602"/>
      <c r="U192" s="637"/>
      <c r="V192" s="637"/>
      <c r="W192" s="637"/>
      <c r="X192" s="637"/>
      <c r="Y192" s="615"/>
      <c r="Z192" s="615"/>
    </row>
    <row r="193" spans="1:26">
      <c r="A193" s="622" t="s">
        <v>662</v>
      </c>
      <c r="B193" s="622" t="s">
        <v>402</v>
      </c>
      <c r="C193" s="623">
        <v>184</v>
      </c>
      <c r="D193" s="624" t="str">
        <f>+A193</f>
        <v>4082</v>
      </c>
      <c r="E193" s="625" t="s">
        <v>663</v>
      </c>
      <c r="F193" s="626">
        <v>2940.1</v>
      </c>
      <c r="G193" s="708">
        <v>0</v>
      </c>
      <c r="H193" s="628">
        <v>0</v>
      </c>
      <c r="I193" s="628">
        <v>0</v>
      </c>
      <c r="J193" s="629">
        <v>1582.18</v>
      </c>
      <c r="K193" s="630">
        <v>1582.18</v>
      </c>
      <c r="L193" s="631">
        <v>1582.18</v>
      </c>
      <c r="M193" s="632">
        <v>1582.18</v>
      </c>
      <c r="N193" s="633">
        <v>3164.36</v>
      </c>
      <c r="O193" s="634">
        <v>3164.36</v>
      </c>
      <c r="P193" s="635">
        <v>3164.36</v>
      </c>
      <c r="Q193" s="709">
        <v>3164.36</v>
      </c>
      <c r="R193" s="626">
        <v>3164.36</v>
      </c>
      <c r="S193" s="628">
        <f t="shared" si="23"/>
        <v>1836.5325</v>
      </c>
      <c r="T193" s="602"/>
      <c r="U193" s="637"/>
      <c r="V193" s="637"/>
      <c r="W193" s="637"/>
      <c r="X193" s="637"/>
      <c r="Y193" s="615"/>
      <c r="Z193" s="615"/>
    </row>
    <row r="194" spans="1:26">
      <c r="A194" s="622"/>
      <c r="B194" s="622"/>
      <c r="C194" s="623">
        <v>185</v>
      </c>
      <c r="D194" s="624"/>
      <c r="E194" s="625" t="s">
        <v>664</v>
      </c>
      <c r="F194" s="650">
        <f>SUM(F185:F193)</f>
        <v>896577.65999999992</v>
      </c>
      <c r="G194" s="650">
        <f t="shared" ref="G194:S194" si="31">SUM(G185:G193)</f>
        <v>25450.639999999999</v>
      </c>
      <c r="H194" s="650">
        <f t="shared" si="31"/>
        <v>65901.39</v>
      </c>
      <c r="I194" s="650">
        <f t="shared" si="31"/>
        <v>97549.37</v>
      </c>
      <c r="J194" s="650">
        <f t="shared" si="31"/>
        <v>123391.70999999999</v>
      </c>
      <c r="K194" s="650">
        <f t="shared" si="31"/>
        <v>132242.46</v>
      </c>
      <c r="L194" s="650">
        <f t="shared" si="31"/>
        <v>148767.37000000002</v>
      </c>
      <c r="M194" s="650">
        <f t="shared" si="31"/>
        <v>185519.98</v>
      </c>
      <c r="N194" s="650">
        <f t="shared" si="31"/>
        <v>226429.94</v>
      </c>
      <c r="O194" s="650">
        <f t="shared" si="31"/>
        <v>545769.02</v>
      </c>
      <c r="P194" s="650">
        <f t="shared" si="31"/>
        <v>1321378.3300000003</v>
      </c>
      <c r="Q194" s="650">
        <f t="shared" si="31"/>
        <v>1342774.2300000002</v>
      </c>
      <c r="R194" s="650">
        <f t="shared" si="31"/>
        <v>1366456.7</v>
      </c>
      <c r="S194" s="650">
        <f t="shared" si="31"/>
        <v>445557.63500000001</v>
      </c>
      <c r="T194" s="602"/>
      <c r="U194" s="638">
        <f>S194</f>
        <v>445557.63500000001</v>
      </c>
      <c r="V194" s="637"/>
      <c r="W194" s="637"/>
      <c r="X194" s="638"/>
      <c r="Y194" s="615"/>
      <c r="Z194" s="615"/>
    </row>
    <row r="195" spans="1:26">
      <c r="A195" s="622"/>
      <c r="B195" s="622"/>
      <c r="C195" s="623">
        <v>186</v>
      </c>
      <c r="D195" s="624"/>
      <c r="E195" s="625"/>
      <c r="F195" s="626"/>
      <c r="G195" s="708"/>
      <c r="H195" s="628"/>
      <c r="I195" s="628"/>
      <c r="J195" s="629"/>
      <c r="K195" s="630"/>
      <c r="L195" s="631"/>
      <c r="M195" s="632"/>
      <c r="N195" s="633"/>
      <c r="O195" s="634"/>
      <c r="P195" s="635"/>
      <c r="Q195" s="709"/>
      <c r="R195" s="626"/>
      <c r="S195" s="628">
        <f t="shared" si="23"/>
        <v>0</v>
      </c>
      <c r="T195" s="602"/>
      <c r="U195" s="637"/>
      <c r="V195" s="637"/>
      <c r="W195" s="637"/>
      <c r="X195" s="637"/>
      <c r="Y195" s="615"/>
      <c r="Z195" s="615"/>
    </row>
    <row r="196" spans="1:26">
      <c r="A196" s="622" t="s">
        <v>665</v>
      </c>
      <c r="B196" s="622" t="s">
        <v>402</v>
      </c>
      <c r="C196" s="623">
        <v>187</v>
      </c>
      <c r="D196" s="624" t="str">
        <f>+A196</f>
        <v>4380</v>
      </c>
      <c r="E196" s="625" t="s">
        <v>666</v>
      </c>
      <c r="F196" s="626">
        <v>16640000</v>
      </c>
      <c r="G196" s="708">
        <v>0</v>
      </c>
      <c r="H196" s="628">
        <v>4160000</v>
      </c>
      <c r="I196" s="628">
        <v>4160000</v>
      </c>
      <c r="J196" s="629">
        <v>4160000</v>
      </c>
      <c r="K196" s="630">
        <v>8320000</v>
      </c>
      <c r="L196" s="631">
        <v>8320000</v>
      </c>
      <c r="M196" s="632">
        <v>8320000</v>
      </c>
      <c r="N196" s="633">
        <v>12480000</v>
      </c>
      <c r="O196" s="634">
        <v>12480000</v>
      </c>
      <c r="P196" s="635">
        <v>12480000</v>
      </c>
      <c r="Q196" s="709">
        <v>16640000</v>
      </c>
      <c r="R196" s="626">
        <v>16640000</v>
      </c>
      <c r="S196" s="628">
        <f t="shared" si="23"/>
        <v>9013333.333333334</v>
      </c>
      <c r="T196" s="602"/>
      <c r="U196" s="637"/>
      <c r="V196" s="637"/>
      <c r="W196" s="637"/>
      <c r="X196" s="637"/>
      <c r="Y196" s="615"/>
      <c r="Z196" s="615"/>
    </row>
    <row r="197" spans="1:26">
      <c r="A197" s="622"/>
      <c r="B197" s="622"/>
      <c r="C197" s="623">
        <v>188</v>
      </c>
      <c r="D197" s="727"/>
      <c r="E197" s="625" t="s">
        <v>667</v>
      </c>
      <c r="F197" s="650">
        <f>+F196</f>
        <v>16640000</v>
      </c>
      <c r="G197" s="650">
        <f t="shared" ref="G197:S197" si="32">+G196</f>
        <v>0</v>
      </c>
      <c r="H197" s="650">
        <f t="shared" si="32"/>
        <v>4160000</v>
      </c>
      <c r="I197" s="650">
        <f t="shared" si="32"/>
        <v>4160000</v>
      </c>
      <c r="J197" s="650">
        <f t="shared" si="32"/>
        <v>4160000</v>
      </c>
      <c r="K197" s="650">
        <f t="shared" si="32"/>
        <v>8320000</v>
      </c>
      <c r="L197" s="650">
        <f t="shared" si="32"/>
        <v>8320000</v>
      </c>
      <c r="M197" s="650">
        <f t="shared" si="32"/>
        <v>8320000</v>
      </c>
      <c r="N197" s="650">
        <f t="shared" si="32"/>
        <v>12480000</v>
      </c>
      <c r="O197" s="650">
        <f t="shared" si="32"/>
        <v>12480000</v>
      </c>
      <c r="P197" s="650">
        <f t="shared" si="32"/>
        <v>12480000</v>
      </c>
      <c r="Q197" s="650">
        <f t="shared" si="32"/>
        <v>16640000</v>
      </c>
      <c r="R197" s="650">
        <f t="shared" si="32"/>
        <v>16640000</v>
      </c>
      <c r="S197" s="650">
        <f t="shared" si="32"/>
        <v>9013333.333333334</v>
      </c>
      <c r="T197" s="602"/>
      <c r="U197" s="638">
        <f>S197</f>
        <v>9013333.333333334</v>
      </c>
      <c r="V197" s="637"/>
      <c r="W197" s="637"/>
      <c r="X197" s="638"/>
      <c r="Y197" s="615"/>
      <c r="Z197" s="615"/>
    </row>
    <row r="198" spans="1:26">
      <c r="A198" s="622"/>
      <c r="B198" s="622"/>
      <c r="C198" s="623">
        <v>189</v>
      </c>
      <c r="D198" s="624"/>
      <c r="E198" s="625"/>
      <c r="F198" s="639"/>
      <c r="G198" s="711"/>
      <c r="H198" s="641"/>
      <c r="I198" s="641"/>
      <c r="J198" s="642"/>
      <c r="K198" s="643"/>
      <c r="L198" s="644"/>
      <c r="M198" s="645"/>
      <c r="N198" s="646"/>
      <c r="O198" s="647"/>
      <c r="P198" s="648"/>
      <c r="Q198" s="712"/>
      <c r="R198" s="639"/>
      <c r="S198" s="628">
        <f t="shared" si="23"/>
        <v>0</v>
      </c>
      <c r="T198" s="602"/>
      <c r="U198" s="637"/>
      <c r="V198" s="637"/>
      <c r="W198" s="637"/>
      <c r="X198" s="637"/>
      <c r="Y198" s="615"/>
      <c r="Z198" s="615"/>
    </row>
    <row r="199" spans="1:26" ht="16.2" thickBot="1">
      <c r="A199" s="622"/>
      <c r="B199" s="622"/>
      <c r="C199" s="623">
        <v>190</v>
      </c>
      <c r="D199" s="624"/>
      <c r="E199" s="625" t="s">
        <v>668</v>
      </c>
      <c r="F199" s="728">
        <f>+F197+F194+F182+F173+F164+F159+F155+F153+F147+F132+F124+F109+F107+F106+F104+F100+F90+F81+F49+F39+F33+F29+F45</f>
        <v>957808188.95999992</v>
      </c>
      <c r="G199" s="728">
        <f t="shared" ref="G199:S199" si="33">+G197+G194+G182+G173+G164+G159+G155+G153+G147+G132+G124+G109+G107+G106+G104+G100+G90+G81+G49+G39+G33+G29+G45</f>
        <v>702758578.59000003</v>
      </c>
      <c r="H199" s="728">
        <f t="shared" si="33"/>
        <v>735000254.91000009</v>
      </c>
      <c r="I199" s="728">
        <f t="shared" si="33"/>
        <v>765442960.05999994</v>
      </c>
      <c r="J199" s="728">
        <f t="shared" si="33"/>
        <v>772363559.80999994</v>
      </c>
      <c r="K199" s="728">
        <f t="shared" si="33"/>
        <v>787640044.00999975</v>
      </c>
      <c r="L199" s="728">
        <f t="shared" si="33"/>
        <v>797992253.00999999</v>
      </c>
      <c r="M199" s="728">
        <f t="shared" si="33"/>
        <v>804112169.54999995</v>
      </c>
      <c r="N199" s="728">
        <f t="shared" si="33"/>
        <v>813852966.13999999</v>
      </c>
      <c r="O199" s="728">
        <f t="shared" si="33"/>
        <v>825107690.84000003</v>
      </c>
      <c r="P199" s="728">
        <f t="shared" si="33"/>
        <v>852872870.34000003</v>
      </c>
      <c r="Q199" s="728">
        <f t="shared" si="33"/>
        <v>886611525.82000017</v>
      </c>
      <c r="R199" s="728">
        <f t="shared" si="33"/>
        <v>945811407.76999998</v>
      </c>
      <c r="S199" s="728">
        <f t="shared" si="33"/>
        <v>807963722.62041652</v>
      </c>
      <c r="T199" s="602"/>
      <c r="U199" s="637"/>
      <c r="V199" s="637"/>
      <c r="W199" s="637"/>
      <c r="X199" s="637"/>
      <c r="Y199" s="615"/>
      <c r="Z199" s="615"/>
    </row>
    <row r="200" spans="1:26" ht="16.2" thickTop="1">
      <c r="A200" s="622"/>
      <c r="B200" s="622"/>
      <c r="C200" s="623">
        <v>191</v>
      </c>
      <c r="D200" s="624"/>
      <c r="E200" s="625"/>
      <c r="F200" s="626"/>
      <c r="G200" s="708"/>
      <c r="H200" s="628"/>
      <c r="I200" s="628"/>
      <c r="J200" s="629"/>
      <c r="K200" s="630"/>
      <c r="L200" s="631"/>
      <c r="M200" s="632"/>
      <c r="N200" s="633"/>
      <c r="O200" s="634"/>
      <c r="P200" s="635"/>
      <c r="Q200" s="709"/>
      <c r="R200" s="626"/>
      <c r="S200" s="628">
        <f t="shared" si="23"/>
        <v>0</v>
      </c>
      <c r="T200" s="602"/>
      <c r="U200" s="637"/>
      <c r="V200" s="637"/>
      <c r="W200" s="637"/>
      <c r="X200" s="637"/>
      <c r="Y200" s="615"/>
      <c r="Z200" s="615"/>
    </row>
    <row r="201" spans="1:26">
      <c r="A201" s="622"/>
      <c r="B201" s="622"/>
      <c r="C201" s="623">
        <v>192</v>
      </c>
      <c r="D201" s="624"/>
      <c r="E201" s="625"/>
      <c r="F201" s="626"/>
      <c r="G201" s="708"/>
      <c r="H201" s="628"/>
      <c r="I201" s="628"/>
      <c r="J201" s="629"/>
      <c r="K201" s="630"/>
      <c r="L201" s="631"/>
      <c r="M201" s="632"/>
      <c r="N201" s="633"/>
      <c r="O201" s="634"/>
      <c r="P201" s="635"/>
      <c r="Q201" s="709"/>
      <c r="R201" s="626"/>
      <c r="S201" s="628">
        <f t="shared" si="23"/>
        <v>0</v>
      </c>
      <c r="T201" s="602"/>
      <c r="U201" s="637"/>
      <c r="V201" s="637"/>
      <c r="W201" s="637"/>
      <c r="X201" s="637"/>
      <c r="Y201" s="615"/>
      <c r="Z201" s="615"/>
    </row>
    <row r="202" spans="1:26">
      <c r="A202" s="622" t="s">
        <v>669</v>
      </c>
      <c r="B202" s="622" t="s">
        <v>402</v>
      </c>
      <c r="C202" s="623">
        <v>193</v>
      </c>
      <c r="D202" s="622" t="str">
        <f>+A202</f>
        <v>2010</v>
      </c>
      <c r="E202" s="680" t="s">
        <v>670</v>
      </c>
      <c r="F202" s="626">
        <v>-1000</v>
      </c>
      <c r="G202" s="708">
        <v>-1000</v>
      </c>
      <c r="H202" s="628">
        <v>-1000</v>
      </c>
      <c r="I202" s="628">
        <v>-1000</v>
      </c>
      <c r="J202" s="629">
        <v>-1000</v>
      </c>
      <c r="K202" s="630">
        <v>-1000</v>
      </c>
      <c r="L202" s="631">
        <v>-1000</v>
      </c>
      <c r="M202" s="632">
        <v>-1000</v>
      </c>
      <c r="N202" s="633">
        <v>-1000</v>
      </c>
      <c r="O202" s="634">
        <v>-1000</v>
      </c>
      <c r="P202" s="635">
        <v>-1000</v>
      </c>
      <c r="Q202" s="709">
        <v>-1000</v>
      </c>
      <c r="R202" s="626">
        <v>-1000</v>
      </c>
      <c r="S202" s="628">
        <f t="shared" si="23"/>
        <v>-1000</v>
      </c>
      <c r="T202" s="602"/>
      <c r="U202" s="637"/>
      <c r="V202" s="637"/>
      <c r="W202" s="637"/>
      <c r="X202" s="637"/>
      <c r="Y202" s="615"/>
      <c r="Z202" s="615"/>
    </row>
    <row r="203" spans="1:26">
      <c r="A203" s="622" t="s">
        <v>671</v>
      </c>
      <c r="B203" s="622" t="s">
        <v>619</v>
      </c>
      <c r="C203" s="623">
        <v>194</v>
      </c>
      <c r="D203" s="624" t="str">
        <f>A203&amp;"."&amp;B203</f>
        <v>2160.1</v>
      </c>
      <c r="E203" s="680" t="s">
        <v>672</v>
      </c>
      <c r="F203" s="626">
        <v>-44676389.859999999</v>
      </c>
      <c r="G203" s="708">
        <v>-40209183.609999999</v>
      </c>
      <c r="H203" s="628">
        <v>-40209183.609999999</v>
      </c>
      <c r="I203" s="628">
        <v>-40209183.609999999</v>
      </c>
      <c r="J203" s="629">
        <v>-40205542.240000002</v>
      </c>
      <c r="K203" s="630">
        <v>-40205542.240000002</v>
      </c>
      <c r="L203" s="631">
        <v>-40205542.240000002</v>
      </c>
      <c r="M203" s="632">
        <v>-40205542.240000002</v>
      </c>
      <c r="N203" s="633">
        <v>-40205542.240000002</v>
      </c>
      <c r="O203" s="634">
        <v>-40205542.240000002</v>
      </c>
      <c r="P203" s="635">
        <v>-40205542.240000002</v>
      </c>
      <c r="Q203" s="709">
        <v>-40205542.240000002</v>
      </c>
      <c r="R203" s="626">
        <v>-40205542.240000002</v>
      </c>
      <c r="S203" s="628">
        <f t="shared" si="23"/>
        <v>-40392737.900000006</v>
      </c>
      <c r="T203" s="602"/>
      <c r="U203" s="637"/>
      <c r="V203" s="605"/>
      <c r="W203" s="605"/>
      <c r="X203" s="605"/>
      <c r="Y203" s="615"/>
      <c r="Z203" s="615"/>
    </row>
    <row r="204" spans="1:26">
      <c r="A204" s="622" t="s">
        <v>671</v>
      </c>
      <c r="B204" s="622" t="s">
        <v>673</v>
      </c>
      <c r="C204" s="623">
        <v>195</v>
      </c>
      <c r="D204" s="624" t="str">
        <f>A204&amp;"."&amp;B204</f>
        <v>2160.2</v>
      </c>
      <c r="E204" s="680" t="s">
        <v>674</v>
      </c>
      <c r="F204" s="626">
        <v>3641.37</v>
      </c>
      <c r="G204" s="708">
        <v>3641.37</v>
      </c>
      <c r="H204" s="628">
        <v>3641.37</v>
      </c>
      <c r="I204" s="628">
        <v>3641.37</v>
      </c>
      <c r="J204" s="629">
        <v>0</v>
      </c>
      <c r="K204" s="630">
        <v>0</v>
      </c>
      <c r="L204" s="631">
        <v>0</v>
      </c>
      <c r="M204" s="632">
        <v>0</v>
      </c>
      <c r="N204" s="633">
        <v>0</v>
      </c>
      <c r="O204" s="634">
        <v>0</v>
      </c>
      <c r="P204" s="635">
        <v>0</v>
      </c>
      <c r="Q204" s="709">
        <v>0</v>
      </c>
      <c r="R204" s="626">
        <v>0</v>
      </c>
      <c r="S204" s="628">
        <f t="shared" ref="S204:S267" si="34">((F204+R204)+((G204+H204+I204+J204+K204+L204+M204+N204+O204+P204+Q204)*2))/24</f>
        <v>1062.0662500000001</v>
      </c>
      <c r="T204" s="602"/>
      <c r="U204" s="637"/>
      <c r="V204" s="605"/>
      <c r="W204" s="605"/>
      <c r="X204" s="605"/>
      <c r="Y204" s="615"/>
      <c r="Z204" s="615"/>
    </row>
    <row r="205" spans="1:26">
      <c r="A205" s="622" t="s">
        <v>671</v>
      </c>
      <c r="B205" s="622" t="s">
        <v>675</v>
      </c>
      <c r="C205" s="623">
        <v>196</v>
      </c>
      <c r="D205" s="624" t="str">
        <f>A205&amp;"."&amp;B205</f>
        <v>2160.3</v>
      </c>
      <c r="E205" s="680" t="s">
        <v>676</v>
      </c>
      <c r="F205" s="626">
        <v>7513</v>
      </c>
      <c r="G205" s="708">
        <v>2245</v>
      </c>
      <c r="H205" s="628">
        <v>4490</v>
      </c>
      <c r="I205" s="628">
        <v>6170</v>
      </c>
      <c r="J205" s="629">
        <v>7850</v>
      </c>
      <c r="K205" s="630">
        <v>9530</v>
      </c>
      <c r="L205" s="631">
        <v>11210</v>
      </c>
      <c r="M205" s="632">
        <v>12828</v>
      </c>
      <c r="N205" s="633">
        <v>14446</v>
      </c>
      <c r="O205" s="634">
        <v>16064</v>
      </c>
      <c r="P205" s="635">
        <v>17682</v>
      </c>
      <c r="Q205" s="709">
        <v>19300</v>
      </c>
      <c r="R205" s="626">
        <v>15598</v>
      </c>
      <c r="S205" s="628">
        <f t="shared" si="34"/>
        <v>11114.208333333334</v>
      </c>
      <c r="T205" s="602"/>
      <c r="U205" s="637"/>
      <c r="V205" s="605"/>
      <c r="W205" s="605"/>
      <c r="X205" s="605"/>
      <c r="Y205" s="615"/>
      <c r="Z205" s="615"/>
    </row>
    <row r="206" spans="1:26">
      <c r="A206" s="622" t="s">
        <v>677</v>
      </c>
      <c r="B206" s="622" t="s">
        <v>619</v>
      </c>
      <c r="C206" s="623">
        <v>197</v>
      </c>
      <c r="D206" s="624" t="str">
        <f>A206&amp;"."&amp;B206</f>
        <v>2161.1</v>
      </c>
      <c r="E206" s="680" t="s">
        <v>678</v>
      </c>
      <c r="F206" s="626">
        <v>2000629.64</v>
      </c>
      <c r="G206" s="708">
        <v>2000629.64</v>
      </c>
      <c r="H206" s="628">
        <v>2000629.64</v>
      </c>
      <c r="I206" s="628">
        <v>2000629.64</v>
      </c>
      <c r="J206" s="629">
        <v>2000629.64</v>
      </c>
      <c r="K206" s="630">
        <v>2000629.64</v>
      </c>
      <c r="L206" s="631">
        <v>2000629.64</v>
      </c>
      <c r="M206" s="632">
        <v>2000629.64</v>
      </c>
      <c r="N206" s="633">
        <v>2000629.64</v>
      </c>
      <c r="O206" s="634">
        <v>2000629.64</v>
      </c>
      <c r="P206" s="635">
        <v>2000629.64</v>
      </c>
      <c r="Q206" s="709">
        <v>2000629.64</v>
      </c>
      <c r="R206" s="626">
        <v>2000629.64</v>
      </c>
      <c r="S206" s="628">
        <f t="shared" si="34"/>
        <v>2000629.6400000004</v>
      </c>
      <c r="T206" s="602"/>
      <c r="U206" s="637"/>
      <c r="V206" s="605"/>
      <c r="W206" s="605"/>
      <c r="X206" s="605"/>
      <c r="Y206" s="615"/>
      <c r="Z206" s="615"/>
    </row>
    <row r="207" spans="1:26">
      <c r="A207" s="622" t="s">
        <v>679</v>
      </c>
      <c r="B207" s="622" t="s">
        <v>402</v>
      </c>
      <c r="C207" s="623">
        <v>198</v>
      </c>
      <c r="D207" s="624" t="str">
        <f>+A207</f>
        <v>2071</v>
      </c>
      <c r="E207" s="680" t="s">
        <v>680</v>
      </c>
      <c r="F207" s="626">
        <v>-152703952.19</v>
      </c>
      <c r="G207" s="708">
        <v>-152703952.19</v>
      </c>
      <c r="H207" s="628">
        <v>-152703952.19</v>
      </c>
      <c r="I207" s="628">
        <v>-152698667.75</v>
      </c>
      <c r="J207" s="629">
        <v>-152698667.75</v>
      </c>
      <c r="K207" s="630">
        <v>-152698667.75</v>
      </c>
      <c r="L207" s="631">
        <v>-152698667.75</v>
      </c>
      <c r="M207" s="632">
        <v>-152698667.75</v>
      </c>
      <c r="N207" s="633">
        <v>-152698667.75</v>
      </c>
      <c r="O207" s="634">
        <v>-152698667.75</v>
      </c>
      <c r="P207" s="635">
        <v>-160698667.75</v>
      </c>
      <c r="Q207" s="709">
        <v>-160698667.75</v>
      </c>
      <c r="R207" s="626">
        <v>-160698667.75</v>
      </c>
      <c r="S207" s="628">
        <f t="shared" si="34"/>
        <v>-154366435.34166667</v>
      </c>
      <c r="T207" s="602"/>
      <c r="U207" s="637"/>
      <c r="V207" s="605"/>
      <c r="W207" s="605"/>
      <c r="X207" s="605"/>
      <c r="Y207" s="615"/>
      <c r="Z207" s="615"/>
    </row>
    <row r="208" spans="1:26">
      <c r="A208" s="622" t="s">
        <v>681</v>
      </c>
      <c r="B208" s="622" t="s">
        <v>402</v>
      </c>
      <c r="C208" s="623">
        <v>199</v>
      </c>
      <c r="D208" s="622" t="str">
        <f>+A208</f>
        <v>2100</v>
      </c>
      <c r="E208" s="680" t="s">
        <v>682</v>
      </c>
      <c r="F208" s="626">
        <v>0</v>
      </c>
      <c r="G208" s="708">
        <v>0</v>
      </c>
      <c r="H208" s="628">
        <v>0</v>
      </c>
      <c r="I208" s="628">
        <v>0</v>
      </c>
      <c r="J208" s="629">
        <v>0</v>
      </c>
      <c r="K208" s="630">
        <v>0</v>
      </c>
      <c r="L208" s="631">
        <v>0</v>
      </c>
      <c r="M208" s="632">
        <v>0</v>
      </c>
      <c r="N208" s="633">
        <v>0</v>
      </c>
      <c r="O208" s="634">
        <v>0</v>
      </c>
      <c r="P208" s="635">
        <v>0</v>
      </c>
      <c r="Q208" s="709">
        <v>0</v>
      </c>
      <c r="R208" s="626">
        <v>0</v>
      </c>
      <c r="S208" s="628">
        <f t="shared" si="34"/>
        <v>0</v>
      </c>
      <c r="T208" s="602"/>
      <c r="U208" s="637"/>
      <c r="V208" s="605"/>
      <c r="W208" s="605"/>
      <c r="X208" s="605"/>
      <c r="Y208" s="615"/>
      <c r="Z208" s="615"/>
    </row>
    <row r="209" spans="1:26">
      <c r="A209" s="622" t="s">
        <v>683</v>
      </c>
      <c r="B209" s="622" t="s">
        <v>402</v>
      </c>
      <c r="C209" s="623">
        <v>200</v>
      </c>
      <c r="D209" s="622" t="str">
        <f>+A209</f>
        <v>2110</v>
      </c>
      <c r="E209" s="680" t="s">
        <v>684</v>
      </c>
      <c r="F209" s="626">
        <v>0</v>
      </c>
      <c r="G209" s="708">
        <v>0</v>
      </c>
      <c r="H209" s="628">
        <v>0</v>
      </c>
      <c r="I209" s="628">
        <v>0</v>
      </c>
      <c r="J209" s="629">
        <v>0</v>
      </c>
      <c r="K209" s="630">
        <v>0</v>
      </c>
      <c r="L209" s="631">
        <v>0</v>
      </c>
      <c r="M209" s="632">
        <v>0</v>
      </c>
      <c r="N209" s="633">
        <v>0</v>
      </c>
      <c r="O209" s="634">
        <v>0</v>
      </c>
      <c r="P209" s="635">
        <v>0</v>
      </c>
      <c r="Q209" s="709">
        <v>0</v>
      </c>
      <c r="R209" s="626">
        <v>0</v>
      </c>
      <c r="S209" s="628">
        <f t="shared" si="34"/>
        <v>0</v>
      </c>
      <c r="T209" s="602"/>
      <c r="U209" s="637"/>
      <c r="V209" s="605"/>
      <c r="W209" s="605"/>
      <c r="X209" s="605"/>
      <c r="Y209" s="615"/>
      <c r="Z209" s="615"/>
    </row>
    <row r="210" spans="1:26">
      <c r="A210" s="622" t="s">
        <v>685</v>
      </c>
      <c r="B210" s="622" t="s">
        <v>402</v>
      </c>
      <c r="C210" s="623">
        <v>201</v>
      </c>
      <c r="D210" s="624" t="str">
        <f>+A210</f>
        <v>2190</v>
      </c>
      <c r="E210" s="680" t="s">
        <v>686</v>
      </c>
      <c r="F210" s="626">
        <v>0</v>
      </c>
      <c r="G210" s="708">
        <v>0</v>
      </c>
      <c r="H210" s="628">
        <v>0</v>
      </c>
      <c r="I210" s="628">
        <v>0</v>
      </c>
      <c r="J210" s="629">
        <v>0</v>
      </c>
      <c r="K210" s="630">
        <v>0</v>
      </c>
      <c r="L210" s="631">
        <v>0</v>
      </c>
      <c r="M210" s="632">
        <v>0</v>
      </c>
      <c r="N210" s="633">
        <v>0</v>
      </c>
      <c r="O210" s="634">
        <v>0</v>
      </c>
      <c r="P210" s="635">
        <v>0</v>
      </c>
      <c r="Q210" s="709">
        <v>0</v>
      </c>
      <c r="R210" s="626">
        <v>0</v>
      </c>
      <c r="S210" s="628">
        <f t="shared" si="34"/>
        <v>0</v>
      </c>
      <c r="T210" s="602"/>
      <c r="U210" s="637"/>
      <c r="V210" s="605"/>
      <c r="W210" s="605"/>
      <c r="X210" s="605"/>
      <c r="Y210" s="615"/>
      <c r="Z210" s="615"/>
    </row>
    <row r="211" spans="1:26">
      <c r="A211" s="622" t="s">
        <v>687</v>
      </c>
      <c r="B211" s="622" t="s">
        <v>402</v>
      </c>
      <c r="C211" s="623">
        <v>202</v>
      </c>
      <c r="D211" s="624" t="str">
        <f>+A211</f>
        <v>2141</v>
      </c>
      <c r="E211" s="680" t="s">
        <v>688</v>
      </c>
      <c r="F211" s="626">
        <v>0</v>
      </c>
      <c r="G211" s="708">
        <v>0</v>
      </c>
      <c r="H211" s="628">
        <v>0</v>
      </c>
      <c r="I211" s="628">
        <v>0</v>
      </c>
      <c r="J211" s="629">
        <v>0</v>
      </c>
      <c r="K211" s="630">
        <v>0</v>
      </c>
      <c r="L211" s="631">
        <v>0</v>
      </c>
      <c r="M211" s="632">
        <v>0</v>
      </c>
      <c r="N211" s="633">
        <v>0</v>
      </c>
      <c r="O211" s="634">
        <v>0</v>
      </c>
      <c r="P211" s="635">
        <v>0</v>
      </c>
      <c r="Q211" s="709">
        <v>0</v>
      </c>
      <c r="R211" s="626">
        <v>0</v>
      </c>
      <c r="S211" s="628">
        <f t="shared" si="34"/>
        <v>0</v>
      </c>
      <c r="T211" s="602"/>
      <c r="U211" s="637"/>
      <c r="V211" s="605"/>
      <c r="W211" s="605"/>
      <c r="X211" s="605"/>
      <c r="Y211" s="615"/>
      <c r="Z211" s="615"/>
    </row>
    <row r="212" spans="1:26">
      <c r="A212" s="622"/>
      <c r="B212" s="622"/>
      <c r="C212" s="623">
        <v>203</v>
      </c>
      <c r="D212" s="624"/>
      <c r="E212" s="680"/>
      <c r="F212" s="626"/>
      <c r="G212" s="708"/>
      <c r="H212" s="628"/>
      <c r="I212" s="628"/>
      <c r="J212" s="629"/>
      <c r="K212" s="630"/>
      <c r="L212" s="631"/>
      <c r="M212" s="632"/>
      <c r="N212" s="633"/>
      <c r="O212" s="634"/>
      <c r="P212" s="635"/>
      <c r="Q212" s="709"/>
      <c r="R212" s="626"/>
      <c r="S212" s="628">
        <f t="shared" si="34"/>
        <v>0</v>
      </c>
      <c r="T212" s="602"/>
      <c r="U212" s="637"/>
      <c r="V212" s="605"/>
      <c r="W212" s="605"/>
      <c r="X212" s="605"/>
      <c r="Y212" s="615"/>
      <c r="Z212" s="615"/>
    </row>
    <row r="213" spans="1:26">
      <c r="A213" s="622"/>
      <c r="B213" s="622"/>
      <c r="C213" s="623">
        <v>204</v>
      </c>
      <c r="D213" s="624"/>
      <c r="E213" s="680" t="s">
        <v>689</v>
      </c>
      <c r="F213" s="650">
        <f>SUM(F202:F211)</f>
        <v>-195369558.03999999</v>
      </c>
      <c r="G213" s="650">
        <f t="shared" ref="G213:S213" si="35">SUM(G202:G211)</f>
        <v>-190907619.78999999</v>
      </c>
      <c r="H213" s="650">
        <f t="shared" si="35"/>
        <v>-190905374.78999999</v>
      </c>
      <c r="I213" s="650">
        <f t="shared" si="35"/>
        <v>-190898410.34999999</v>
      </c>
      <c r="J213" s="650">
        <f t="shared" si="35"/>
        <v>-190896730.34999999</v>
      </c>
      <c r="K213" s="650">
        <f t="shared" si="35"/>
        <v>-190895050.34999999</v>
      </c>
      <c r="L213" s="650">
        <f t="shared" si="35"/>
        <v>-190893370.34999999</v>
      </c>
      <c r="M213" s="650">
        <f t="shared" si="35"/>
        <v>-190891752.34999999</v>
      </c>
      <c r="N213" s="650">
        <f t="shared" si="35"/>
        <v>-190890134.34999999</v>
      </c>
      <c r="O213" s="650">
        <f t="shared" si="35"/>
        <v>-190888516.34999999</v>
      </c>
      <c r="P213" s="650">
        <f t="shared" si="35"/>
        <v>-198886898.34999999</v>
      </c>
      <c r="Q213" s="650">
        <f t="shared" si="35"/>
        <v>-198885280.34999999</v>
      </c>
      <c r="R213" s="650">
        <f t="shared" si="35"/>
        <v>-198888982.34999999</v>
      </c>
      <c r="S213" s="650">
        <f t="shared" si="35"/>
        <v>-192747367.32708335</v>
      </c>
      <c r="T213" s="602"/>
      <c r="U213" s="638">
        <f>S213</f>
        <v>-192747367.32708335</v>
      </c>
      <c r="V213" s="605"/>
      <c r="W213" s="605"/>
      <c r="X213" s="605"/>
      <c r="Y213" s="615"/>
      <c r="Z213" s="615"/>
    </row>
    <row r="214" spans="1:26">
      <c r="A214" s="622"/>
      <c r="B214" s="622"/>
      <c r="C214" s="623">
        <v>205</v>
      </c>
      <c r="D214" s="624"/>
      <c r="E214" s="680"/>
      <c r="F214" s="655"/>
      <c r="G214" s="719"/>
      <c r="H214" s="657"/>
      <c r="I214" s="657"/>
      <c r="J214" s="658"/>
      <c r="K214" s="659"/>
      <c r="L214" s="660"/>
      <c r="M214" s="661"/>
      <c r="N214" s="662"/>
      <c r="O214" s="663"/>
      <c r="P214" s="664"/>
      <c r="Q214" s="714"/>
      <c r="R214" s="655"/>
      <c r="S214" s="628">
        <f t="shared" si="34"/>
        <v>0</v>
      </c>
      <c r="T214" s="602"/>
      <c r="U214" s="637"/>
      <c r="V214" s="605"/>
      <c r="W214" s="605"/>
      <c r="X214" s="605"/>
      <c r="Y214" s="615"/>
      <c r="Z214" s="615"/>
    </row>
    <row r="215" spans="1:26">
      <c r="A215" s="622" t="s">
        <v>690</v>
      </c>
      <c r="B215" s="622" t="s">
        <v>533</v>
      </c>
      <c r="C215" s="623">
        <v>206</v>
      </c>
      <c r="D215" s="624" t="str">
        <f t="shared" ref="D215:D233" si="36">A215&amp;"."&amp;B215</f>
        <v>2240.12</v>
      </c>
      <c r="E215" s="729" t="s">
        <v>691</v>
      </c>
      <c r="F215" s="626">
        <v>-20000000</v>
      </c>
      <c r="G215" s="708">
        <v>-20000000</v>
      </c>
      <c r="H215" s="628">
        <v>-20000000</v>
      </c>
      <c r="I215" s="628">
        <v>-20000000</v>
      </c>
      <c r="J215" s="629">
        <v>-20000000</v>
      </c>
      <c r="K215" s="630">
        <v>-20000000</v>
      </c>
      <c r="L215" s="631">
        <v>-20000000</v>
      </c>
      <c r="M215" s="632">
        <v>-20000000</v>
      </c>
      <c r="N215" s="633">
        <v>-20000000</v>
      </c>
      <c r="O215" s="634">
        <v>-20000000</v>
      </c>
      <c r="P215" s="635">
        <v>-20000000</v>
      </c>
      <c r="Q215" s="709">
        <v>-20000000</v>
      </c>
      <c r="R215" s="626">
        <v>-20000000</v>
      </c>
      <c r="S215" s="628">
        <f t="shared" si="34"/>
        <v>-20000000</v>
      </c>
      <c r="T215" s="602"/>
      <c r="U215" s="637"/>
      <c r="V215" s="605"/>
      <c r="W215" s="605"/>
      <c r="X215" s="605"/>
      <c r="Y215" s="615"/>
      <c r="Z215" s="615"/>
    </row>
    <row r="216" spans="1:26">
      <c r="A216" s="622" t="s">
        <v>690</v>
      </c>
      <c r="B216" s="622" t="s">
        <v>535</v>
      </c>
      <c r="C216" s="623">
        <v>207</v>
      </c>
      <c r="D216" s="624" t="str">
        <f t="shared" si="36"/>
        <v>2240.13</v>
      </c>
      <c r="E216" s="729" t="s">
        <v>692</v>
      </c>
      <c r="F216" s="626">
        <v>-15000000</v>
      </c>
      <c r="G216" s="708">
        <v>-15000000</v>
      </c>
      <c r="H216" s="628">
        <v>-15000000</v>
      </c>
      <c r="I216" s="628">
        <v>-15000000</v>
      </c>
      <c r="J216" s="629">
        <v>-15000000</v>
      </c>
      <c r="K216" s="630">
        <v>-15000000</v>
      </c>
      <c r="L216" s="631">
        <v>-15000000</v>
      </c>
      <c r="M216" s="632">
        <v>-15000000</v>
      </c>
      <c r="N216" s="633">
        <v>-15000000</v>
      </c>
      <c r="O216" s="634">
        <v>-15000000</v>
      </c>
      <c r="P216" s="635">
        <v>-15000000</v>
      </c>
      <c r="Q216" s="709">
        <v>-15000000</v>
      </c>
      <c r="R216" s="626">
        <v>-15000000</v>
      </c>
      <c r="S216" s="628">
        <f t="shared" si="34"/>
        <v>-15000000</v>
      </c>
      <c r="T216" s="602"/>
      <c r="U216" s="637"/>
      <c r="V216" s="605"/>
      <c r="W216" s="605"/>
      <c r="X216" s="605"/>
      <c r="Y216" s="615"/>
      <c r="Z216" s="615"/>
    </row>
    <row r="217" spans="1:26" ht="31.2">
      <c r="A217" s="622" t="s">
        <v>690</v>
      </c>
      <c r="B217" s="622" t="s">
        <v>537</v>
      </c>
      <c r="C217" s="623">
        <v>208</v>
      </c>
      <c r="D217" s="624" t="str">
        <f t="shared" si="36"/>
        <v>2240.17</v>
      </c>
      <c r="E217" s="729" t="s">
        <v>693</v>
      </c>
      <c r="F217" s="626">
        <v>-24589000</v>
      </c>
      <c r="G217" s="708">
        <v>-24589000</v>
      </c>
      <c r="H217" s="628">
        <v>-24539000</v>
      </c>
      <c r="I217" s="628">
        <v>-24539000</v>
      </c>
      <c r="J217" s="629">
        <v>-24539000</v>
      </c>
      <c r="K217" s="630">
        <v>-24489000</v>
      </c>
      <c r="L217" s="631">
        <v>-24489000</v>
      </c>
      <c r="M217" s="632">
        <v>-24489000</v>
      </c>
      <c r="N217" s="633">
        <v>-24471000</v>
      </c>
      <c r="O217" s="634">
        <v>-24471000</v>
      </c>
      <c r="P217" s="635">
        <v>-24471000</v>
      </c>
      <c r="Q217" s="709">
        <v>-24471000</v>
      </c>
      <c r="R217" s="626">
        <v>-24471000</v>
      </c>
      <c r="S217" s="628">
        <f t="shared" si="34"/>
        <v>-24507250</v>
      </c>
      <c r="T217" s="602"/>
      <c r="U217" s="637"/>
      <c r="V217" s="605"/>
      <c r="W217" s="605"/>
      <c r="X217" s="605"/>
      <c r="Y217" s="615"/>
      <c r="Z217" s="615"/>
    </row>
    <row r="218" spans="1:26">
      <c r="A218" s="622" t="s">
        <v>690</v>
      </c>
      <c r="B218" s="622" t="s">
        <v>539</v>
      </c>
      <c r="C218" s="623">
        <v>209</v>
      </c>
      <c r="D218" s="624" t="str">
        <f t="shared" si="36"/>
        <v>2240.18</v>
      </c>
      <c r="E218" s="729" t="s">
        <v>694</v>
      </c>
      <c r="F218" s="626">
        <v>-15000000</v>
      </c>
      <c r="G218" s="708">
        <v>-15000000</v>
      </c>
      <c r="H218" s="628">
        <v>-15000000</v>
      </c>
      <c r="I218" s="628">
        <v>-15000000</v>
      </c>
      <c r="J218" s="629">
        <v>-15000000</v>
      </c>
      <c r="K218" s="630">
        <v>-15000000</v>
      </c>
      <c r="L218" s="631">
        <v>-15000000</v>
      </c>
      <c r="M218" s="632">
        <v>-15000000</v>
      </c>
      <c r="N218" s="633">
        <v>-15000000</v>
      </c>
      <c r="O218" s="634">
        <v>-15000000</v>
      </c>
      <c r="P218" s="635">
        <v>-15000000</v>
      </c>
      <c r="Q218" s="709">
        <v>-15000000</v>
      </c>
      <c r="R218" s="626">
        <v>-15000000</v>
      </c>
      <c r="S218" s="628">
        <f t="shared" si="34"/>
        <v>-15000000</v>
      </c>
      <c r="T218" s="602"/>
      <c r="U218" s="637"/>
      <c r="V218" s="605"/>
      <c r="W218" s="605"/>
      <c r="X218" s="605"/>
      <c r="Y218" s="615"/>
      <c r="Z218" s="615"/>
    </row>
    <row r="219" spans="1:26">
      <c r="A219" s="622" t="s">
        <v>690</v>
      </c>
      <c r="B219" s="622" t="s">
        <v>541</v>
      </c>
      <c r="C219" s="623">
        <v>210</v>
      </c>
      <c r="D219" s="624" t="str">
        <f t="shared" si="36"/>
        <v>2240.19</v>
      </c>
      <c r="E219" s="729" t="s">
        <v>695</v>
      </c>
      <c r="F219" s="626">
        <v>-40000000</v>
      </c>
      <c r="G219" s="708">
        <v>-40000000</v>
      </c>
      <c r="H219" s="628">
        <v>-40000000</v>
      </c>
      <c r="I219" s="628">
        <v>-40000000</v>
      </c>
      <c r="J219" s="629">
        <v>-40000000</v>
      </c>
      <c r="K219" s="630">
        <v>-40000000</v>
      </c>
      <c r="L219" s="631">
        <v>-40000000</v>
      </c>
      <c r="M219" s="632">
        <v>-40000000</v>
      </c>
      <c r="N219" s="633">
        <v>-40000000</v>
      </c>
      <c r="O219" s="634">
        <v>-40000000</v>
      </c>
      <c r="P219" s="635">
        <v>-40000000</v>
      </c>
      <c r="Q219" s="709">
        <v>-40000000</v>
      </c>
      <c r="R219" s="626">
        <v>-40000000</v>
      </c>
      <c r="S219" s="628">
        <f t="shared" si="34"/>
        <v>-40000000</v>
      </c>
      <c r="T219" s="602"/>
      <c r="U219" s="637"/>
      <c r="V219" s="605"/>
      <c r="W219" s="605"/>
      <c r="X219" s="605"/>
      <c r="Y219" s="615"/>
      <c r="Z219" s="615"/>
    </row>
    <row r="220" spans="1:26">
      <c r="A220" s="622" t="s">
        <v>690</v>
      </c>
      <c r="B220" s="622" t="s">
        <v>543</v>
      </c>
      <c r="C220" s="623">
        <v>211</v>
      </c>
      <c r="D220" s="624" t="str">
        <f t="shared" si="36"/>
        <v>2240.20</v>
      </c>
      <c r="E220" s="730" t="s">
        <v>696</v>
      </c>
      <c r="F220" s="626">
        <v>-25000000</v>
      </c>
      <c r="G220" s="708">
        <v>-25000000</v>
      </c>
      <c r="H220" s="628">
        <v>-25000000</v>
      </c>
      <c r="I220" s="628">
        <v>-25000000</v>
      </c>
      <c r="J220" s="629">
        <v>-25000000</v>
      </c>
      <c r="K220" s="630">
        <v>-25000000</v>
      </c>
      <c r="L220" s="631">
        <v>-25000000</v>
      </c>
      <c r="M220" s="632">
        <v>-25000000</v>
      </c>
      <c r="N220" s="633">
        <v>-25000000</v>
      </c>
      <c r="O220" s="634">
        <v>-25000000</v>
      </c>
      <c r="P220" s="635">
        <v>-25000000</v>
      </c>
      <c r="Q220" s="709">
        <v>-25000000</v>
      </c>
      <c r="R220" s="626">
        <v>-25000000</v>
      </c>
      <c r="S220" s="628">
        <f t="shared" si="34"/>
        <v>-25000000</v>
      </c>
      <c r="T220" s="602"/>
      <c r="U220" s="637"/>
      <c r="V220" s="605"/>
      <c r="W220" s="605"/>
      <c r="X220" s="605"/>
      <c r="Y220" s="615"/>
      <c r="Z220" s="615"/>
    </row>
    <row r="221" spans="1:26">
      <c r="A221" s="622" t="s">
        <v>690</v>
      </c>
      <c r="B221" s="622" t="s">
        <v>545</v>
      </c>
      <c r="C221" s="623">
        <v>212</v>
      </c>
      <c r="D221" s="624" t="str">
        <f t="shared" si="36"/>
        <v>2240.21</v>
      </c>
      <c r="E221" s="730" t="s">
        <v>697</v>
      </c>
      <c r="F221" s="626">
        <v>-25000000</v>
      </c>
      <c r="G221" s="708">
        <v>-25000000</v>
      </c>
      <c r="H221" s="628">
        <v>-25000000</v>
      </c>
      <c r="I221" s="628">
        <v>-25000000</v>
      </c>
      <c r="J221" s="629">
        <v>-25000000</v>
      </c>
      <c r="K221" s="630">
        <v>-25000000</v>
      </c>
      <c r="L221" s="631">
        <v>-25000000</v>
      </c>
      <c r="M221" s="632">
        <v>-25000000</v>
      </c>
      <c r="N221" s="633">
        <v>-25000000</v>
      </c>
      <c r="O221" s="634">
        <v>-25000000</v>
      </c>
      <c r="P221" s="635">
        <v>-25000000</v>
      </c>
      <c r="Q221" s="709">
        <v>-25000000</v>
      </c>
      <c r="R221" s="626">
        <v>-25000000</v>
      </c>
      <c r="S221" s="628">
        <f t="shared" si="34"/>
        <v>-25000000</v>
      </c>
      <c r="T221" s="602"/>
      <c r="U221" s="637"/>
      <c r="V221" s="605"/>
      <c r="W221" s="605"/>
      <c r="X221" s="605"/>
      <c r="Y221" s="615"/>
      <c r="Z221" s="615"/>
    </row>
    <row r="222" spans="1:26">
      <c r="A222" s="622" t="s">
        <v>690</v>
      </c>
      <c r="B222" s="622" t="s">
        <v>548</v>
      </c>
      <c r="C222" s="623">
        <v>213</v>
      </c>
      <c r="D222" s="624" t="str">
        <f t="shared" si="36"/>
        <v>2240.23</v>
      </c>
      <c r="E222" s="730" t="s">
        <v>698</v>
      </c>
      <c r="F222" s="634">
        <v>-12500000</v>
      </c>
      <c r="G222" s="634">
        <v>-12500000</v>
      </c>
      <c r="H222" s="634">
        <v>-12500000</v>
      </c>
      <c r="I222" s="634">
        <v>-12500000</v>
      </c>
      <c r="J222" s="703">
        <v>-12500000</v>
      </c>
      <c r="K222" s="703">
        <v>-12500000</v>
      </c>
      <c r="L222" s="634">
        <v>-12500000</v>
      </c>
      <c r="M222" s="634">
        <v>-12500000</v>
      </c>
      <c r="N222" s="634">
        <v>-12500000</v>
      </c>
      <c r="O222" s="634">
        <v>-12500000</v>
      </c>
      <c r="P222" s="634">
        <v>-12500000</v>
      </c>
      <c r="Q222" s="634">
        <v>-12500000</v>
      </c>
      <c r="R222" s="634">
        <v>-12500000</v>
      </c>
      <c r="S222" s="628">
        <f t="shared" si="34"/>
        <v>-12500000</v>
      </c>
      <c r="T222" s="602"/>
      <c r="U222" s="637"/>
      <c r="V222" s="605"/>
      <c r="W222" s="605"/>
      <c r="X222" s="605"/>
      <c r="Y222" s="615"/>
      <c r="Z222" s="615"/>
    </row>
    <row r="223" spans="1:26">
      <c r="A223" s="622" t="s">
        <v>690</v>
      </c>
      <c r="B223" s="622" t="s">
        <v>550</v>
      </c>
      <c r="C223" s="623">
        <v>214</v>
      </c>
      <c r="D223" s="624" t="str">
        <f t="shared" si="36"/>
        <v>2240.24</v>
      </c>
      <c r="E223" s="730" t="s">
        <v>699</v>
      </c>
      <c r="F223" s="634">
        <v>-12500000</v>
      </c>
      <c r="G223" s="634">
        <v>-12500000</v>
      </c>
      <c r="H223" s="634">
        <v>-12500000</v>
      </c>
      <c r="I223" s="634">
        <v>-12500000</v>
      </c>
      <c r="J223" s="703">
        <v>-12500000</v>
      </c>
      <c r="K223" s="703">
        <v>-12500000</v>
      </c>
      <c r="L223" s="634">
        <v>-12500000</v>
      </c>
      <c r="M223" s="634">
        <v>-12500000</v>
      </c>
      <c r="N223" s="634">
        <v>-12500000</v>
      </c>
      <c r="O223" s="634">
        <v>-12500000</v>
      </c>
      <c r="P223" s="634">
        <v>-12500000</v>
      </c>
      <c r="Q223" s="634">
        <v>-12500000</v>
      </c>
      <c r="R223" s="634">
        <v>-12500000</v>
      </c>
      <c r="S223" s="628">
        <f t="shared" si="34"/>
        <v>-12500000</v>
      </c>
      <c r="T223" s="602"/>
      <c r="U223" s="637"/>
      <c r="V223" s="605"/>
      <c r="W223" s="605"/>
      <c r="X223" s="605"/>
      <c r="Y223" s="615"/>
      <c r="Z223" s="615"/>
    </row>
    <row r="224" spans="1:26">
      <c r="A224" s="622" t="s">
        <v>690</v>
      </c>
      <c r="B224" s="622" t="s">
        <v>552</v>
      </c>
      <c r="C224" s="623">
        <v>215</v>
      </c>
      <c r="D224" s="624" t="str">
        <f t="shared" si="36"/>
        <v>2240.25</v>
      </c>
      <c r="E224" s="730" t="s">
        <v>699</v>
      </c>
      <c r="F224" s="634">
        <v>-12500000</v>
      </c>
      <c r="G224" s="634">
        <v>-12500000</v>
      </c>
      <c r="H224" s="634">
        <v>-12500000</v>
      </c>
      <c r="I224" s="634">
        <v>-12500000</v>
      </c>
      <c r="J224" s="703">
        <v>-12500000</v>
      </c>
      <c r="K224" s="703">
        <v>-12500000</v>
      </c>
      <c r="L224" s="634">
        <v>-12500000</v>
      </c>
      <c r="M224" s="634">
        <v>-12500000</v>
      </c>
      <c r="N224" s="634">
        <v>-12500000</v>
      </c>
      <c r="O224" s="634">
        <v>-12500000</v>
      </c>
      <c r="P224" s="634">
        <v>-12500000</v>
      </c>
      <c r="Q224" s="634">
        <v>-12500000</v>
      </c>
      <c r="R224" s="634">
        <v>-12500000</v>
      </c>
      <c r="S224" s="628">
        <f t="shared" si="34"/>
        <v>-12500000</v>
      </c>
      <c r="T224" s="602"/>
      <c r="U224" s="637"/>
      <c r="V224" s="605"/>
      <c r="W224" s="605"/>
      <c r="X224" s="605"/>
      <c r="Y224" s="615"/>
      <c r="Z224" s="615"/>
    </row>
    <row r="225" spans="1:26">
      <c r="A225" s="622" t="s">
        <v>690</v>
      </c>
      <c r="B225" s="622" t="s">
        <v>553</v>
      </c>
      <c r="C225" s="623">
        <v>216</v>
      </c>
      <c r="D225" s="624" t="str">
        <f t="shared" si="36"/>
        <v>2240.26</v>
      </c>
      <c r="E225" s="730" t="s">
        <v>699</v>
      </c>
      <c r="F225" s="634">
        <v>-12500000</v>
      </c>
      <c r="G225" s="634">
        <v>-12500000</v>
      </c>
      <c r="H225" s="634">
        <v>-12500000</v>
      </c>
      <c r="I225" s="634">
        <v>-12500000</v>
      </c>
      <c r="J225" s="703">
        <v>-12500000</v>
      </c>
      <c r="K225" s="703">
        <v>-12500000</v>
      </c>
      <c r="L225" s="634">
        <v>-12500000</v>
      </c>
      <c r="M225" s="634">
        <v>-12500000</v>
      </c>
      <c r="N225" s="634">
        <v>-12500000</v>
      </c>
      <c r="O225" s="634">
        <v>-12500000</v>
      </c>
      <c r="P225" s="634">
        <v>-12500000</v>
      </c>
      <c r="Q225" s="634">
        <v>-12500000</v>
      </c>
      <c r="R225" s="634">
        <v>-12500000</v>
      </c>
      <c r="S225" s="628">
        <f t="shared" si="34"/>
        <v>-12500000</v>
      </c>
      <c r="T225" s="602"/>
      <c r="U225" s="637"/>
      <c r="V225" s="605"/>
      <c r="W225" s="605"/>
      <c r="X225" s="605"/>
      <c r="Y225" s="615"/>
      <c r="Z225" s="615"/>
    </row>
    <row r="226" spans="1:26">
      <c r="A226" s="622" t="s">
        <v>690</v>
      </c>
      <c r="B226" s="622" t="s">
        <v>976</v>
      </c>
      <c r="C226" s="623">
        <v>217</v>
      </c>
      <c r="D226" s="624" t="str">
        <f t="shared" si="36"/>
        <v>2240.99</v>
      </c>
      <c r="E226" s="730" t="s">
        <v>978</v>
      </c>
      <c r="F226" s="634"/>
      <c r="G226" s="634">
        <v>2104120.19</v>
      </c>
      <c r="H226" s="634">
        <v>2093227.2</v>
      </c>
      <c r="I226" s="634">
        <v>2077862.81</v>
      </c>
      <c r="J226" s="703">
        <v>2066981.14</v>
      </c>
      <c r="K226" s="703">
        <v>2056099.47</v>
      </c>
      <c r="L226" s="634">
        <v>2045217.8</v>
      </c>
      <c r="M226" s="634">
        <v>2034336.13</v>
      </c>
      <c r="N226" s="634">
        <v>2023454.46</v>
      </c>
      <c r="O226" s="634">
        <v>2012572.79</v>
      </c>
      <c r="P226" s="634">
        <v>2001691.12</v>
      </c>
      <c r="Q226" s="634">
        <v>1990809.45</v>
      </c>
      <c r="R226" s="634">
        <v>1979927.78</v>
      </c>
      <c r="S226" s="628">
        <f t="shared" si="34"/>
        <v>1958028.0374999999</v>
      </c>
      <c r="T226" s="602"/>
      <c r="U226" s="637"/>
      <c r="V226" s="605"/>
      <c r="W226" s="605"/>
      <c r="X226" s="605"/>
      <c r="Y226" s="615"/>
      <c r="Z226" s="615"/>
    </row>
    <row r="227" spans="1:26" ht="31.2">
      <c r="A227" s="622" t="s">
        <v>700</v>
      </c>
      <c r="B227" s="622" t="s">
        <v>496</v>
      </c>
      <c r="C227" s="623">
        <v>218</v>
      </c>
      <c r="D227" s="624" t="str">
        <f t="shared" si="36"/>
        <v>2241.02</v>
      </c>
      <c r="E227" s="731" t="s">
        <v>701</v>
      </c>
      <c r="F227" s="626">
        <v>0</v>
      </c>
      <c r="G227" s="708">
        <v>0</v>
      </c>
      <c r="H227" s="628">
        <v>0</v>
      </c>
      <c r="I227" s="628">
        <v>0</v>
      </c>
      <c r="J227" s="629">
        <v>0</v>
      </c>
      <c r="K227" s="630">
        <v>0</v>
      </c>
      <c r="L227" s="631">
        <v>0</v>
      </c>
      <c r="M227" s="632">
        <v>0</v>
      </c>
      <c r="N227" s="633">
        <v>0</v>
      </c>
      <c r="O227" s="634">
        <v>0</v>
      </c>
      <c r="P227" s="635">
        <v>0</v>
      </c>
      <c r="Q227" s="709">
        <v>0</v>
      </c>
      <c r="R227" s="626">
        <v>0</v>
      </c>
      <c r="S227" s="628">
        <f t="shared" si="34"/>
        <v>0</v>
      </c>
      <c r="T227" s="602"/>
      <c r="U227" s="637"/>
      <c r="V227" s="605"/>
      <c r="W227" s="605"/>
      <c r="X227" s="605"/>
      <c r="Y227" s="615"/>
      <c r="Z227" s="615"/>
    </row>
    <row r="228" spans="1:26" ht="31.2">
      <c r="A228" s="622" t="s">
        <v>700</v>
      </c>
      <c r="B228" s="622" t="s">
        <v>558</v>
      </c>
      <c r="C228" s="623">
        <v>219</v>
      </c>
      <c r="D228" s="624" t="str">
        <f t="shared" si="36"/>
        <v>2241.03</v>
      </c>
      <c r="E228" s="731" t="s">
        <v>702</v>
      </c>
      <c r="F228" s="626">
        <v>0</v>
      </c>
      <c r="G228" s="708">
        <v>0</v>
      </c>
      <c r="H228" s="628">
        <v>0</v>
      </c>
      <c r="I228" s="628">
        <v>0</v>
      </c>
      <c r="J228" s="629">
        <v>0</v>
      </c>
      <c r="K228" s="630">
        <v>0</v>
      </c>
      <c r="L228" s="631">
        <v>0</v>
      </c>
      <c r="M228" s="632">
        <v>0</v>
      </c>
      <c r="N228" s="633">
        <v>0</v>
      </c>
      <c r="O228" s="634">
        <v>0</v>
      </c>
      <c r="P228" s="635">
        <v>0</v>
      </c>
      <c r="Q228" s="709">
        <v>0</v>
      </c>
      <c r="R228" s="626">
        <v>0</v>
      </c>
      <c r="S228" s="628">
        <f t="shared" si="34"/>
        <v>0</v>
      </c>
      <c r="T228" s="602"/>
      <c r="U228" s="637"/>
      <c r="V228" s="605"/>
      <c r="W228" s="605"/>
      <c r="X228" s="605"/>
      <c r="Y228" s="615"/>
      <c r="Z228" s="615"/>
    </row>
    <row r="229" spans="1:26" ht="31.2">
      <c r="A229" s="622" t="s">
        <v>700</v>
      </c>
      <c r="B229" s="622" t="s">
        <v>560</v>
      </c>
      <c r="C229" s="623">
        <v>220</v>
      </c>
      <c r="D229" s="624" t="str">
        <f t="shared" si="36"/>
        <v>2241.04</v>
      </c>
      <c r="E229" s="731" t="s">
        <v>703</v>
      </c>
      <c r="F229" s="626">
        <v>0</v>
      </c>
      <c r="G229" s="708">
        <v>0</v>
      </c>
      <c r="H229" s="628">
        <v>0</v>
      </c>
      <c r="I229" s="628">
        <v>0</v>
      </c>
      <c r="J229" s="629">
        <v>0</v>
      </c>
      <c r="K229" s="630">
        <v>0</v>
      </c>
      <c r="L229" s="631">
        <v>0</v>
      </c>
      <c r="M229" s="632">
        <v>0</v>
      </c>
      <c r="N229" s="633">
        <v>0</v>
      </c>
      <c r="O229" s="634">
        <v>0</v>
      </c>
      <c r="P229" s="635">
        <v>0</v>
      </c>
      <c r="Q229" s="709">
        <v>0</v>
      </c>
      <c r="R229" s="626">
        <v>0</v>
      </c>
      <c r="S229" s="628">
        <f t="shared" si="34"/>
        <v>0</v>
      </c>
      <c r="T229" s="602"/>
      <c r="U229" s="637"/>
      <c r="V229" s="605"/>
      <c r="W229" s="605"/>
      <c r="X229" s="605"/>
      <c r="Y229" s="615"/>
      <c r="Z229" s="615"/>
    </row>
    <row r="230" spans="1:26" ht="31.2">
      <c r="A230" s="622" t="s">
        <v>700</v>
      </c>
      <c r="B230" s="622" t="s">
        <v>704</v>
      </c>
      <c r="C230" s="623">
        <v>221</v>
      </c>
      <c r="D230" s="624" t="str">
        <f t="shared" si="36"/>
        <v>2241.06</v>
      </c>
      <c r="E230" s="731" t="s">
        <v>705</v>
      </c>
      <c r="F230" s="626">
        <v>0</v>
      </c>
      <c r="G230" s="708">
        <v>0</v>
      </c>
      <c r="H230" s="628">
        <v>0</v>
      </c>
      <c r="I230" s="628">
        <v>0</v>
      </c>
      <c r="J230" s="629">
        <v>0</v>
      </c>
      <c r="K230" s="630">
        <v>0</v>
      </c>
      <c r="L230" s="631">
        <v>0</v>
      </c>
      <c r="M230" s="632">
        <v>0</v>
      </c>
      <c r="N230" s="633">
        <v>0</v>
      </c>
      <c r="O230" s="634">
        <v>0</v>
      </c>
      <c r="P230" s="635">
        <v>0</v>
      </c>
      <c r="Q230" s="709">
        <v>0</v>
      </c>
      <c r="R230" s="626">
        <v>0</v>
      </c>
      <c r="S230" s="628">
        <f t="shared" si="34"/>
        <v>0</v>
      </c>
      <c r="T230" s="602"/>
      <c r="U230" s="637"/>
      <c r="V230" s="605"/>
      <c r="W230" s="605"/>
      <c r="X230" s="605"/>
      <c r="Y230" s="615"/>
      <c r="Z230" s="615"/>
    </row>
    <row r="231" spans="1:26" ht="31.2">
      <c r="A231" s="622" t="s">
        <v>700</v>
      </c>
      <c r="B231" s="622" t="s">
        <v>706</v>
      </c>
      <c r="C231" s="623">
        <v>222</v>
      </c>
      <c r="D231" s="624" t="str">
        <f t="shared" si="36"/>
        <v>2241.07</v>
      </c>
      <c r="E231" s="731" t="s">
        <v>707</v>
      </c>
      <c r="F231" s="626">
        <v>0</v>
      </c>
      <c r="G231" s="708">
        <v>0</v>
      </c>
      <c r="H231" s="628">
        <v>0</v>
      </c>
      <c r="I231" s="628">
        <v>0</v>
      </c>
      <c r="J231" s="629">
        <v>0</v>
      </c>
      <c r="K231" s="630">
        <v>0</v>
      </c>
      <c r="L231" s="631">
        <v>0</v>
      </c>
      <c r="M231" s="632">
        <v>0</v>
      </c>
      <c r="N231" s="633">
        <v>0</v>
      </c>
      <c r="O231" s="634">
        <v>0</v>
      </c>
      <c r="P231" s="635">
        <v>0</v>
      </c>
      <c r="Q231" s="709">
        <v>0</v>
      </c>
      <c r="R231" s="626">
        <v>0</v>
      </c>
      <c r="S231" s="628">
        <f t="shared" si="34"/>
        <v>0</v>
      </c>
      <c r="T231" s="602"/>
      <c r="U231" s="637"/>
      <c r="V231" s="605"/>
      <c r="W231" s="605"/>
      <c r="X231" s="605"/>
      <c r="Y231" s="615"/>
      <c r="Z231" s="615"/>
    </row>
    <row r="232" spans="1:26" ht="31.2">
      <c r="A232" s="622" t="s">
        <v>700</v>
      </c>
      <c r="B232" s="622" t="s">
        <v>708</v>
      </c>
      <c r="C232" s="623">
        <v>223</v>
      </c>
      <c r="D232" s="624" t="str">
        <f t="shared" si="36"/>
        <v>2241.08</v>
      </c>
      <c r="E232" s="731" t="s">
        <v>709</v>
      </c>
      <c r="F232" s="626">
        <v>0</v>
      </c>
      <c r="G232" s="708">
        <v>0</v>
      </c>
      <c r="H232" s="628">
        <v>0</v>
      </c>
      <c r="I232" s="628">
        <v>0</v>
      </c>
      <c r="J232" s="629">
        <v>0</v>
      </c>
      <c r="K232" s="630">
        <v>0</v>
      </c>
      <c r="L232" s="631">
        <v>0</v>
      </c>
      <c r="M232" s="632">
        <v>0</v>
      </c>
      <c r="N232" s="633">
        <v>0</v>
      </c>
      <c r="O232" s="703">
        <v>0</v>
      </c>
      <c r="P232" s="635">
        <v>0</v>
      </c>
      <c r="Q232" s="709">
        <v>0</v>
      </c>
      <c r="R232" s="626">
        <v>0</v>
      </c>
      <c r="S232" s="628">
        <f t="shared" si="34"/>
        <v>0</v>
      </c>
      <c r="T232" s="602"/>
      <c r="U232" s="637"/>
      <c r="V232" s="605"/>
      <c r="W232" s="605"/>
      <c r="X232" s="605"/>
      <c r="Y232" s="615"/>
      <c r="Z232" s="615"/>
    </row>
    <row r="233" spans="1:26">
      <c r="A233" s="622" t="s">
        <v>710</v>
      </c>
      <c r="B233" s="622" t="s">
        <v>516</v>
      </c>
      <c r="C233" s="623">
        <v>224</v>
      </c>
      <c r="D233" s="624" t="str">
        <f t="shared" si="36"/>
        <v>2242.01</v>
      </c>
      <c r="E233" s="622" t="s">
        <v>711</v>
      </c>
      <c r="F233" s="634">
        <v>0</v>
      </c>
      <c r="G233" s="634">
        <v>0</v>
      </c>
      <c r="H233" s="634">
        <v>0</v>
      </c>
      <c r="I233" s="634">
        <v>0</v>
      </c>
      <c r="J233" s="703">
        <v>0</v>
      </c>
      <c r="K233" s="703">
        <v>0</v>
      </c>
      <c r="L233" s="634">
        <v>0</v>
      </c>
      <c r="M233" s="634">
        <v>0</v>
      </c>
      <c r="N233" s="634">
        <v>0</v>
      </c>
      <c r="O233" s="634">
        <v>0</v>
      </c>
      <c r="P233" s="634">
        <v>0</v>
      </c>
      <c r="Q233" s="634">
        <v>0</v>
      </c>
      <c r="R233" s="634">
        <v>0</v>
      </c>
      <c r="S233" s="628">
        <f t="shared" si="34"/>
        <v>0</v>
      </c>
      <c r="T233" s="602"/>
      <c r="U233" s="637"/>
      <c r="V233" s="605"/>
      <c r="W233" s="605"/>
      <c r="X233" s="605"/>
      <c r="Y233" s="615"/>
      <c r="Z233" s="615"/>
    </row>
    <row r="234" spans="1:26">
      <c r="A234" s="622"/>
      <c r="B234" s="622"/>
      <c r="C234" s="623">
        <v>225</v>
      </c>
      <c r="D234" s="624"/>
      <c r="E234" s="680" t="s">
        <v>712</v>
      </c>
      <c r="F234" s="650">
        <f>SUM(F215:F233)</f>
        <v>-214589000</v>
      </c>
      <c r="G234" s="650">
        <f t="shared" ref="G234:S234" si="37">SUM(G215:G233)</f>
        <v>-212484879.81</v>
      </c>
      <c r="H234" s="650">
        <f t="shared" si="37"/>
        <v>-212445772.80000001</v>
      </c>
      <c r="I234" s="650">
        <f t="shared" si="37"/>
        <v>-212461137.19</v>
      </c>
      <c r="J234" s="650">
        <f t="shared" si="37"/>
        <v>-212472018.86000001</v>
      </c>
      <c r="K234" s="650">
        <f t="shared" si="37"/>
        <v>-212432900.53</v>
      </c>
      <c r="L234" s="650">
        <f t="shared" si="37"/>
        <v>-212443782.19999999</v>
      </c>
      <c r="M234" s="650">
        <f t="shared" si="37"/>
        <v>-212454663.87</v>
      </c>
      <c r="N234" s="650">
        <f t="shared" si="37"/>
        <v>-212447545.53999999</v>
      </c>
      <c r="O234" s="650">
        <f t="shared" si="37"/>
        <v>-212458427.21000001</v>
      </c>
      <c r="P234" s="650">
        <f t="shared" si="37"/>
        <v>-212469308.88</v>
      </c>
      <c r="Q234" s="650">
        <f t="shared" si="37"/>
        <v>-212480190.55000001</v>
      </c>
      <c r="R234" s="650">
        <f t="shared" si="37"/>
        <v>-212491072.22</v>
      </c>
      <c r="S234" s="650">
        <f t="shared" si="37"/>
        <v>-212549221.96250001</v>
      </c>
      <c r="T234" s="602"/>
      <c r="U234" s="638">
        <f>S234</f>
        <v>-212549221.96250001</v>
      </c>
      <c r="V234" s="605"/>
      <c r="W234" s="605"/>
      <c r="X234" s="605"/>
      <c r="Y234" s="615"/>
      <c r="Z234" s="615"/>
    </row>
    <row r="235" spans="1:26">
      <c r="A235" s="622"/>
      <c r="B235" s="622"/>
      <c r="C235" s="623">
        <v>226</v>
      </c>
      <c r="D235" s="624"/>
      <c r="E235" s="680"/>
      <c r="F235" s="626"/>
      <c r="G235" s="708"/>
      <c r="H235" s="628"/>
      <c r="I235" s="628"/>
      <c r="J235" s="629"/>
      <c r="K235" s="630"/>
      <c r="L235" s="631"/>
      <c r="M235" s="632"/>
      <c r="N235" s="633"/>
      <c r="O235" s="634"/>
      <c r="P235" s="635"/>
      <c r="Q235" s="709"/>
      <c r="R235" s="626"/>
      <c r="S235" s="628">
        <f t="shared" si="34"/>
        <v>0</v>
      </c>
      <c r="T235" s="602"/>
      <c r="U235" s="637"/>
      <c r="V235" s="605"/>
      <c r="W235" s="605"/>
      <c r="X235" s="605"/>
      <c r="Y235" s="615"/>
      <c r="Z235" s="615"/>
    </row>
    <row r="236" spans="1:26">
      <c r="A236" s="622" t="s">
        <v>713</v>
      </c>
      <c r="B236" s="622" t="s">
        <v>402</v>
      </c>
      <c r="C236" s="623">
        <v>227</v>
      </c>
      <c r="D236" s="622" t="str">
        <f>+A236</f>
        <v>2310</v>
      </c>
      <c r="E236" s="680" t="s">
        <v>714</v>
      </c>
      <c r="F236" s="626">
        <v>0</v>
      </c>
      <c r="G236" s="708">
        <v>0</v>
      </c>
      <c r="H236" s="628">
        <v>0</v>
      </c>
      <c r="I236" s="628">
        <v>0</v>
      </c>
      <c r="J236" s="629">
        <v>0</v>
      </c>
      <c r="K236" s="630">
        <v>0</v>
      </c>
      <c r="L236" s="631">
        <v>0</v>
      </c>
      <c r="M236" s="632">
        <v>0</v>
      </c>
      <c r="N236" s="633">
        <v>0</v>
      </c>
      <c r="O236" s="634">
        <v>0</v>
      </c>
      <c r="P236" s="635">
        <v>0</v>
      </c>
      <c r="Q236" s="709">
        <v>0</v>
      </c>
      <c r="R236" s="626">
        <v>0</v>
      </c>
      <c r="S236" s="628">
        <f t="shared" si="34"/>
        <v>0</v>
      </c>
      <c r="T236" s="602"/>
      <c r="U236" s="638">
        <f>S236</f>
        <v>0</v>
      </c>
      <c r="V236" s="637"/>
      <c r="W236" s="637"/>
      <c r="X236" s="638"/>
      <c r="Y236" s="615"/>
      <c r="Z236" s="615"/>
    </row>
    <row r="237" spans="1:26">
      <c r="A237" s="622" t="s">
        <v>715</v>
      </c>
      <c r="B237" s="622" t="s">
        <v>716</v>
      </c>
      <c r="C237" s="623">
        <v>228</v>
      </c>
      <c r="D237" s="600" t="str">
        <f>A237&amp;"."&amp;B237</f>
        <v>2330.045</v>
      </c>
      <c r="E237" s="622" t="s">
        <v>717</v>
      </c>
      <c r="F237" s="626">
        <v>0</v>
      </c>
      <c r="G237" s="708">
        <v>0</v>
      </c>
      <c r="H237" s="628">
        <v>0</v>
      </c>
      <c r="I237" s="628">
        <v>0</v>
      </c>
      <c r="J237" s="629">
        <v>0</v>
      </c>
      <c r="K237" s="630">
        <v>0</v>
      </c>
      <c r="L237" s="631">
        <v>0</v>
      </c>
      <c r="M237" s="632">
        <v>0</v>
      </c>
      <c r="N237" s="633">
        <v>0</v>
      </c>
      <c r="O237" s="634">
        <v>0</v>
      </c>
      <c r="P237" s="635">
        <v>0</v>
      </c>
      <c r="Q237" s="709">
        <v>0</v>
      </c>
      <c r="R237" s="626">
        <v>0</v>
      </c>
      <c r="S237" s="628">
        <f t="shared" si="34"/>
        <v>0</v>
      </c>
      <c r="T237" s="602"/>
      <c r="U237" s="637"/>
      <c r="V237" s="637"/>
      <c r="W237" s="637"/>
      <c r="X237" s="637"/>
      <c r="Y237" s="615"/>
      <c r="Z237" s="615"/>
    </row>
    <row r="238" spans="1:26">
      <c r="A238" s="622"/>
      <c r="B238" s="622"/>
      <c r="C238" s="623">
        <v>229</v>
      </c>
      <c r="D238" s="624"/>
      <c r="E238" s="680"/>
      <c r="F238" s="626"/>
      <c r="G238" s="708"/>
      <c r="H238" s="628"/>
      <c r="I238" s="628"/>
      <c r="J238" s="629"/>
      <c r="K238" s="630"/>
      <c r="L238" s="631"/>
      <c r="M238" s="632"/>
      <c r="N238" s="633"/>
      <c r="O238" s="634"/>
      <c r="P238" s="635"/>
      <c r="Q238" s="709"/>
      <c r="R238" s="626"/>
      <c r="S238" s="628">
        <f t="shared" si="34"/>
        <v>0</v>
      </c>
      <c r="T238" s="602"/>
      <c r="U238" s="637"/>
      <c r="V238" s="637"/>
      <c r="W238" s="637"/>
      <c r="X238" s="637"/>
      <c r="Y238" s="615"/>
      <c r="Z238" s="615"/>
    </row>
    <row r="239" spans="1:26">
      <c r="A239" s="622" t="s">
        <v>718</v>
      </c>
      <c r="B239" s="622" t="s">
        <v>402</v>
      </c>
      <c r="C239" s="623">
        <v>230</v>
      </c>
      <c r="D239" s="622" t="str">
        <f>+A239</f>
        <v>2321</v>
      </c>
      <c r="E239" s="680" t="s">
        <v>719</v>
      </c>
      <c r="F239" s="626">
        <v>-2632243.14</v>
      </c>
      <c r="G239" s="708">
        <v>-932061.88</v>
      </c>
      <c r="H239" s="628">
        <v>-1268442.46</v>
      </c>
      <c r="I239" s="628">
        <v>-1261061.97</v>
      </c>
      <c r="J239" s="629">
        <v>-2118018.4300000002</v>
      </c>
      <c r="K239" s="630">
        <v>-2776132.13</v>
      </c>
      <c r="L239" s="631">
        <v>-1910577.14</v>
      </c>
      <c r="M239" s="632">
        <v>-1163398.6100000001</v>
      </c>
      <c r="N239" s="633">
        <v>-2492662.4</v>
      </c>
      <c r="O239" s="634">
        <v>-2252485.5099999998</v>
      </c>
      <c r="P239" s="635">
        <v>-1248713.28</v>
      </c>
      <c r="Q239" s="709">
        <v>-1464995.91</v>
      </c>
      <c r="R239" s="626">
        <v>-3872593.05</v>
      </c>
      <c r="S239" s="628">
        <f t="shared" si="34"/>
        <v>-1845080.6512499999</v>
      </c>
      <c r="T239" s="602"/>
      <c r="U239" s="637"/>
      <c r="V239" s="637"/>
      <c r="W239" s="637"/>
      <c r="X239" s="638">
        <f>S239</f>
        <v>-1845080.6512499999</v>
      </c>
      <c r="Y239" s="615"/>
      <c r="Z239" s="615"/>
    </row>
    <row r="240" spans="1:26">
      <c r="A240" s="598" t="s">
        <v>720</v>
      </c>
      <c r="B240" s="622" t="s">
        <v>979</v>
      </c>
      <c r="C240" s="623">
        <v>231</v>
      </c>
      <c r="D240" s="622" t="s">
        <v>720</v>
      </c>
      <c r="E240" s="643" t="s">
        <v>980</v>
      </c>
      <c r="F240" s="626">
        <v>0</v>
      </c>
      <c r="G240" s="708">
        <v>0</v>
      </c>
      <c r="H240" s="628">
        <v>0</v>
      </c>
      <c r="I240" s="628">
        <v>0</v>
      </c>
      <c r="J240" s="629">
        <v>0</v>
      </c>
      <c r="K240" s="630">
        <v>-7174.24</v>
      </c>
      <c r="L240" s="631">
        <v>-47647.49</v>
      </c>
      <c r="M240" s="632">
        <v>-13364.19</v>
      </c>
      <c r="N240" s="633">
        <v>-123251.5</v>
      </c>
      <c r="O240" s="634">
        <v>-116359</v>
      </c>
      <c r="P240" s="635">
        <v>-110921.31</v>
      </c>
      <c r="Q240" s="709">
        <v>-20605.52</v>
      </c>
      <c r="R240" s="626">
        <v>-196293.75</v>
      </c>
      <c r="S240" s="628">
        <f t="shared" si="34"/>
        <v>-44789.177083333336</v>
      </c>
      <c r="T240" s="602"/>
      <c r="U240" s="637"/>
      <c r="V240" s="637"/>
      <c r="W240" s="637"/>
      <c r="X240" s="638">
        <f>S240</f>
        <v>-44789.177083333336</v>
      </c>
      <c r="Y240" s="615"/>
      <c r="Z240" s="615"/>
    </row>
    <row r="241" spans="1:26">
      <c r="A241" s="598" t="s">
        <v>720</v>
      </c>
      <c r="B241" s="598" t="s">
        <v>438</v>
      </c>
      <c r="C241" s="623">
        <v>232</v>
      </c>
      <c r="D241" s="600" t="str">
        <f>A241&amp;"."&amp;B241</f>
        <v>2322.1*</v>
      </c>
      <c r="E241" s="680" t="s">
        <v>721</v>
      </c>
      <c r="F241" s="626">
        <v>-18234135.59</v>
      </c>
      <c r="G241" s="708">
        <v>-19391764.940000001</v>
      </c>
      <c r="H241" s="628">
        <v>-13030468.84</v>
      </c>
      <c r="I241" s="628">
        <v>-11601271.02</v>
      </c>
      <c r="J241" s="629">
        <v>-8766764.0800000001</v>
      </c>
      <c r="K241" s="630">
        <v>-7374700.1100000003</v>
      </c>
      <c r="L241" s="631">
        <v>-6311789.5599999996</v>
      </c>
      <c r="M241" s="632">
        <v>-7758729.8399999999</v>
      </c>
      <c r="N241" s="633">
        <v>-8119312.1200000001</v>
      </c>
      <c r="O241" s="634">
        <v>-8761209.8200000003</v>
      </c>
      <c r="P241" s="635">
        <v>-9979998.6999999993</v>
      </c>
      <c r="Q241" s="709">
        <v>-14927334.35</v>
      </c>
      <c r="R241" s="626">
        <v>-22858356.27</v>
      </c>
      <c r="S241" s="628">
        <f t="shared" si="34"/>
        <v>-11380799.109166667</v>
      </c>
      <c r="T241" s="602"/>
      <c r="U241" s="637"/>
      <c r="V241" s="637"/>
      <c r="W241" s="637"/>
      <c r="X241" s="638">
        <f>S241</f>
        <v>-11380799.109166667</v>
      </c>
      <c r="Y241" s="615"/>
      <c r="Z241" s="615"/>
    </row>
    <row r="242" spans="1:26">
      <c r="A242" s="598" t="s">
        <v>720</v>
      </c>
      <c r="B242" s="598" t="s">
        <v>722</v>
      </c>
      <c r="C242" s="623">
        <v>233</v>
      </c>
      <c r="D242" s="600" t="str">
        <f>A242&amp;"."&amp;B242</f>
        <v>2322.[2*,/217]</v>
      </c>
      <c r="E242" s="598" t="s">
        <v>723</v>
      </c>
      <c r="F242" s="626">
        <v>0</v>
      </c>
      <c r="G242" s="708">
        <v>0</v>
      </c>
      <c r="H242" s="628">
        <v>0</v>
      </c>
      <c r="I242" s="628">
        <v>0</v>
      </c>
      <c r="J242" s="629">
        <v>0</v>
      </c>
      <c r="K242" s="630">
        <v>0</v>
      </c>
      <c r="L242" s="631">
        <v>0</v>
      </c>
      <c r="M242" s="632">
        <v>0</v>
      </c>
      <c r="N242" s="633">
        <v>0</v>
      </c>
      <c r="O242" s="634">
        <v>0</v>
      </c>
      <c r="P242" s="635">
        <v>0</v>
      </c>
      <c r="Q242" s="709">
        <v>0</v>
      </c>
      <c r="R242" s="626">
        <v>0</v>
      </c>
      <c r="S242" s="628">
        <f t="shared" si="34"/>
        <v>0</v>
      </c>
      <c r="T242" s="602"/>
      <c r="U242" s="637"/>
      <c r="V242" s="637"/>
      <c r="W242" s="637"/>
      <c r="X242" s="637"/>
      <c r="Y242" s="615"/>
      <c r="Z242" s="615"/>
    </row>
    <row r="243" spans="1:26">
      <c r="A243" s="598" t="s">
        <v>720</v>
      </c>
      <c r="B243" s="598" t="s">
        <v>724</v>
      </c>
      <c r="C243" s="623">
        <v>234</v>
      </c>
      <c r="D243" s="600" t="str">
        <f>A243&amp;"."&amp;B243</f>
        <v>2322.[217*]</v>
      </c>
      <c r="E243" s="598" t="s">
        <v>725</v>
      </c>
      <c r="F243" s="626"/>
      <c r="G243" s="708"/>
      <c r="H243" s="628"/>
      <c r="I243" s="628"/>
      <c r="J243" s="629"/>
      <c r="K243" s="630"/>
      <c r="L243" s="631"/>
      <c r="M243" s="632"/>
      <c r="N243" s="633"/>
      <c r="O243" s="634"/>
      <c r="P243" s="635"/>
      <c r="Q243" s="709"/>
      <c r="R243" s="626">
        <v>-1209848.1399999999</v>
      </c>
      <c r="S243" s="628">
        <f t="shared" si="34"/>
        <v>-50410.339166666665</v>
      </c>
      <c r="T243" s="602"/>
      <c r="U243" s="637"/>
      <c r="V243" s="637"/>
      <c r="W243" s="637"/>
      <c r="X243" s="638">
        <f>+S243</f>
        <v>-50410.339166666665</v>
      </c>
      <c r="Y243" s="615"/>
      <c r="Z243" s="615"/>
    </row>
    <row r="244" spans="1:26">
      <c r="A244" s="598" t="s">
        <v>720</v>
      </c>
      <c r="B244" s="598" t="s">
        <v>726</v>
      </c>
      <c r="C244" s="623">
        <v>235</v>
      </c>
      <c r="D244" s="600" t="str">
        <f>A244&amp;"."&amp;B244</f>
        <v>2322.[4*,009]</v>
      </c>
      <c r="E244" s="680" t="s">
        <v>727</v>
      </c>
      <c r="F244" s="626">
        <v>-1438.53</v>
      </c>
      <c r="G244" s="708">
        <v>0</v>
      </c>
      <c r="H244" s="628">
        <v>-3313.53</v>
      </c>
      <c r="I244" s="628">
        <v>-2109.54</v>
      </c>
      <c r="J244" s="629">
        <v>0</v>
      </c>
      <c r="K244" s="630">
        <v>-3496.21</v>
      </c>
      <c r="L244" s="631">
        <v>-2220.6</v>
      </c>
      <c r="M244" s="632">
        <v>-4.5474735088646402E-13</v>
      </c>
      <c r="N244" s="633">
        <v>-8836.08</v>
      </c>
      <c r="O244" s="634">
        <v>-5388.41</v>
      </c>
      <c r="P244" s="635">
        <v>-4445.25</v>
      </c>
      <c r="Q244" s="709">
        <v>-22386.65</v>
      </c>
      <c r="R244" s="626">
        <v>-359559.65</v>
      </c>
      <c r="S244" s="628">
        <f t="shared" si="34"/>
        <v>-19391.280000000002</v>
      </c>
      <c r="T244" s="602"/>
      <c r="U244" s="637"/>
      <c r="V244" s="637"/>
      <c r="W244" s="637"/>
      <c r="X244" s="638">
        <f>S244</f>
        <v>-19391.280000000002</v>
      </c>
      <c r="Y244" s="615"/>
      <c r="Z244" s="615"/>
    </row>
    <row r="245" spans="1:26">
      <c r="A245" s="598" t="s">
        <v>720</v>
      </c>
      <c r="B245" s="598" t="s">
        <v>728</v>
      </c>
      <c r="C245" s="623">
        <v>236</v>
      </c>
      <c r="D245" s="600" t="str">
        <f>A245&amp;"."&amp;B245</f>
        <v>2322.3*</v>
      </c>
      <c r="E245" s="680" t="s">
        <v>729</v>
      </c>
      <c r="F245" s="626">
        <v>-5893.5800000000199</v>
      </c>
      <c r="G245" s="708">
        <v>-7031.79</v>
      </c>
      <c r="H245" s="628">
        <v>10476.73</v>
      </c>
      <c r="I245" s="628">
        <v>-112571.75</v>
      </c>
      <c r="J245" s="629">
        <v>-108695.88</v>
      </c>
      <c r="K245" s="630">
        <v>12333.46</v>
      </c>
      <c r="L245" s="631">
        <v>14294.76</v>
      </c>
      <c r="M245" s="632">
        <v>11550.38</v>
      </c>
      <c r="N245" s="633">
        <v>-116783.52</v>
      </c>
      <c r="O245" s="634">
        <v>-118590.76</v>
      </c>
      <c r="P245" s="635">
        <v>-3146.2200000000198</v>
      </c>
      <c r="Q245" s="709">
        <v>-7857.6400000000203</v>
      </c>
      <c r="R245" s="626">
        <v>-13011.26</v>
      </c>
      <c r="S245" s="628">
        <f t="shared" si="34"/>
        <v>-36289.554166666669</v>
      </c>
      <c r="T245" s="602"/>
      <c r="U245" s="637"/>
      <c r="V245" s="637"/>
      <c r="W245" s="637"/>
      <c r="X245" s="638">
        <f>S245</f>
        <v>-36289.554166666669</v>
      </c>
      <c r="Y245" s="615"/>
      <c r="Z245" s="615"/>
    </row>
    <row r="246" spans="1:26">
      <c r="A246" s="622" t="s">
        <v>730</v>
      </c>
      <c r="B246" s="622" t="s">
        <v>402</v>
      </c>
      <c r="C246" s="623">
        <v>237</v>
      </c>
      <c r="D246" s="622" t="str">
        <f>+A246</f>
        <v>2323</v>
      </c>
      <c r="E246" s="680" t="s">
        <v>731</v>
      </c>
      <c r="F246" s="626">
        <v>-145487</v>
      </c>
      <c r="G246" s="708">
        <v>-76962.429999999993</v>
      </c>
      <c r="H246" s="628">
        <v>-199193.18</v>
      </c>
      <c r="I246" s="628">
        <v>-540960.78</v>
      </c>
      <c r="J246" s="629">
        <v>-479413.69</v>
      </c>
      <c r="K246" s="630">
        <v>-230955.63</v>
      </c>
      <c r="L246" s="631">
        <v>-394986.89</v>
      </c>
      <c r="M246" s="632">
        <v>-261650.2</v>
      </c>
      <c r="N246" s="633">
        <v>-142219.95000000001</v>
      </c>
      <c r="O246" s="634">
        <v>-620952.82999999996</v>
      </c>
      <c r="P246" s="635">
        <v>-390564.37</v>
      </c>
      <c r="Q246" s="709">
        <v>-307623.27</v>
      </c>
      <c r="R246" s="626">
        <v>-253348.6</v>
      </c>
      <c r="S246" s="628">
        <f t="shared" si="34"/>
        <v>-320408.41833333339</v>
      </c>
      <c r="T246" s="602"/>
      <c r="U246" s="637"/>
      <c r="V246" s="637"/>
      <c r="W246" s="637"/>
      <c r="X246" s="638">
        <f>S246</f>
        <v>-320408.41833333339</v>
      </c>
      <c r="Y246" s="615"/>
      <c r="Z246" s="615"/>
    </row>
    <row r="247" spans="1:26">
      <c r="A247" s="622"/>
      <c r="B247" s="622"/>
      <c r="C247" s="623">
        <v>238</v>
      </c>
      <c r="D247" s="624"/>
      <c r="E247" s="680"/>
      <c r="F247" s="626"/>
      <c r="G247" s="708"/>
      <c r="H247" s="628"/>
      <c r="I247" s="628"/>
      <c r="J247" s="629"/>
      <c r="K247" s="630"/>
      <c r="L247" s="631"/>
      <c r="M247" s="632"/>
      <c r="N247" s="633"/>
      <c r="O247" s="634"/>
      <c r="P247" s="635"/>
      <c r="Q247" s="709"/>
      <c r="R247" s="626"/>
      <c r="S247" s="628">
        <f t="shared" si="34"/>
        <v>0</v>
      </c>
      <c r="T247" s="602"/>
      <c r="U247" s="637"/>
      <c r="V247" s="637"/>
      <c r="W247" s="637"/>
      <c r="X247" s="637"/>
      <c r="Y247" s="615"/>
      <c r="Z247" s="615"/>
    </row>
    <row r="248" spans="1:26">
      <c r="A248" s="622" t="s">
        <v>732</v>
      </c>
      <c r="B248" s="732" t="s">
        <v>733</v>
      </c>
      <c r="C248" s="623">
        <v>239</v>
      </c>
      <c r="D248" s="624" t="str">
        <f t="shared" ref="D248:D258" si="38">A248&amp;"."&amp;B248</f>
        <v>2340.[000,001]</v>
      </c>
      <c r="E248" s="733" t="s">
        <v>734</v>
      </c>
      <c r="F248" s="626">
        <v>-1402673.36</v>
      </c>
      <c r="G248" s="708">
        <v>-1464534.48</v>
      </c>
      <c r="H248" s="628">
        <v>-1369348.79</v>
      </c>
      <c r="I248" s="628">
        <v>-1023239.36</v>
      </c>
      <c r="J248" s="629">
        <v>-717549.77</v>
      </c>
      <c r="K248" s="630">
        <v>-1269623.98</v>
      </c>
      <c r="L248" s="631">
        <v>-1166708.32</v>
      </c>
      <c r="M248" s="632">
        <v>-995927.74</v>
      </c>
      <c r="N248" s="633">
        <v>-1394534.21</v>
      </c>
      <c r="O248" s="634">
        <v>-1382782.44</v>
      </c>
      <c r="P248" s="635">
        <v>-1355123.03</v>
      </c>
      <c r="Q248" s="709">
        <v>-1250012.98</v>
      </c>
      <c r="R248" s="626">
        <v>-1360877.86</v>
      </c>
      <c r="S248" s="628">
        <f t="shared" si="34"/>
        <v>-1230930.0591666668</v>
      </c>
      <c r="T248" s="602"/>
      <c r="U248" s="637"/>
      <c r="V248" s="637"/>
      <c r="W248" s="637"/>
      <c r="X248" s="637"/>
      <c r="Y248" s="615"/>
      <c r="Z248" s="615"/>
    </row>
    <row r="249" spans="1:26">
      <c r="A249" s="622" t="s">
        <v>732</v>
      </c>
      <c r="B249" s="732" t="s">
        <v>735</v>
      </c>
      <c r="C249" s="623">
        <v>240</v>
      </c>
      <c r="D249" s="624" t="str">
        <f t="shared" si="38"/>
        <v>2340.005</v>
      </c>
      <c r="E249" s="680" t="s">
        <v>736</v>
      </c>
      <c r="F249" s="626">
        <v>-53</v>
      </c>
      <c r="G249" s="708">
        <v>-69984.800000000003</v>
      </c>
      <c r="H249" s="628">
        <v>-1668.96000000001</v>
      </c>
      <c r="I249" s="628">
        <v>-20311.650000000001</v>
      </c>
      <c r="J249" s="629">
        <v>-16.1500000000051</v>
      </c>
      <c r="K249" s="630">
        <v>-166.51000000000499</v>
      </c>
      <c r="L249" s="631">
        <v>-36005.4</v>
      </c>
      <c r="M249" s="632">
        <v>-200</v>
      </c>
      <c r="N249" s="633">
        <v>-1627.61</v>
      </c>
      <c r="O249" s="634">
        <v>-37814.57</v>
      </c>
      <c r="P249" s="635">
        <v>-10.75</v>
      </c>
      <c r="Q249" s="709">
        <v>-169061.22</v>
      </c>
      <c r="R249" s="626">
        <v>-13112.75</v>
      </c>
      <c r="S249" s="628">
        <f t="shared" si="34"/>
        <v>-28620.874583333334</v>
      </c>
      <c r="T249" s="602"/>
      <c r="U249" s="637"/>
      <c r="V249" s="637"/>
      <c r="W249" s="637"/>
      <c r="X249" s="637"/>
      <c r="Y249" s="615"/>
      <c r="Z249" s="615"/>
    </row>
    <row r="250" spans="1:26">
      <c r="A250" s="622" t="s">
        <v>732</v>
      </c>
      <c r="B250" s="732" t="s">
        <v>737</v>
      </c>
      <c r="C250" s="623">
        <v>241</v>
      </c>
      <c r="D250" s="624" t="str">
        <f t="shared" si="38"/>
        <v>2340.008</v>
      </c>
      <c r="E250" s="680" t="s">
        <v>738</v>
      </c>
      <c r="F250" s="626">
        <v>-4.5474735088646402E-13</v>
      </c>
      <c r="G250" s="708">
        <v>0</v>
      </c>
      <c r="H250" s="628">
        <v>0</v>
      </c>
      <c r="I250" s="628">
        <v>0</v>
      </c>
      <c r="J250" s="629">
        <v>0</v>
      </c>
      <c r="K250" s="630">
        <v>-1848.77</v>
      </c>
      <c r="L250" s="631">
        <v>-660</v>
      </c>
      <c r="M250" s="632">
        <v>0</v>
      </c>
      <c r="N250" s="633">
        <v>-68.540000000000006</v>
      </c>
      <c r="O250" s="634">
        <v>-11829.4</v>
      </c>
      <c r="P250" s="635">
        <v>-8160</v>
      </c>
      <c r="Q250" s="709">
        <v>-1.8189894035458601E-12</v>
      </c>
      <c r="R250" s="626">
        <v>-1.8189894035458601E-12</v>
      </c>
      <c r="S250" s="628">
        <f t="shared" si="34"/>
        <v>-1880.5591666666667</v>
      </c>
      <c r="T250" s="602"/>
      <c r="U250" s="637"/>
      <c r="V250" s="637"/>
      <c r="W250" s="637"/>
      <c r="X250" s="637"/>
      <c r="Y250" s="615"/>
      <c r="Z250" s="615"/>
    </row>
    <row r="251" spans="1:26">
      <c r="A251" s="622" t="s">
        <v>732</v>
      </c>
      <c r="B251" s="732" t="s">
        <v>739</v>
      </c>
      <c r="C251" s="623">
        <v>242</v>
      </c>
      <c r="D251" s="624" t="str">
        <f t="shared" si="38"/>
        <v>2340.0620</v>
      </c>
      <c r="E251" s="733" t="s">
        <v>740</v>
      </c>
      <c r="F251" s="626">
        <v>-7399.48</v>
      </c>
      <c r="G251" s="708">
        <v>-306.61</v>
      </c>
      <c r="H251" s="628">
        <v>-386.41</v>
      </c>
      <c r="I251" s="628">
        <v>-1679.64</v>
      </c>
      <c r="J251" s="629">
        <v>4.5474735088646402E-13</v>
      </c>
      <c r="K251" s="630">
        <v>-1189.6500000000001</v>
      </c>
      <c r="L251" s="631">
        <v>4.5474735088646402E-13</v>
      </c>
      <c r="M251" s="632">
        <v>-562.83000000000004</v>
      </c>
      <c r="N251" s="633">
        <v>4.5474735088646402E-13</v>
      </c>
      <c r="O251" s="634">
        <v>-1156.43</v>
      </c>
      <c r="P251" s="635">
        <v>4.5474735088646402E-13</v>
      </c>
      <c r="Q251" s="709">
        <v>-1869.12</v>
      </c>
      <c r="R251" s="626">
        <v>4.5474735088646402E-13</v>
      </c>
      <c r="S251" s="628">
        <f t="shared" si="34"/>
        <v>-904.20249999999999</v>
      </c>
      <c r="T251" s="602"/>
      <c r="U251" s="637"/>
      <c r="V251" s="637"/>
      <c r="W251" s="637"/>
      <c r="X251" s="637"/>
      <c r="Y251" s="615"/>
      <c r="Z251" s="615"/>
    </row>
    <row r="252" spans="1:26">
      <c r="A252" s="622" t="s">
        <v>732</v>
      </c>
      <c r="B252" s="732" t="s">
        <v>741</v>
      </c>
      <c r="C252" s="623">
        <v>243</v>
      </c>
      <c r="D252" s="624" t="str">
        <f t="shared" si="38"/>
        <v>2340.0670</v>
      </c>
      <c r="E252" s="733" t="s">
        <v>742</v>
      </c>
      <c r="F252" s="626">
        <v>0</v>
      </c>
      <c r="G252" s="708">
        <v>-6479.78</v>
      </c>
      <c r="H252" s="628">
        <v>-6479.78</v>
      </c>
      <c r="I252" s="628">
        <v>-6479.78</v>
      </c>
      <c r="J252" s="629">
        <v>-6479.78</v>
      </c>
      <c r="K252" s="630">
        <v>-6479.78</v>
      </c>
      <c r="L252" s="631">
        <v>0</v>
      </c>
      <c r="M252" s="632">
        <v>0</v>
      </c>
      <c r="N252" s="633">
        <v>0</v>
      </c>
      <c r="O252" s="709">
        <v>0</v>
      </c>
      <c r="P252" s="709">
        <v>0</v>
      </c>
      <c r="Q252" s="709">
        <v>0</v>
      </c>
      <c r="R252" s="626">
        <v>0</v>
      </c>
      <c r="S252" s="628">
        <f t="shared" si="34"/>
        <v>-2699.9083333333333</v>
      </c>
      <c r="T252" s="602"/>
      <c r="U252" s="637"/>
      <c r="V252" s="637"/>
      <c r="W252" s="637"/>
      <c r="X252" s="637"/>
      <c r="Y252" s="615"/>
      <c r="Z252" s="615"/>
    </row>
    <row r="253" spans="1:26">
      <c r="A253" s="622" t="s">
        <v>732</v>
      </c>
      <c r="B253" s="732" t="s">
        <v>743</v>
      </c>
      <c r="C253" s="623">
        <v>244</v>
      </c>
      <c r="D253" s="624" t="str">
        <f t="shared" si="38"/>
        <v>2340.043</v>
      </c>
      <c r="E253" s="733" t="s">
        <v>744</v>
      </c>
      <c r="F253" s="626">
        <v>0</v>
      </c>
      <c r="G253" s="708">
        <v>0</v>
      </c>
      <c r="H253" s="628">
        <v>0</v>
      </c>
      <c r="I253" s="628">
        <v>0</v>
      </c>
      <c r="J253" s="629">
        <v>0</v>
      </c>
      <c r="K253" s="630">
        <v>0</v>
      </c>
      <c r="L253" s="631">
        <v>0</v>
      </c>
      <c r="M253" s="632">
        <v>0</v>
      </c>
      <c r="N253" s="633">
        <v>0</v>
      </c>
      <c r="O253" s="634">
        <v>0</v>
      </c>
      <c r="P253" s="635">
        <v>0</v>
      </c>
      <c r="Q253" s="709">
        <v>0</v>
      </c>
      <c r="R253" s="626">
        <v>0</v>
      </c>
      <c r="S253" s="628">
        <f t="shared" si="34"/>
        <v>0</v>
      </c>
      <c r="T253" s="602"/>
      <c r="U253" s="637"/>
      <c r="V253" s="637"/>
      <c r="W253" s="637"/>
      <c r="X253" s="637"/>
      <c r="Y253" s="615"/>
      <c r="Z253" s="615"/>
    </row>
    <row r="254" spans="1:26">
      <c r="A254" s="622" t="s">
        <v>732</v>
      </c>
      <c r="B254" s="732" t="s">
        <v>745</v>
      </c>
      <c r="C254" s="623">
        <v>245</v>
      </c>
      <c r="D254" s="624" t="str">
        <f t="shared" si="38"/>
        <v>2340.044</v>
      </c>
      <c r="E254" s="680" t="s">
        <v>746</v>
      </c>
      <c r="F254" s="626">
        <v>0</v>
      </c>
      <c r="G254" s="708">
        <v>0</v>
      </c>
      <c r="H254" s="628">
        <v>0</v>
      </c>
      <c r="I254" s="628">
        <v>0</v>
      </c>
      <c r="J254" s="629">
        <v>0</v>
      </c>
      <c r="K254" s="630">
        <v>0</v>
      </c>
      <c r="L254" s="631">
        <v>0</v>
      </c>
      <c r="M254" s="632">
        <v>0</v>
      </c>
      <c r="N254" s="633">
        <v>0</v>
      </c>
      <c r="O254" s="634">
        <v>0</v>
      </c>
      <c r="P254" s="635">
        <v>0</v>
      </c>
      <c r="Q254" s="709">
        <v>0</v>
      </c>
      <c r="R254" s="626">
        <v>0</v>
      </c>
      <c r="S254" s="628">
        <f t="shared" si="34"/>
        <v>0</v>
      </c>
      <c r="T254" s="602"/>
      <c r="U254" s="637"/>
      <c r="V254" s="637"/>
      <c r="W254" s="637"/>
      <c r="X254" s="637"/>
      <c r="Y254" s="615"/>
      <c r="Z254" s="615"/>
    </row>
    <row r="255" spans="1:26">
      <c r="A255" s="622" t="s">
        <v>732</v>
      </c>
      <c r="B255" s="732" t="s">
        <v>716</v>
      </c>
      <c r="C255" s="623">
        <v>246</v>
      </c>
      <c r="D255" s="624" t="str">
        <f t="shared" si="38"/>
        <v>2340.045</v>
      </c>
      <c r="E255" s="622" t="s">
        <v>747</v>
      </c>
      <c r="F255" s="626">
        <v>0</v>
      </c>
      <c r="G255" s="708">
        <v>0</v>
      </c>
      <c r="H255" s="628">
        <v>0</v>
      </c>
      <c r="I255" s="628">
        <v>0</v>
      </c>
      <c r="J255" s="629">
        <v>0</v>
      </c>
      <c r="K255" s="630">
        <v>0</v>
      </c>
      <c r="L255" s="631">
        <v>0</v>
      </c>
      <c r="M255" s="632">
        <v>0</v>
      </c>
      <c r="N255" s="633">
        <v>0</v>
      </c>
      <c r="O255" s="634">
        <v>0</v>
      </c>
      <c r="P255" s="635">
        <v>0</v>
      </c>
      <c r="Q255" s="709">
        <v>0</v>
      </c>
      <c r="R255" s="626">
        <v>0</v>
      </c>
      <c r="S255" s="628">
        <f t="shared" si="34"/>
        <v>0</v>
      </c>
      <c r="T255" s="602"/>
      <c r="U255" s="637"/>
      <c r="V255" s="637"/>
      <c r="W255" s="637"/>
      <c r="X255" s="637"/>
      <c r="Y255" s="615"/>
      <c r="Z255" s="615"/>
    </row>
    <row r="256" spans="1:26">
      <c r="A256" s="622" t="s">
        <v>732</v>
      </c>
      <c r="B256" s="622" t="s">
        <v>748</v>
      </c>
      <c r="C256" s="623">
        <v>247</v>
      </c>
      <c r="D256" s="624" t="str">
        <f t="shared" si="38"/>
        <v>2340.046</v>
      </c>
      <c r="E256" s="680" t="s">
        <v>749</v>
      </c>
      <c r="F256" s="626">
        <v>0</v>
      </c>
      <c r="G256" s="708">
        <v>0</v>
      </c>
      <c r="H256" s="628">
        <v>0</v>
      </c>
      <c r="I256" s="628">
        <v>0</v>
      </c>
      <c r="J256" s="629">
        <v>0</v>
      </c>
      <c r="K256" s="630">
        <v>0</v>
      </c>
      <c r="L256" s="631">
        <v>0</v>
      </c>
      <c r="M256" s="632">
        <v>0</v>
      </c>
      <c r="N256" s="633">
        <v>0</v>
      </c>
      <c r="O256" s="634">
        <v>0</v>
      </c>
      <c r="P256" s="635">
        <v>0</v>
      </c>
      <c r="Q256" s="709">
        <v>0</v>
      </c>
      <c r="R256" s="626">
        <v>0</v>
      </c>
      <c r="S256" s="628">
        <f t="shared" si="34"/>
        <v>0</v>
      </c>
      <c r="T256" s="602"/>
      <c r="U256" s="637"/>
      <c r="V256" s="637"/>
      <c r="W256" s="637"/>
      <c r="X256" s="637"/>
      <c r="Y256" s="615"/>
      <c r="Z256" s="615"/>
    </row>
    <row r="257" spans="1:26">
      <c r="A257" s="598" t="s">
        <v>732</v>
      </c>
      <c r="B257" s="598" t="s">
        <v>750</v>
      </c>
      <c r="C257" s="623">
        <v>248</v>
      </c>
      <c r="D257" s="600" t="str">
        <f t="shared" si="38"/>
        <v>2340.047</v>
      </c>
      <c r="E257" s="680" t="s">
        <v>751</v>
      </c>
      <c r="F257" s="626">
        <v>0</v>
      </c>
      <c r="G257" s="708">
        <v>0</v>
      </c>
      <c r="H257" s="628">
        <v>0</v>
      </c>
      <c r="I257" s="628">
        <v>0</v>
      </c>
      <c r="J257" s="629">
        <v>0</v>
      </c>
      <c r="K257" s="630">
        <v>0</v>
      </c>
      <c r="L257" s="631">
        <v>0</v>
      </c>
      <c r="M257" s="632">
        <v>0</v>
      </c>
      <c r="N257" s="633">
        <v>0</v>
      </c>
      <c r="O257" s="634">
        <v>0</v>
      </c>
      <c r="P257" s="635">
        <v>0</v>
      </c>
      <c r="Q257" s="709">
        <v>0</v>
      </c>
      <c r="R257" s="626">
        <v>0</v>
      </c>
      <c r="S257" s="628">
        <f t="shared" si="34"/>
        <v>0</v>
      </c>
      <c r="T257" s="602"/>
      <c r="U257" s="637"/>
      <c r="V257" s="637"/>
      <c r="W257" s="637"/>
      <c r="X257" s="637"/>
      <c r="Y257" s="615"/>
      <c r="Z257" s="615"/>
    </row>
    <row r="258" spans="1:26">
      <c r="A258" s="622" t="s">
        <v>732</v>
      </c>
      <c r="B258" s="622" t="s">
        <v>752</v>
      </c>
      <c r="C258" s="623">
        <v>249</v>
      </c>
      <c r="D258" s="624" t="str">
        <f t="shared" si="38"/>
        <v>2340.048</v>
      </c>
      <c r="E258" s="680" t="s">
        <v>753</v>
      </c>
      <c r="F258" s="626">
        <v>-204518.47</v>
      </c>
      <c r="G258" s="708">
        <v>-202024.22</v>
      </c>
      <c r="H258" s="628">
        <v>-217632.66</v>
      </c>
      <c r="I258" s="628">
        <v>-170887.72</v>
      </c>
      <c r="J258" s="629">
        <v>-373661.5</v>
      </c>
      <c r="K258" s="630">
        <v>-197038.37</v>
      </c>
      <c r="L258" s="631">
        <v>-245944.09</v>
      </c>
      <c r="M258" s="632">
        <v>-440497.85</v>
      </c>
      <c r="N258" s="633">
        <v>-217565.91</v>
      </c>
      <c r="O258" s="634">
        <v>-203928.55</v>
      </c>
      <c r="P258" s="635">
        <v>-170616.66</v>
      </c>
      <c r="Q258" s="709">
        <v>-205381.4</v>
      </c>
      <c r="R258" s="626">
        <v>-232776.9</v>
      </c>
      <c r="S258" s="628">
        <f t="shared" si="34"/>
        <v>-238652.21791666668</v>
      </c>
      <c r="T258" s="602"/>
      <c r="U258" s="637"/>
      <c r="V258" s="637"/>
      <c r="W258" s="637"/>
      <c r="X258" s="637"/>
      <c r="Y258" s="615"/>
      <c r="Z258" s="615"/>
    </row>
    <row r="259" spans="1:26">
      <c r="A259" s="622"/>
      <c r="B259" s="622"/>
      <c r="C259" s="623">
        <v>250</v>
      </c>
      <c r="D259" s="624"/>
      <c r="E259" s="680" t="s">
        <v>754</v>
      </c>
      <c r="F259" s="650">
        <f>SUM(F248:F258)</f>
        <v>-1614644.31</v>
      </c>
      <c r="G259" s="650">
        <f t="shared" ref="G259:S259" si="39">SUM(G248:G258)</f>
        <v>-1743329.8900000001</v>
      </c>
      <c r="H259" s="650">
        <f t="shared" si="39"/>
        <v>-1595516.5999999999</v>
      </c>
      <c r="I259" s="650">
        <f t="shared" si="39"/>
        <v>-1222598.1499999999</v>
      </c>
      <c r="J259" s="650">
        <f t="shared" si="39"/>
        <v>-1097707.2000000002</v>
      </c>
      <c r="K259" s="650">
        <f t="shared" si="39"/>
        <v>-1476347.06</v>
      </c>
      <c r="L259" s="650">
        <f t="shared" si="39"/>
        <v>-1449317.81</v>
      </c>
      <c r="M259" s="650">
        <f t="shared" si="39"/>
        <v>-1437188.42</v>
      </c>
      <c r="N259" s="650">
        <f t="shared" si="39"/>
        <v>-1613796.27</v>
      </c>
      <c r="O259" s="650">
        <f t="shared" si="39"/>
        <v>-1637511.39</v>
      </c>
      <c r="P259" s="650">
        <f t="shared" si="39"/>
        <v>-1533910.44</v>
      </c>
      <c r="Q259" s="650">
        <f t="shared" si="39"/>
        <v>-1626324.72</v>
      </c>
      <c r="R259" s="650">
        <f t="shared" si="39"/>
        <v>-1606767.51</v>
      </c>
      <c r="S259" s="650">
        <f t="shared" si="39"/>
        <v>-1503687.8216666668</v>
      </c>
      <c r="T259" s="602"/>
      <c r="U259" s="637"/>
      <c r="V259" s="637"/>
      <c r="W259" s="638">
        <f>S259</f>
        <v>-1503687.8216666668</v>
      </c>
      <c r="X259" s="637"/>
      <c r="Y259" s="615"/>
      <c r="Z259" s="615"/>
    </row>
    <row r="260" spans="1:26">
      <c r="A260" s="622"/>
      <c r="B260" s="622"/>
      <c r="C260" s="623">
        <v>251</v>
      </c>
      <c r="D260" s="624"/>
      <c r="E260" s="680"/>
      <c r="F260" s="626"/>
      <c r="G260" s="708"/>
      <c r="H260" s="628"/>
      <c r="I260" s="628"/>
      <c r="J260" s="629"/>
      <c r="K260" s="630"/>
      <c r="L260" s="631"/>
      <c r="M260" s="632"/>
      <c r="N260" s="633"/>
      <c r="O260" s="634"/>
      <c r="P260" s="635"/>
      <c r="Q260" s="709"/>
      <c r="R260" s="626"/>
      <c r="S260" s="628">
        <f t="shared" si="34"/>
        <v>0</v>
      </c>
      <c r="T260" s="602"/>
      <c r="U260" s="637"/>
      <c r="V260" s="637"/>
      <c r="W260" s="637"/>
      <c r="X260" s="637"/>
      <c r="Y260" s="615"/>
      <c r="Z260" s="615"/>
    </row>
    <row r="261" spans="1:26">
      <c r="A261" s="723" t="s">
        <v>755</v>
      </c>
      <c r="B261" s="622" t="s">
        <v>402</v>
      </c>
      <c r="C261" s="623">
        <v>252</v>
      </c>
      <c r="D261" s="723" t="str">
        <f>+A261</f>
        <v>2412</v>
      </c>
      <c r="E261" s="680" t="s">
        <v>756</v>
      </c>
      <c r="F261" s="626">
        <v>0</v>
      </c>
      <c r="G261" s="708">
        <v>0</v>
      </c>
      <c r="H261" s="628">
        <v>0</v>
      </c>
      <c r="I261" s="628">
        <v>0</v>
      </c>
      <c r="J261" s="629">
        <v>0</v>
      </c>
      <c r="K261" s="630">
        <v>-699.14</v>
      </c>
      <c r="L261" s="631">
        <v>0</v>
      </c>
      <c r="M261" s="632">
        <v>0</v>
      </c>
      <c r="N261" s="633">
        <v>0</v>
      </c>
      <c r="O261" s="634">
        <v>-77.599999999999994</v>
      </c>
      <c r="P261" s="635">
        <v>0</v>
      </c>
      <c r="Q261" s="709">
        <v>-53.98</v>
      </c>
      <c r="R261" s="626">
        <v>-754.83</v>
      </c>
      <c r="S261" s="628">
        <f t="shared" si="34"/>
        <v>-100.67791666666666</v>
      </c>
      <c r="T261" s="602"/>
      <c r="U261" s="637"/>
      <c r="V261" s="637"/>
      <c r="W261" s="637"/>
      <c r="X261" s="637"/>
      <c r="Y261" s="615"/>
      <c r="Z261" s="615"/>
    </row>
    <row r="262" spans="1:26">
      <c r="A262" s="622" t="s">
        <v>757</v>
      </c>
      <c r="B262" s="622" t="s">
        <v>402</v>
      </c>
      <c r="C262" s="623">
        <v>253</v>
      </c>
      <c r="D262" s="622" t="str">
        <f>+A262</f>
        <v>2411</v>
      </c>
      <c r="E262" s="680" t="s">
        <v>758</v>
      </c>
      <c r="F262" s="626">
        <v>1.1823431123048099E-11</v>
      </c>
      <c r="G262" s="708">
        <v>0</v>
      </c>
      <c r="H262" s="628">
        <v>-695.44</v>
      </c>
      <c r="I262" s="628">
        <v>0</v>
      </c>
      <c r="J262" s="629">
        <v>0</v>
      </c>
      <c r="K262" s="630">
        <v>-2601</v>
      </c>
      <c r="L262" s="631">
        <v>0</v>
      </c>
      <c r="M262" s="632">
        <v>379.49</v>
      </c>
      <c r="N262" s="633">
        <v>0</v>
      </c>
      <c r="O262" s="634">
        <v>-217.41</v>
      </c>
      <c r="P262" s="635">
        <v>-137.08000000000001</v>
      </c>
      <c r="Q262" s="709">
        <v>-351.9</v>
      </c>
      <c r="R262" s="626">
        <v>-2787.11</v>
      </c>
      <c r="S262" s="628">
        <f t="shared" si="34"/>
        <v>-418.07458333333284</v>
      </c>
      <c r="T262" s="602"/>
      <c r="U262" s="637"/>
      <c r="V262" s="637"/>
      <c r="W262" s="637"/>
      <c r="X262" s="637"/>
      <c r="Y262" s="615"/>
      <c r="Z262" s="615"/>
    </row>
    <row r="263" spans="1:26">
      <c r="A263" s="723" t="s">
        <v>759</v>
      </c>
      <c r="B263" s="622" t="s">
        <v>402</v>
      </c>
      <c r="C263" s="623">
        <v>254</v>
      </c>
      <c r="D263" s="724" t="s">
        <v>760</v>
      </c>
      <c r="E263" s="680" t="s">
        <v>761</v>
      </c>
      <c r="F263" s="626">
        <v>0</v>
      </c>
      <c r="G263" s="708">
        <v>0</v>
      </c>
      <c r="H263" s="628">
        <v>0</v>
      </c>
      <c r="I263" s="628">
        <v>0</v>
      </c>
      <c r="J263" s="629">
        <v>0</v>
      </c>
      <c r="K263" s="630">
        <v>0</v>
      </c>
      <c r="L263" s="631">
        <v>0</v>
      </c>
      <c r="M263" s="632">
        <v>0</v>
      </c>
      <c r="N263" s="633">
        <v>0</v>
      </c>
      <c r="O263" s="634">
        <v>0</v>
      </c>
      <c r="P263" s="635">
        <v>0</v>
      </c>
      <c r="Q263" s="709">
        <v>0</v>
      </c>
      <c r="R263" s="626">
        <v>0</v>
      </c>
      <c r="S263" s="628">
        <f t="shared" si="34"/>
        <v>0</v>
      </c>
      <c r="T263" s="602"/>
      <c r="U263" s="637"/>
      <c r="V263" s="637"/>
      <c r="W263" s="637"/>
      <c r="X263" s="637"/>
      <c r="Y263" s="615"/>
      <c r="Z263" s="615"/>
    </row>
    <row r="264" spans="1:26">
      <c r="A264" s="622"/>
      <c r="B264" s="622"/>
      <c r="C264" s="623">
        <v>255</v>
      </c>
      <c r="D264" s="624"/>
      <c r="E264" s="680" t="s">
        <v>762</v>
      </c>
      <c r="F264" s="650">
        <f>SUM(F261:F263)</f>
        <v>1.1823431123048099E-11</v>
      </c>
      <c r="G264" s="650">
        <f t="shared" ref="G264:S264" si="40">SUM(G261:G263)</f>
        <v>0</v>
      </c>
      <c r="H264" s="650">
        <f t="shared" si="40"/>
        <v>-695.44</v>
      </c>
      <c r="I264" s="650">
        <f t="shared" si="40"/>
        <v>0</v>
      </c>
      <c r="J264" s="650">
        <f t="shared" si="40"/>
        <v>0</v>
      </c>
      <c r="K264" s="650">
        <f t="shared" si="40"/>
        <v>-3300.14</v>
      </c>
      <c r="L264" s="650">
        <f t="shared" si="40"/>
        <v>0</v>
      </c>
      <c r="M264" s="650">
        <f t="shared" si="40"/>
        <v>379.49</v>
      </c>
      <c r="N264" s="650">
        <f t="shared" si="40"/>
        <v>0</v>
      </c>
      <c r="O264" s="650">
        <f t="shared" si="40"/>
        <v>-295.01</v>
      </c>
      <c r="P264" s="650">
        <f t="shared" si="40"/>
        <v>-137.08000000000001</v>
      </c>
      <c r="Q264" s="650">
        <f t="shared" si="40"/>
        <v>-405.88</v>
      </c>
      <c r="R264" s="650">
        <f t="shared" si="40"/>
        <v>-3541.94</v>
      </c>
      <c r="S264" s="650">
        <f t="shared" si="40"/>
        <v>-518.75249999999949</v>
      </c>
      <c r="T264" s="602"/>
      <c r="U264" s="637"/>
      <c r="V264" s="637"/>
      <c r="W264" s="637"/>
      <c r="X264" s="638">
        <f>S264</f>
        <v>-518.75249999999949</v>
      </c>
      <c r="Y264" s="615"/>
      <c r="Z264" s="615"/>
    </row>
    <row r="265" spans="1:26">
      <c r="A265" s="622"/>
      <c r="B265" s="622"/>
      <c r="C265" s="623">
        <v>256</v>
      </c>
      <c r="D265" s="624"/>
      <c r="E265" s="680"/>
      <c r="F265" s="626"/>
      <c r="G265" s="708"/>
      <c r="H265" s="628"/>
      <c r="I265" s="628"/>
      <c r="J265" s="629"/>
      <c r="K265" s="630"/>
      <c r="L265" s="631"/>
      <c r="M265" s="632"/>
      <c r="N265" s="633"/>
      <c r="O265" s="634"/>
      <c r="P265" s="635"/>
      <c r="Q265" s="709"/>
      <c r="R265" s="626"/>
      <c r="S265" s="628">
        <f t="shared" si="34"/>
        <v>0</v>
      </c>
      <c r="T265" s="602"/>
      <c r="U265" s="637"/>
      <c r="V265" s="637"/>
      <c r="W265" s="637"/>
      <c r="X265" s="637"/>
      <c r="Y265" s="615"/>
      <c r="Z265" s="615"/>
    </row>
    <row r="266" spans="1:26">
      <c r="A266" s="622"/>
      <c r="B266" s="622"/>
      <c r="C266" s="623">
        <v>257</v>
      </c>
      <c r="D266" s="624"/>
      <c r="E266" s="680" t="s">
        <v>763</v>
      </c>
      <c r="F266" s="650">
        <f>SUM(F236:F246)+F259+F264</f>
        <v>-22633842.149999999</v>
      </c>
      <c r="G266" s="650">
        <f t="shared" ref="G266:S266" si="41">SUM(G236:G246)+G259+G264</f>
        <v>-22151150.93</v>
      </c>
      <c r="H266" s="650">
        <f t="shared" si="41"/>
        <v>-16087153.319999998</v>
      </c>
      <c r="I266" s="650">
        <f t="shared" si="41"/>
        <v>-14740573.209999999</v>
      </c>
      <c r="J266" s="650">
        <f t="shared" si="41"/>
        <v>-12570599.280000001</v>
      </c>
      <c r="K266" s="650">
        <f t="shared" si="41"/>
        <v>-11859772.060000002</v>
      </c>
      <c r="L266" s="650">
        <f t="shared" si="41"/>
        <v>-10102244.73</v>
      </c>
      <c r="M266" s="650">
        <f t="shared" si="41"/>
        <v>-10622401.389999999</v>
      </c>
      <c r="N266" s="650">
        <f t="shared" si="41"/>
        <v>-12616861.839999998</v>
      </c>
      <c r="O266" s="650">
        <f t="shared" si="41"/>
        <v>-13512792.73</v>
      </c>
      <c r="P266" s="650">
        <f t="shared" si="41"/>
        <v>-13271836.649999999</v>
      </c>
      <c r="Q266" s="650">
        <f t="shared" si="41"/>
        <v>-18377533.939999998</v>
      </c>
      <c r="R266" s="650">
        <f t="shared" si="41"/>
        <v>-30373320.170000006</v>
      </c>
      <c r="S266" s="650">
        <f t="shared" si="41"/>
        <v>-15201375.103333334</v>
      </c>
      <c r="T266" s="602"/>
      <c r="U266" s="637"/>
      <c r="V266" s="637"/>
      <c r="W266" s="637"/>
      <c r="X266" s="637"/>
      <c r="Y266" s="615"/>
      <c r="Z266" s="615"/>
    </row>
    <row r="267" spans="1:26">
      <c r="A267" s="622"/>
      <c r="B267" s="622"/>
      <c r="C267" s="623">
        <v>258</v>
      </c>
      <c r="D267" s="624"/>
      <c r="E267" s="680"/>
      <c r="F267" s="626"/>
      <c r="G267" s="708"/>
      <c r="H267" s="628"/>
      <c r="I267" s="628"/>
      <c r="J267" s="629"/>
      <c r="K267" s="630"/>
      <c r="L267" s="631"/>
      <c r="M267" s="632"/>
      <c r="N267" s="633"/>
      <c r="O267" s="634"/>
      <c r="P267" s="635"/>
      <c r="Q267" s="709"/>
      <c r="R267" s="626"/>
      <c r="S267" s="628">
        <f t="shared" si="34"/>
        <v>0</v>
      </c>
      <c r="T267" s="602"/>
      <c r="U267" s="637"/>
      <c r="V267" s="637"/>
      <c r="W267" s="637"/>
      <c r="X267" s="637"/>
      <c r="Y267" s="615"/>
      <c r="Z267" s="615"/>
    </row>
    <row r="268" spans="1:26">
      <c r="A268" s="723" t="s">
        <v>764</v>
      </c>
      <c r="B268" s="622" t="s">
        <v>402</v>
      </c>
      <c r="C268" s="623">
        <v>259</v>
      </c>
      <c r="D268" s="622" t="str">
        <f>+A268</f>
        <v>2360</v>
      </c>
      <c r="E268" s="680" t="s">
        <v>765</v>
      </c>
      <c r="F268" s="626">
        <v>0</v>
      </c>
      <c r="G268" s="708">
        <v>0</v>
      </c>
      <c r="H268" s="628">
        <v>0</v>
      </c>
      <c r="I268" s="628">
        <v>0</v>
      </c>
      <c r="J268" s="629">
        <v>0</v>
      </c>
      <c r="K268" s="630">
        <v>0</v>
      </c>
      <c r="L268" s="631">
        <v>0</v>
      </c>
      <c r="M268" s="632">
        <v>0</v>
      </c>
      <c r="N268" s="633">
        <v>0</v>
      </c>
      <c r="O268" s="634">
        <v>0</v>
      </c>
      <c r="P268" s="635">
        <v>0</v>
      </c>
      <c r="Q268" s="709">
        <v>0</v>
      </c>
      <c r="R268" s="626">
        <v>0</v>
      </c>
      <c r="S268" s="628">
        <f t="shared" ref="S268:S331" si="42">((F268+R268)+((G268+H268+I268+J268+K268+L268+M268+N268+O268+P268+Q268)*2))/24</f>
        <v>0</v>
      </c>
      <c r="T268" s="602"/>
      <c r="U268" s="637"/>
      <c r="V268" s="637"/>
      <c r="W268" s="637"/>
      <c r="X268" s="637"/>
      <c r="Y268" s="615"/>
      <c r="Z268" s="615"/>
    </row>
    <row r="269" spans="1:26">
      <c r="A269" s="622" t="s">
        <v>766</v>
      </c>
      <c r="B269" s="622" t="s">
        <v>767</v>
      </c>
      <c r="C269" s="623">
        <v>260</v>
      </c>
      <c r="D269" s="624" t="str">
        <f>A269&amp;"."&amp;B269</f>
        <v>2361.[*,/42]</v>
      </c>
      <c r="E269" s="680" t="s">
        <v>765</v>
      </c>
      <c r="F269" s="626">
        <v>-3146070.65</v>
      </c>
      <c r="G269" s="708">
        <v>-5705128.3399999999</v>
      </c>
      <c r="H269" s="628">
        <v>-7218842.3799999999</v>
      </c>
      <c r="I269" s="628">
        <v>-8753908.4600000009</v>
      </c>
      <c r="J269" s="629">
        <v>-7336181.04</v>
      </c>
      <c r="K269" s="630">
        <v>-6717155.0099999998</v>
      </c>
      <c r="L269" s="631">
        <v>-4016331.79</v>
      </c>
      <c r="M269" s="632">
        <v>-3363136.22</v>
      </c>
      <c r="N269" s="633">
        <v>-2384259.7599999998</v>
      </c>
      <c r="O269" s="634">
        <v>-9.3132257461547893E-10</v>
      </c>
      <c r="P269" s="635">
        <v>-9.3132257461547893E-10</v>
      </c>
      <c r="Q269" s="709">
        <v>-9.3132257461547893E-10</v>
      </c>
      <c r="R269" s="626">
        <v>-1288737.78</v>
      </c>
      <c r="S269" s="628">
        <f t="shared" si="42"/>
        <v>-3976028.9345833324</v>
      </c>
      <c r="T269" s="602"/>
      <c r="U269" s="637"/>
      <c r="V269" s="637"/>
      <c r="W269" s="637"/>
      <c r="X269" s="638">
        <f>S269</f>
        <v>-3976028.9345833324</v>
      </c>
      <c r="Y269" s="615"/>
      <c r="Z269" s="615"/>
    </row>
    <row r="270" spans="1:26">
      <c r="A270" s="723" t="s">
        <v>766</v>
      </c>
      <c r="B270" s="622" t="s">
        <v>768</v>
      </c>
      <c r="C270" s="623">
        <v>261</v>
      </c>
      <c r="D270" s="624" t="str">
        <f>A270&amp;"."&amp;B270</f>
        <v>2361.[42*]</v>
      </c>
      <c r="E270" s="622" t="s">
        <v>769</v>
      </c>
      <c r="F270" s="626">
        <v>0</v>
      </c>
      <c r="G270" s="708">
        <v>0</v>
      </c>
      <c r="H270" s="628">
        <v>0</v>
      </c>
      <c r="I270" s="628">
        <v>0</v>
      </c>
      <c r="J270" s="629">
        <v>0</v>
      </c>
      <c r="K270" s="630">
        <v>0</v>
      </c>
      <c r="L270" s="631">
        <v>0</v>
      </c>
      <c r="M270" s="632">
        <v>0</v>
      </c>
      <c r="N270" s="633">
        <v>0</v>
      </c>
      <c r="O270" s="634">
        <v>0</v>
      </c>
      <c r="P270" s="635">
        <v>0</v>
      </c>
      <c r="Q270" s="709">
        <v>0</v>
      </c>
      <c r="R270" s="626">
        <v>0</v>
      </c>
      <c r="S270" s="628">
        <f t="shared" si="42"/>
        <v>0</v>
      </c>
      <c r="T270" s="602"/>
      <c r="U270" s="637"/>
      <c r="V270" s="637"/>
      <c r="W270" s="637"/>
      <c r="X270" s="637"/>
      <c r="Y270" s="615"/>
      <c r="Z270" s="615"/>
    </row>
    <row r="271" spans="1:26">
      <c r="A271" s="622" t="s">
        <v>770</v>
      </c>
      <c r="B271" s="622" t="s">
        <v>402</v>
      </c>
      <c r="C271" s="623">
        <v>262</v>
      </c>
      <c r="D271" s="734" t="str">
        <f t="shared" ref="D271:D279" si="43">+A271</f>
        <v>2362</v>
      </c>
      <c r="E271" s="680" t="s">
        <v>771</v>
      </c>
      <c r="F271" s="626">
        <v>-122306.54</v>
      </c>
      <c r="G271" s="708">
        <v>-180888.21</v>
      </c>
      <c r="H271" s="628">
        <v>-240693.32</v>
      </c>
      <c r="I271" s="628">
        <v>-246824.67</v>
      </c>
      <c r="J271" s="629">
        <v>-235163.68</v>
      </c>
      <c r="K271" s="630">
        <v>-253498.68</v>
      </c>
      <c r="L271" s="631">
        <v>-277379.96000000002</v>
      </c>
      <c r="M271" s="632">
        <v>-92035.25</v>
      </c>
      <c r="N271" s="633">
        <v>-54725.34</v>
      </c>
      <c r="O271" s="634">
        <v>-72074.740000000005</v>
      </c>
      <c r="P271" s="635">
        <v>-76481.72</v>
      </c>
      <c r="Q271" s="709">
        <v>-84109.16</v>
      </c>
      <c r="R271" s="626">
        <v>-118694.05</v>
      </c>
      <c r="S271" s="628">
        <f t="shared" si="42"/>
        <v>-161197.91874999998</v>
      </c>
      <c r="T271" s="602"/>
      <c r="U271" s="637"/>
      <c r="V271" s="637"/>
      <c r="W271" s="637"/>
      <c r="X271" s="638">
        <f>S271</f>
        <v>-161197.91874999998</v>
      </c>
      <c r="Y271" s="615"/>
      <c r="Z271" s="615"/>
    </row>
    <row r="272" spans="1:26">
      <c r="A272" s="622" t="s">
        <v>772</v>
      </c>
      <c r="B272" s="622" t="s">
        <v>402</v>
      </c>
      <c r="C272" s="623">
        <v>263</v>
      </c>
      <c r="D272" s="734" t="str">
        <f t="shared" si="43"/>
        <v>2363</v>
      </c>
      <c r="E272" s="680" t="s">
        <v>773</v>
      </c>
      <c r="F272" s="626">
        <v>-18648.22</v>
      </c>
      <c r="G272" s="708">
        <v>-25906.68</v>
      </c>
      <c r="H272" s="628">
        <v>-24929.919999999998</v>
      </c>
      <c r="I272" s="628">
        <v>-36510.44</v>
      </c>
      <c r="J272" s="629">
        <v>-25525.56</v>
      </c>
      <c r="K272" s="630">
        <v>-11675.53</v>
      </c>
      <c r="L272" s="631">
        <v>-27399.52</v>
      </c>
      <c r="M272" s="632">
        <v>-14856.45</v>
      </c>
      <c r="N272" s="633">
        <v>-66036.5</v>
      </c>
      <c r="O272" s="634">
        <v>-23630.07</v>
      </c>
      <c r="P272" s="635">
        <v>-16631.990000000002</v>
      </c>
      <c r="Q272" s="709">
        <v>-18980.849999999999</v>
      </c>
      <c r="R272" s="626">
        <v>-20818.02</v>
      </c>
      <c r="S272" s="628">
        <f t="shared" si="42"/>
        <v>-25984.719166666666</v>
      </c>
      <c r="T272" s="602"/>
      <c r="U272" s="637"/>
      <c r="V272" s="637"/>
      <c r="W272" s="637"/>
      <c r="X272" s="638">
        <f>S272</f>
        <v>-25984.719166666666</v>
      </c>
      <c r="Y272" s="615"/>
      <c r="Z272" s="615"/>
    </row>
    <row r="273" spans="1:26">
      <c r="A273" s="622" t="s">
        <v>774</v>
      </c>
      <c r="B273" s="622" t="s">
        <v>402</v>
      </c>
      <c r="C273" s="623">
        <v>264</v>
      </c>
      <c r="D273" s="734" t="str">
        <f t="shared" si="43"/>
        <v>2364</v>
      </c>
      <c r="E273" s="680" t="s">
        <v>775</v>
      </c>
      <c r="F273" s="626">
        <v>-7203684.0999999996</v>
      </c>
      <c r="G273" s="708">
        <v>-7861630.9900000002</v>
      </c>
      <c r="H273" s="628">
        <v>-7668156.0499999998</v>
      </c>
      <c r="I273" s="628">
        <v>-7460719.6799999997</v>
      </c>
      <c r="J273" s="629">
        <v>-4502549.17</v>
      </c>
      <c r="K273" s="630">
        <v>-4299002.71</v>
      </c>
      <c r="L273" s="631">
        <v>-4545677.1399999997</v>
      </c>
      <c r="M273" s="632">
        <v>-4296397.0999999996</v>
      </c>
      <c r="N273" s="633">
        <v>-3299189.06</v>
      </c>
      <c r="O273" s="634">
        <v>-3817457.33</v>
      </c>
      <c r="P273" s="635">
        <v>-4325709.76</v>
      </c>
      <c r="Q273" s="709">
        <v>-4854347.59</v>
      </c>
      <c r="R273" s="626">
        <v>-6990642.5199999996</v>
      </c>
      <c r="S273" s="628">
        <f t="shared" si="42"/>
        <v>-5335666.6574999997</v>
      </c>
      <c r="T273" s="602"/>
      <c r="U273" s="637"/>
      <c r="V273" s="637"/>
      <c r="W273" s="637"/>
      <c r="X273" s="638">
        <f>S273</f>
        <v>-5335666.6574999997</v>
      </c>
      <c r="Y273" s="615"/>
      <c r="Z273" s="615"/>
    </row>
    <row r="274" spans="1:26">
      <c r="A274" s="622" t="s">
        <v>776</v>
      </c>
      <c r="B274" s="622" t="s">
        <v>402</v>
      </c>
      <c r="C274" s="623">
        <v>265</v>
      </c>
      <c r="D274" s="622" t="str">
        <f t="shared" si="43"/>
        <v>2380</v>
      </c>
      <c r="E274" s="680" t="s">
        <v>777</v>
      </c>
      <c r="F274" s="626">
        <v>-4160000</v>
      </c>
      <c r="G274" s="708">
        <v>0</v>
      </c>
      <c r="H274" s="628">
        <v>-4160000</v>
      </c>
      <c r="I274" s="628">
        <v>-4160000</v>
      </c>
      <c r="J274" s="629">
        <v>0</v>
      </c>
      <c r="K274" s="630">
        <v>-4160000</v>
      </c>
      <c r="L274" s="631">
        <v>-4160000</v>
      </c>
      <c r="M274" s="632">
        <v>0</v>
      </c>
      <c r="N274" s="633">
        <v>-4160000</v>
      </c>
      <c r="O274" s="634">
        <v>-4160000</v>
      </c>
      <c r="P274" s="635">
        <v>0</v>
      </c>
      <c r="Q274" s="709">
        <v>-4160000</v>
      </c>
      <c r="R274" s="626">
        <v>-4160000</v>
      </c>
      <c r="S274" s="628">
        <f t="shared" si="42"/>
        <v>-2773333.3333333335</v>
      </c>
      <c r="T274" s="602"/>
      <c r="U274" s="638"/>
      <c r="V274" s="637"/>
      <c r="W274" s="637"/>
      <c r="X274" s="638">
        <f>+S274</f>
        <v>-2773333.3333333335</v>
      </c>
      <c r="Y274" s="615"/>
      <c r="Z274" s="615"/>
    </row>
    <row r="275" spans="1:26">
      <c r="A275" s="622" t="s">
        <v>778</v>
      </c>
      <c r="B275" s="622" t="s">
        <v>402</v>
      </c>
      <c r="C275" s="623">
        <v>266</v>
      </c>
      <c r="D275" s="622" t="str">
        <f t="shared" si="43"/>
        <v>2351</v>
      </c>
      <c r="E275" s="680" t="s">
        <v>779</v>
      </c>
      <c r="F275" s="626">
        <v>-1061068.4099999999</v>
      </c>
      <c r="G275" s="708">
        <v>-1036223.43</v>
      </c>
      <c r="H275" s="628">
        <v>-1033621.39</v>
      </c>
      <c r="I275" s="628">
        <v>-998194.75</v>
      </c>
      <c r="J275" s="629">
        <v>-975157.17</v>
      </c>
      <c r="K275" s="630">
        <v>-947442.57</v>
      </c>
      <c r="L275" s="631">
        <v>-899116.73</v>
      </c>
      <c r="M275" s="632">
        <v>-884343.3</v>
      </c>
      <c r="N275" s="633">
        <v>-871879.41</v>
      </c>
      <c r="O275" s="634">
        <v>-834316.95</v>
      </c>
      <c r="P275" s="635">
        <v>-846708.09</v>
      </c>
      <c r="Q275" s="709">
        <v>-863050.89</v>
      </c>
      <c r="R275" s="626">
        <v>-874939.13</v>
      </c>
      <c r="S275" s="628">
        <f t="shared" si="42"/>
        <v>-929838.20416666672</v>
      </c>
      <c r="T275" s="602"/>
      <c r="U275" s="637"/>
      <c r="V275" s="637"/>
      <c r="W275" s="638">
        <f>S275</f>
        <v>-929838.20416666672</v>
      </c>
      <c r="X275" s="637"/>
      <c r="Y275" s="615"/>
      <c r="Z275" s="615"/>
    </row>
    <row r="276" spans="1:26">
      <c r="A276" s="622" t="s">
        <v>780</v>
      </c>
      <c r="B276" s="622" t="s">
        <v>402</v>
      </c>
      <c r="C276" s="623">
        <v>267</v>
      </c>
      <c r="D276" s="622" t="str">
        <f t="shared" si="43"/>
        <v>2370</v>
      </c>
      <c r="E276" s="680" t="s">
        <v>781</v>
      </c>
      <c r="F276" s="626">
        <v>0</v>
      </c>
      <c r="G276" s="708">
        <v>0</v>
      </c>
      <c r="H276" s="628">
        <v>0</v>
      </c>
      <c r="I276" s="628">
        <v>0</v>
      </c>
      <c r="J276" s="629">
        <v>0</v>
      </c>
      <c r="K276" s="630">
        <v>0</v>
      </c>
      <c r="L276" s="631">
        <v>0</v>
      </c>
      <c r="M276" s="632">
        <v>0</v>
      </c>
      <c r="N276" s="633">
        <v>0</v>
      </c>
      <c r="O276" s="634">
        <v>0</v>
      </c>
      <c r="P276" s="635">
        <v>0</v>
      </c>
      <c r="Q276" s="709">
        <v>0</v>
      </c>
      <c r="R276" s="626">
        <v>0</v>
      </c>
      <c r="S276" s="628">
        <f t="shared" si="42"/>
        <v>0</v>
      </c>
      <c r="T276" s="602"/>
      <c r="U276" s="637"/>
      <c r="V276" s="637"/>
      <c r="W276" s="637"/>
      <c r="X276" s="637"/>
      <c r="Y276" s="615"/>
      <c r="Z276" s="615"/>
    </row>
    <row r="277" spans="1:26">
      <c r="A277" s="622" t="s">
        <v>782</v>
      </c>
      <c r="B277" s="622" t="s">
        <v>402</v>
      </c>
      <c r="C277" s="623">
        <v>268</v>
      </c>
      <c r="D277" s="622" t="str">
        <f t="shared" si="43"/>
        <v>2371</v>
      </c>
      <c r="E277" s="680" t="s">
        <v>783</v>
      </c>
      <c r="F277" s="626">
        <v>0</v>
      </c>
      <c r="G277" s="708">
        <v>0</v>
      </c>
      <c r="H277" s="628">
        <v>0</v>
      </c>
      <c r="I277" s="628">
        <v>0</v>
      </c>
      <c r="J277" s="629">
        <v>0</v>
      </c>
      <c r="K277" s="630">
        <v>0</v>
      </c>
      <c r="L277" s="631">
        <v>0</v>
      </c>
      <c r="M277" s="632">
        <v>0</v>
      </c>
      <c r="N277" s="633">
        <v>0</v>
      </c>
      <c r="O277" s="634">
        <v>0</v>
      </c>
      <c r="P277" s="635">
        <v>0</v>
      </c>
      <c r="Q277" s="709">
        <v>0</v>
      </c>
      <c r="R277" s="626">
        <v>0</v>
      </c>
      <c r="S277" s="628">
        <f t="shared" si="42"/>
        <v>0</v>
      </c>
      <c r="T277" s="602"/>
      <c r="U277" s="637"/>
      <c r="V277" s="637"/>
      <c r="W277" s="637"/>
      <c r="X277" s="637"/>
      <c r="Y277" s="615"/>
      <c r="Z277" s="615"/>
    </row>
    <row r="278" spans="1:26">
      <c r="A278" s="622" t="s">
        <v>784</v>
      </c>
      <c r="B278" s="622" t="s">
        <v>402</v>
      </c>
      <c r="C278" s="623">
        <v>269</v>
      </c>
      <c r="D278" s="622" t="str">
        <f t="shared" si="43"/>
        <v>2372</v>
      </c>
      <c r="E278" s="680" t="s">
        <v>785</v>
      </c>
      <c r="F278" s="626">
        <v>-3114287.11</v>
      </c>
      <c r="G278" s="708">
        <v>-3522755.65</v>
      </c>
      <c r="H278" s="628">
        <v>-3070149.83</v>
      </c>
      <c r="I278" s="628">
        <v>-2450274.6</v>
      </c>
      <c r="J278" s="629">
        <v>-2098799.39</v>
      </c>
      <c r="K278" s="630">
        <v>-2184756.06</v>
      </c>
      <c r="L278" s="631">
        <v>-3113412.11</v>
      </c>
      <c r="M278" s="632">
        <v>-3521443.15</v>
      </c>
      <c r="N278" s="633">
        <v>-3069852.31</v>
      </c>
      <c r="O278" s="634">
        <v>-2449679.61</v>
      </c>
      <c r="P278" s="635">
        <v>-2097906.89</v>
      </c>
      <c r="Q278" s="709">
        <v>-2184677.31</v>
      </c>
      <c r="R278" s="626">
        <v>-3113254.61</v>
      </c>
      <c r="S278" s="628">
        <f t="shared" si="42"/>
        <v>-2739789.8141666665</v>
      </c>
      <c r="T278" s="602"/>
      <c r="U278" s="637"/>
      <c r="V278" s="637"/>
      <c r="W278" s="637"/>
      <c r="X278" s="638">
        <f t="shared" ref="X278:X284" si="44">S278</f>
        <v>-2739789.8141666665</v>
      </c>
      <c r="Y278" s="615"/>
      <c r="Z278" s="615"/>
    </row>
    <row r="279" spans="1:26">
      <c r="A279" s="622" t="s">
        <v>786</v>
      </c>
      <c r="B279" s="622" t="s">
        <v>402</v>
      </c>
      <c r="C279" s="623">
        <v>270</v>
      </c>
      <c r="D279" s="622" t="str">
        <f t="shared" si="43"/>
        <v>2422</v>
      </c>
      <c r="E279" s="680" t="s">
        <v>787</v>
      </c>
      <c r="F279" s="626">
        <v>-1093655.54</v>
      </c>
      <c r="G279" s="708">
        <v>-1299704.98</v>
      </c>
      <c r="H279" s="628">
        <v>-1498001.43</v>
      </c>
      <c r="I279" s="628">
        <v>-901051.54</v>
      </c>
      <c r="J279" s="629">
        <v>-1108004.83</v>
      </c>
      <c r="K279" s="630">
        <v>-1391174.36</v>
      </c>
      <c r="L279" s="631">
        <v>-1751963.37</v>
      </c>
      <c r="M279" s="632">
        <v>-1779240.85</v>
      </c>
      <c r="N279" s="633">
        <v>-1312978.69</v>
      </c>
      <c r="O279" s="634">
        <v>-1570905.58</v>
      </c>
      <c r="P279" s="635">
        <v>-1805079.83</v>
      </c>
      <c r="Q279" s="709">
        <v>-2157913.0099999998</v>
      </c>
      <c r="R279" s="626">
        <v>-2518715.25</v>
      </c>
      <c r="S279" s="628">
        <f t="shared" si="42"/>
        <v>-1531850.3220833335</v>
      </c>
      <c r="T279" s="602"/>
      <c r="U279" s="637"/>
      <c r="V279" s="637"/>
      <c r="W279" s="637"/>
      <c r="X279" s="638">
        <f t="shared" si="44"/>
        <v>-1531850.3220833335</v>
      </c>
      <c r="Y279" s="615"/>
      <c r="Z279" s="615"/>
    </row>
    <row r="280" spans="1:26">
      <c r="A280" s="622" t="s">
        <v>788</v>
      </c>
      <c r="B280" s="622" t="s">
        <v>722</v>
      </c>
      <c r="C280" s="623">
        <v>271</v>
      </c>
      <c r="D280" s="624" t="str">
        <f>A280&amp;"."&amp;B280</f>
        <v>2420.[2*,/217]</v>
      </c>
      <c r="E280" s="680" t="s">
        <v>789</v>
      </c>
      <c r="F280" s="626">
        <v>-10188969.5</v>
      </c>
      <c r="G280" s="708">
        <v>-6937069.1699999999</v>
      </c>
      <c r="H280" s="628">
        <v>-6250877.6799999997</v>
      </c>
      <c r="I280" s="628">
        <v>-5763303.1699999999</v>
      </c>
      <c r="J280" s="629">
        <v>-5782032.4199999999</v>
      </c>
      <c r="K280" s="630">
        <v>-6585683.3399999999</v>
      </c>
      <c r="L280" s="631">
        <v>-8962969.2899999991</v>
      </c>
      <c r="M280" s="632">
        <v>-10237086.550000001</v>
      </c>
      <c r="N280" s="633">
        <v>-9826250.1699999999</v>
      </c>
      <c r="O280" s="634">
        <v>-11151490.91</v>
      </c>
      <c r="P280" s="635">
        <v>-14648505.33</v>
      </c>
      <c r="Q280" s="709">
        <v>-11549414.300000001</v>
      </c>
      <c r="R280" s="626">
        <v>-8845744.0899999999</v>
      </c>
      <c r="S280" s="628">
        <f t="shared" si="42"/>
        <v>-8934336.5937499981</v>
      </c>
      <c r="T280" s="602"/>
      <c r="U280" s="637"/>
      <c r="V280" s="637"/>
      <c r="W280" s="637"/>
      <c r="X280" s="638">
        <f t="shared" si="44"/>
        <v>-8934336.5937499981</v>
      </c>
      <c r="Y280" s="615"/>
      <c r="Z280" s="615"/>
    </row>
    <row r="281" spans="1:26">
      <c r="A281" s="622" t="s">
        <v>788</v>
      </c>
      <c r="B281" s="622" t="s">
        <v>724</v>
      </c>
      <c r="C281" s="623">
        <v>272</v>
      </c>
      <c r="D281" s="624" t="str">
        <f>A281&amp;"."&amp;B281</f>
        <v>2420.[217*]</v>
      </c>
      <c r="E281" s="680" t="s">
        <v>497</v>
      </c>
      <c r="F281" s="626">
        <v>-601131.21</v>
      </c>
      <c r="G281" s="708">
        <v>-108778.56</v>
      </c>
      <c r="H281" s="628">
        <v>-132781.67000000001</v>
      </c>
      <c r="I281" s="628">
        <v>8.7311491370201098E-11</v>
      </c>
      <c r="J281" s="629">
        <v>-118681.95</v>
      </c>
      <c r="K281" s="630">
        <v>-38588.779999999897</v>
      </c>
      <c r="L281" s="631">
        <v>-730937.53</v>
      </c>
      <c r="M281" s="632">
        <v>-475031.73</v>
      </c>
      <c r="N281" s="633">
        <v>-505192.28</v>
      </c>
      <c r="O281" s="634">
        <v>-89030.549999999901</v>
      </c>
      <c r="P281" s="635">
        <v>-520709.52</v>
      </c>
      <c r="Q281" s="709">
        <v>-95607.389999999898</v>
      </c>
      <c r="R281" s="626">
        <v>-1551284.94</v>
      </c>
      <c r="S281" s="628">
        <f t="shared" si="42"/>
        <v>-324295.66958333337</v>
      </c>
      <c r="T281" s="602"/>
      <c r="U281" s="637"/>
      <c r="V281" s="637"/>
      <c r="W281" s="637"/>
      <c r="X281" s="638">
        <f t="shared" si="44"/>
        <v>-324295.66958333337</v>
      </c>
      <c r="Y281" s="615"/>
      <c r="Z281" s="615"/>
    </row>
    <row r="282" spans="1:26">
      <c r="A282" s="622" t="s">
        <v>790</v>
      </c>
      <c r="B282" s="622" t="s">
        <v>402</v>
      </c>
      <c r="C282" s="623">
        <v>273</v>
      </c>
      <c r="D282" s="622" t="str">
        <f>+A282</f>
        <v>2423</v>
      </c>
      <c r="E282" s="680" t="s">
        <v>791</v>
      </c>
      <c r="F282" s="626">
        <v>-1830287.74</v>
      </c>
      <c r="G282" s="708">
        <v>-1830287.74</v>
      </c>
      <c r="H282" s="628">
        <v>-1830287.74</v>
      </c>
      <c r="I282" s="628">
        <v>-1832155.73</v>
      </c>
      <c r="J282" s="629">
        <v>-1832155.73</v>
      </c>
      <c r="K282" s="630">
        <v>-1832155.73</v>
      </c>
      <c r="L282" s="631">
        <v>-1835522.18</v>
      </c>
      <c r="M282" s="632">
        <v>-1835522.18</v>
      </c>
      <c r="N282" s="633">
        <v>-1835522.18</v>
      </c>
      <c r="O282" s="634">
        <v>-1921571.95</v>
      </c>
      <c r="P282" s="635">
        <v>-1921571.95</v>
      </c>
      <c r="Q282" s="709">
        <v>-1921571.95</v>
      </c>
      <c r="R282" s="626">
        <v>-1970912.73</v>
      </c>
      <c r="S282" s="628">
        <f t="shared" si="42"/>
        <v>-1860743.7745833332</v>
      </c>
      <c r="T282" s="602"/>
      <c r="U282" s="637"/>
      <c r="V282" s="637"/>
      <c r="W282" s="637"/>
      <c r="X282" s="638">
        <f t="shared" si="44"/>
        <v>-1860743.7745833332</v>
      </c>
      <c r="Y282" s="615"/>
      <c r="Z282" s="615"/>
    </row>
    <row r="283" spans="1:26">
      <c r="A283" s="723" t="s">
        <v>792</v>
      </c>
      <c r="B283" s="622" t="s">
        <v>793</v>
      </c>
      <c r="C283" s="623">
        <v>274</v>
      </c>
      <c r="D283" s="624" t="str">
        <f>A283&amp;"."&amp;B283</f>
        <v>2429.[4*,00*,01*,02*,03*]</v>
      </c>
      <c r="E283" s="680" t="s">
        <v>794</v>
      </c>
      <c r="F283" s="626">
        <v>-1180759.56</v>
      </c>
      <c r="G283" s="708">
        <v>-986886.47</v>
      </c>
      <c r="H283" s="628">
        <v>-978653.47</v>
      </c>
      <c r="I283" s="628">
        <v>-878433.12</v>
      </c>
      <c r="J283" s="629">
        <v>-722250.99</v>
      </c>
      <c r="K283" s="630">
        <v>-619284.56999999995</v>
      </c>
      <c r="L283" s="631">
        <v>-506661.02</v>
      </c>
      <c r="M283" s="632">
        <v>-509078.11</v>
      </c>
      <c r="N283" s="633">
        <v>-564258.21</v>
      </c>
      <c r="O283" s="634">
        <v>-562936.53</v>
      </c>
      <c r="P283" s="635">
        <v>-678941.44</v>
      </c>
      <c r="Q283" s="709">
        <v>-787284.31</v>
      </c>
      <c r="R283" s="626">
        <v>-1160406.48</v>
      </c>
      <c r="S283" s="628">
        <f t="shared" si="42"/>
        <v>-747104.27166666661</v>
      </c>
      <c r="T283" s="602"/>
      <c r="U283" s="637"/>
      <c r="V283" s="637"/>
      <c r="W283" s="637"/>
      <c r="X283" s="638">
        <f t="shared" si="44"/>
        <v>-747104.27166666661</v>
      </c>
      <c r="Y283" s="615"/>
      <c r="Z283" s="615"/>
    </row>
    <row r="284" spans="1:26">
      <c r="A284" s="723" t="s">
        <v>792</v>
      </c>
      <c r="B284" s="622" t="s">
        <v>728</v>
      </c>
      <c r="C284" s="623">
        <v>275</v>
      </c>
      <c r="D284" s="624" t="str">
        <f>A284&amp;"."&amp;B284</f>
        <v>2429.3*</v>
      </c>
      <c r="E284" s="680" t="s">
        <v>795</v>
      </c>
      <c r="F284" s="626">
        <v>-1104283.72</v>
      </c>
      <c r="G284" s="708">
        <v>-1246645.97</v>
      </c>
      <c r="H284" s="628">
        <v>-354050.45</v>
      </c>
      <c r="I284" s="628">
        <v>-525583.57999999996</v>
      </c>
      <c r="J284" s="629">
        <v>-686452.22</v>
      </c>
      <c r="K284" s="630">
        <v>-825247.08</v>
      </c>
      <c r="L284" s="631">
        <v>-988608.68</v>
      </c>
      <c r="M284" s="632">
        <v>-1129967.48</v>
      </c>
      <c r="N284" s="633">
        <v>-485123.15</v>
      </c>
      <c r="O284" s="634">
        <v>-652733.34</v>
      </c>
      <c r="P284" s="635">
        <v>-790626.09</v>
      </c>
      <c r="Q284" s="709">
        <v>-1012338.01</v>
      </c>
      <c r="R284" s="626">
        <v>-1195571.69</v>
      </c>
      <c r="S284" s="628">
        <f t="shared" si="42"/>
        <v>-820608.64624999987</v>
      </c>
      <c r="T284" s="602"/>
      <c r="U284" s="637"/>
      <c r="V284" s="637"/>
      <c r="W284" s="637"/>
      <c r="X284" s="638">
        <f t="shared" si="44"/>
        <v>-820608.64624999987</v>
      </c>
      <c r="Y284" s="615"/>
      <c r="Z284" s="615"/>
    </row>
    <row r="285" spans="1:26">
      <c r="A285" s="723" t="s">
        <v>792</v>
      </c>
      <c r="B285" s="622" t="s">
        <v>104</v>
      </c>
      <c r="C285" s="623">
        <v>276</v>
      </c>
      <c r="D285" s="624" t="str">
        <f>A285&amp;"."&amp;B285</f>
        <v>2429.WA</v>
      </c>
      <c r="E285" s="680" t="s">
        <v>796</v>
      </c>
      <c r="F285" s="626">
        <v>0</v>
      </c>
      <c r="G285" s="708">
        <v>0</v>
      </c>
      <c r="H285" s="628">
        <v>0</v>
      </c>
      <c r="I285" s="628">
        <v>0</v>
      </c>
      <c r="J285" s="629">
        <v>0</v>
      </c>
      <c r="K285" s="630">
        <v>0</v>
      </c>
      <c r="L285" s="631">
        <v>0</v>
      </c>
      <c r="M285" s="632">
        <v>0</v>
      </c>
      <c r="N285" s="633">
        <v>0</v>
      </c>
      <c r="O285" s="634">
        <v>0</v>
      </c>
      <c r="P285" s="635">
        <v>0</v>
      </c>
      <c r="Q285" s="709">
        <v>0</v>
      </c>
      <c r="R285" s="626">
        <v>0</v>
      </c>
      <c r="S285" s="628">
        <f t="shared" si="42"/>
        <v>0</v>
      </c>
      <c r="T285" s="602"/>
      <c r="U285" s="637"/>
      <c r="V285" s="637"/>
      <c r="W285" s="637"/>
      <c r="X285" s="637"/>
      <c r="Y285" s="615"/>
      <c r="Z285" s="615"/>
    </row>
    <row r="286" spans="1:26">
      <c r="A286" s="723" t="s">
        <v>792</v>
      </c>
      <c r="B286" s="622" t="s">
        <v>78</v>
      </c>
      <c r="C286" s="623">
        <v>277</v>
      </c>
      <c r="D286" s="624" t="str">
        <f>A286&amp;"."&amp;B286</f>
        <v>2429.OR</v>
      </c>
      <c r="E286" s="680" t="s">
        <v>797</v>
      </c>
      <c r="F286" s="626">
        <v>0</v>
      </c>
      <c r="G286" s="708">
        <v>0</v>
      </c>
      <c r="H286" s="628">
        <v>0</v>
      </c>
      <c r="I286" s="628">
        <v>0</v>
      </c>
      <c r="J286" s="629">
        <v>0</v>
      </c>
      <c r="K286" s="630">
        <v>0</v>
      </c>
      <c r="L286" s="631">
        <v>0</v>
      </c>
      <c r="M286" s="632">
        <v>0</v>
      </c>
      <c r="N286" s="633">
        <v>0</v>
      </c>
      <c r="O286" s="634">
        <v>0</v>
      </c>
      <c r="P286" s="635">
        <v>0</v>
      </c>
      <c r="Q286" s="709">
        <v>0</v>
      </c>
      <c r="R286" s="626">
        <v>0</v>
      </c>
      <c r="S286" s="628">
        <f t="shared" si="42"/>
        <v>0</v>
      </c>
      <c r="T286" s="602"/>
      <c r="U286" s="637"/>
      <c r="V286" s="637"/>
      <c r="W286" s="637"/>
      <c r="X286" s="637"/>
      <c r="Y286" s="615"/>
      <c r="Z286" s="615"/>
    </row>
    <row r="287" spans="1:26">
      <c r="A287" s="598" t="s">
        <v>798</v>
      </c>
      <c r="B287" s="598" t="s">
        <v>799</v>
      </c>
      <c r="C287" s="623">
        <v>278</v>
      </c>
      <c r="D287" s="598" t="str">
        <f>+A287</f>
        <v>2282</v>
      </c>
      <c r="E287" s="680" t="s">
        <v>800</v>
      </c>
      <c r="F287" s="626">
        <v>0</v>
      </c>
      <c r="G287" s="708">
        <v>0</v>
      </c>
      <c r="H287" s="628">
        <v>0</v>
      </c>
      <c r="I287" s="628">
        <v>0</v>
      </c>
      <c r="J287" s="629">
        <v>0</v>
      </c>
      <c r="K287" s="630">
        <v>0</v>
      </c>
      <c r="L287" s="631">
        <v>0</v>
      </c>
      <c r="M287" s="632">
        <v>0</v>
      </c>
      <c r="N287" s="633">
        <v>0</v>
      </c>
      <c r="O287" s="703">
        <v>-250000</v>
      </c>
      <c r="P287" s="635">
        <v>-1000000</v>
      </c>
      <c r="Q287" s="709">
        <v>-1000000</v>
      </c>
      <c r="R287" s="626">
        <v>-1400000</v>
      </c>
      <c r="S287" s="628">
        <f t="shared" si="42"/>
        <v>-245833.33333333334</v>
      </c>
      <c r="T287" s="602"/>
      <c r="U287" s="637"/>
      <c r="V287" s="637"/>
      <c r="W287" s="638"/>
      <c r="X287" s="638">
        <f>S287</f>
        <v>-245833.33333333334</v>
      </c>
      <c r="Y287" s="605"/>
      <c r="Z287" s="605"/>
    </row>
    <row r="288" spans="1:26">
      <c r="A288" s="598" t="s">
        <v>801</v>
      </c>
      <c r="B288" s="598" t="s">
        <v>802</v>
      </c>
      <c r="C288" s="623">
        <v>279</v>
      </c>
      <c r="D288" s="724" t="str">
        <f>A288&amp;"."&amp;B288</f>
        <v>2284.02*</v>
      </c>
      <c r="E288" s="680" t="s">
        <v>803</v>
      </c>
      <c r="F288" s="626">
        <v>0</v>
      </c>
      <c r="G288" s="708">
        <v>0</v>
      </c>
      <c r="H288" s="628">
        <v>0</v>
      </c>
      <c r="I288" s="628">
        <v>0</v>
      </c>
      <c r="J288" s="629">
        <v>0</v>
      </c>
      <c r="K288" s="630">
        <v>0</v>
      </c>
      <c r="L288" s="631">
        <v>0</v>
      </c>
      <c r="M288" s="632">
        <v>0</v>
      </c>
      <c r="N288" s="633">
        <v>0</v>
      </c>
      <c r="O288" s="703">
        <v>0</v>
      </c>
      <c r="P288" s="635">
        <v>0</v>
      </c>
      <c r="Q288" s="709">
        <v>0</v>
      </c>
      <c r="R288" s="626">
        <v>0</v>
      </c>
      <c r="S288" s="628">
        <f t="shared" si="42"/>
        <v>0</v>
      </c>
      <c r="T288" s="602"/>
      <c r="U288" s="637"/>
      <c r="V288" s="637"/>
      <c r="W288" s="637"/>
      <c r="X288" s="637"/>
      <c r="Y288" s="605"/>
      <c r="Z288" s="605"/>
    </row>
    <row r="289" spans="1:26">
      <c r="A289" s="622" t="s">
        <v>801</v>
      </c>
      <c r="B289" s="622" t="s">
        <v>804</v>
      </c>
      <c r="C289" s="623">
        <v>280</v>
      </c>
      <c r="D289" s="724" t="str">
        <f>A289&amp;"."&amp;B289</f>
        <v>2284.03*</v>
      </c>
      <c r="E289" s="680" t="s">
        <v>805</v>
      </c>
      <c r="F289" s="626">
        <v>-24135</v>
      </c>
      <c r="G289" s="708">
        <v>-24135</v>
      </c>
      <c r="H289" s="628">
        <v>-24135</v>
      </c>
      <c r="I289" s="628">
        <v>-24135</v>
      </c>
      <c r="J289" s="629">
        <v>-24135</v>
      </c>
      <c r="K289" s="630">
        <v>-24135</v>
      </c>
      <c r="L289" s="631">
        <v>-24135</v>
      </c>
      <c r="M289" s="632">
        <v>-24135</v>
      </c>
      <c r="N289" s="633">
        <v>-24135</v>
      </c>
      <c r="O289" s="703">
        <v>-48270</v>
      </c>
      <c r="P289" s="635">
        <v>-24135</v>
      </c>
      <c r="Q289" s="709">
        <v>-24135</v>
      </c>
      <c r="R289" s="626">
        <v>-24135</v>
      </c>
      <c r="S289" s="628">
        <f t="shared" si="42"/>
        <v>-26146.25</v>
      </c>
      <c r="T289" s="602"/>
      <c r="U289" s="637"/>
      <c r="V289" s="637"/>
      <c r="W289" s="637"/>
      <c r="X289" s="638">
        <f>S289</f>
        <v>-26146.25</v>
      </c>
      <c r="Y289" s="605"/>
      <c r="Z289" s="605"/>
    </row>
    <row r="290" spans="1:26">
      <c r="A290" s="723" t="s">
        <v>806</v>
      </c>
      <c r="B290" s="622" t="s">
        <v>402</v>
      </c>
      <c r="C290" s="623">
        <v>281</v>
      </c>
      <c r="D290" s="723" t="str">
        <f>+A290</f>
        <v>2292</v>
      </c>
      <c r="E290" s="680" t="s">
        <v>807</v>
      </c>
      <c r="F290" s="626">
        <v>0</v>
      </c>
      <c r="G290" s="708">
        <v>0</v>
      </c>
      <c r="H290" s="628">
        <v>0</v>
      </c>
      <c r="I290" s="628">
        <v>0</v>
      </c>
      <c r="J290" s="629">
        <v>0</v>
      </c>
      <c r="K290" s="630">
        <v>0</v>
      </c>
      <c r="L290" s="631">
        <v>0</v>
      </c>
      <c r="M290" s="632">
        <v>0</v>
      </c>
      <c r="N290" s="633">
        <v>0</v>
      </c>
      <c r="O290" s="634">
        <v>0</v>
      </c>
      <c r="P290" s="635">
        <v>0</v>
      </c>
      <c r="Q290" s="709">
        <v>0</v>
      </c>
      <c r="R290" s="626">
        <v>0</v>
      </c>
      <c r="S290" s="628">
        <f t="shared" si="42"/>
        <v>0</v>
      </c>
      <c r="T290" s="602"/>
      <c r="U290" s="637"/>
      <c r="V290" s="637"/>
      <c r="W290" s="637"/>
      <c r="X290" s="637"/>
      <c r="Y290" s="605"/>
      <c r="Z290" s="605"/>
    </row>
    <row r="291" spans="1:26">
      <c r="A291" s="622" t="s">
        <v>808</v>
      </c>
      <c r="B291" s="622" t="s">
        <v>809</v>
      </c>
      <c r="C291" s="623">
        <v>282</v>
      </c>
      <c r="D291" s="724" t="str">
        <f>A291&amp;"."&amp;B291</f>
        <v>2530.01*</v>
      </c>
      <c r="E291" s="680" t="s">
        <v>810</v>
      </c>
      <c r="F291" s="626">
        <v>-5668916.5</v>
      </c>
      <c r="G291" s="708">
        <v>-11779253.52</v>
      </c>
      <c r="H291" s="628">
        <v>-14855188.869999999</v>
      </c>
      <c r="I291" s="628">
        <v>-17538968.100000001</v>
      </c>
      <c r="J291" s="629">
        <v>-17813475.629999999</v>
      </c>
      <c r="K291" s="630">
        <v>-17139166.859999999</v>
      </c>
      <c r="L291" s="631">
        <v>-15535204.800000001</v>
      </c>
      <c r="M291" s="632">
        <v>-13449776.59</v>
      </c>
      <c r="N291" s="633">
        <v>-10889858.210000001</v>
      </c>
      <c r="O291" s="634">
        <v>-8799904.3399999999</v>
      </c>
      <c r="P291" s="635">
        <v>-8185007.1600000001</v>
      </c>
      <c r="Q291" s="709">
        <v>-6330404.5300000003</v>
      </c>
      <c r="R291" s="626">
        <v>-5627226.9299999997</v>
      </c>
      <c r="S291" s="628">
        <f t="shared" si="42"/>
        <v>-12330356.693750001</v>
      </c>
      <c r="T291" s="602"/>
      <c r="U291" s="637"/>
      <c r="V291" s="637"/>
      <c r="W291" s="637"/>
      <c r="X291" s="638">
        <f>S291</f>
        <v>-12330356.693750001</v>
      </c>
      <c r="Y291" s="615"/>
      <c r="Z291" s="615"/>
    </row>
    <row r="292" spans="1:26">
      <c r="A292" s="598" t="s">
        <v>808</v>
      </c>
      <c r="B292" s="598" t="s">
        <v>811</v>
      </c>
      <c r="C292" s="623">
        <v>283</v>
      </c>
      <c r="D292" s="735" t="str">
        <f>A292&amp;"."&amp;B292</f>
        <v>2530.[02008,02009]</v>
      </c>
      <c r="E292" s="680" t="s">
        <v>812</v>
      </c>
      <c r="F292" s="626">
        <v>0</v>
      </c>
      <c r="G292" s="708">
        <v>0</v>
      </c>
      <c r="H292" s="628">
        <v>0</v>
      </c>
      <c r="I292" s="628">
        <v>0</v>
      </c>
      <c r="J292" s="629">
        <v>0</v>
      </c>
      <c r="K292" s="630">
        <v>0</v>
      </c>
      <c r="L292" s="631">
        <v>0</v>
      </c>
      <c r="M292" s="632">
        <v>0</v>
      </c>
      <c r="N292" s="633">
        <v>0</v>
      </c>
      <c r="O292" s="634">
        <v>0</v>
      </c>
      <c r="P292" s="635">
        <v>0</v>
      </c>
      <c r="Q292" s="709">
        <v>0</v>
      </c>
      <c r="R292" s="626">
        <v>0</v>
      </c>
      <c r="S292" s="628">
        <f t="shared" si="42"/>
        <v>0</v>
      </c>
      <c r="T292" s="602"/>
      <c r="U292" s="637"/>
      <c r="V292" s="637"/>
      <c r="W292" s="637"/>
      <c r="X292" s="637"/>
      <c r="Y292" s="615"/>
      <c r="Z292" s="615"/>
    </row>
    <row r="293" spans="1:26">
      <c r="A293" s="622" t="s">
        <v>813</v>
      </c>
      <c r="B293" s="622" t="s">
        <v>619</v>
      </c>
      <c r="C293" s="623">
        <v>284</v>
      </c>
      <c r="D293" s="624" t="str">
        <f>A293&amp;"."&amp;B293</f>
        <v>2440.1</v>
      </c>
      <c r="E293" s="680" t="s">
        <v>518</v>
      </c>
      <c r="F293" s="626">
        <v>0</v>
      </c>
      <c r="G293" s="708">
        <v>0</v>
      </c>
      <c r="H293" s="628">
        <v>0</v>
      </c>
      <c r="I293" s="628">
        <v>0</v>
      </c>
      <c r="J293" s="629">
        <v>0</v>
      </c>
      <c r="K293" s="630">
        <v>0</v>
      </c>
      <c r="L293" s="631">
        <v>0</v>
      </c>
      <c r="M293" s="632">
        <v>0</v>
      </c>
      <c r="N293" s="633">
        <v>0</v>
      </c>
      <c r="O293" s="634">
        <v>0</v>
      </c>
      <c r="P293" s="635">
        <v>0</v>
      </c>
      <c r="Q293" s="709">
        <v>0</v>
      </c>
      <c r="R293" s="626">
        <v>0</v>
      </c>
      <c r="S293" s="628">
        <f t="shared" si="42"/>
        <v>0</v>
      </c>
      <c r="T293" s="602"/>
      <c r="U293" s="637"/>
      <c r="V293" s="637"/>
      <c r="W293" s="637"/>
      <c r="X293" s="637"/>
      <c r="Y293" s="615"/>
      <c r="Z293" s="615"/>
    </row>
    <row r="294" spans="1:26">
      <c r="A294" s="622"/>
      <c r="B294" s="622"/>
      <c r="C294" s="623">
        <v>285</v>
      </c>
      <c r="D294" s="622"/>
      <c r="E294" s="680"/>
      <c r="F294" s="626"/>
      <c r="G294" s="708"/>
      <c r="H294" s="628"/>
      <c r="I294" s="628"/>
      <c r="J294" s="629"/>
      <c r="K294" s="630"/>
      <c r="L294" s="631"/>
      <c r="M294" s="632"/>
      <c r="N294" s="633"/>
      <c r="O294" s="634"/>
      <c r="P294" s="635"/>
      <c r="Q294" s="709"/>
      <c r="R294" s="626"/>
      <c r="S294" s="628">
        <f t="shared" si="42"/>
        <v>0</v>
      </c>
      <c r="T294" s="602"/>
      <c r="U294" s="637"/>
      <c r="V294" s="637"/>
      <c r="W294" s="637"/>
      <c r="X294" s="637"/>
      <c r="Y294" s="615"/>
      <c r="Z294" s="615"/>
    </row>
    <row r="295" spans="1:26">
      <c r="A295" s="622"/>
      <c r="B295" s="622"/>
      <c r="C295" s="623">
        <v>286</v>
      </c>
      <c r="D295" s="622"/>
      <c r="E295" s="680" t="s">
        <v>814</v>
      </c>
      <c r="F295" s="650">
        <f>SUM(F276:F293)</f>
        <v>-24806425.879999995</v>
      </c>
      <c r="G295" s="650">
        <f t="shared" ref="G295:S295" si="45">SUM(G276:G293)</f>
        <v>-27735517.060000002</v>
      </c>
      <c r="H295" s="650">
        <f t="shared" si="45"/>
        <v>-28994126.140000001</v>
      </c>
      <c r="I295" s="650">
        <f t="shared" si="45"/>
        <v>-29913904.840000004</v>
      </c>
      <c r="J295" s="650">
        <f t="shared" si="45"/>
        <v>-30185988.16</v>
      </c>
      <c r="K295" s="650">
        <f t="shared" si="45"/>
        <v>-30640191.780000001</v>
      </c>
      <c r="L295" s="650">
        <f t="shared" si="45"/>
        <v>-33449413.98</v>
      </c>
      <c r="M295" s="650">
        <f t="shared" si="45"/>
        <v>-32961281.640000001</v>
      </c>
      <c r="N295" s="650">
        <f t="shared" si="45"/>
        <v>-28513170.199999999</v>
      </c>
      <c r="O295" s="650">
        <f t="shared" si="45"/>
        <v>-27496522.810000002</v>
      </c>
      <c r="P295" s="650">
        <f t="shared" si="45"/>
        <v>-31672483.210000001</v>
      </c>
      <c r="Q295" s="650">
        <f t="shared" si="45"/>
        <v>-27063345.810000002</v>
      </c>
      <c r="R295" s="650">
        <f t="shared" si="45"/>
        <v>-27407251.719999999</v>
      </c>
      <c r="S295" s="650">
        <f t="shared" si="45"/>
        <v>-29561065.369166665</v>
      </c>
      <c r="T295" s="602"/>
      <c r="U295" s="637"/>
      <c r="V295" s="637"/>
      <c r="W295" s="637"/>
      <c r="X295" s="637"/>
      <c r="Y295" s="615"/>
      <c r="Z295" s="615"/>
    </row>
    <row r="296" spans="1:26">
      <c r="A296" s="622"/>
      <c r="B296" s="622"/>
      <c r="C296" s="623">
        <v>287</v>
      </c>
      <c r="D296" s="622"/>
      <c r="E296" s="680"/>
      <c r="F296" s="626"/>
      <c r="G296" s="708"/>
      <c r="H296" s="628"/>
      <c r="I296" s="628"/>
      <c r="J296" s="629"/>
      <c r="K296" s="630"/>
      <c r="L296" s="631"/>
      <c r="M296" s="632"/>
      <c r="N296" s="633"/>
      <c r="O296" s="634"/>
      <c r="P296" s="635"/>
      <c r="Q296" s="709"/>
      <c r="R296" s="626"/>
      <c r="S296" s="628">
        <f t="shared" si="42"/>
        <v>0</v>
      </c>
      <c r="T296" s="602"/>
      <c r="U296" s="637"/>
      <c r="V296" s="637"/>
      <c r="W296" s="637"/>
      <c r="X296" s="637"/>
      <c r="Y296" s="615"/>
      <c r="Z296" s="615"/>
    </row>
    <row r="297" spans="1:26">
      <c r="A297" s="598" t="s">
        <v>798</v>
      </c>
      <c r="B297" s="598" t="s">
        <v>815</v>
      </c>
      <c r="C297" s="623">
        <v>288</v>
      </c>
      <c r="D297" s="598" t="str">
        <f>+A297</f>
        <v>2282</v>
      </c>
      <c r="E297" s="680" t="s">
        <v>816</v>
      </c>
      <c r="F297" s="626">
        <v>-14631486.57</v>
      </c>
      <c r="G297" s="653">
        <v>-14584574.82</v>
      </c>
      <c r="H297" s="628">
        <v>-14583283.07</v>
      </c>
      <c r="I297" s="628">
        <v>-14528667.300000001</v>
      </c>
      <c r="J297" s="629">
        <v>-14517823.48</v>
      </c>
      <c r="K297" s="630">
        <v>-14464666.35</v>
      </c>
      <c r="L297" s="631">
        <v>-14447941.59</v>
      </c>
      <c r="M297" s="632">
        <v>-14426749.779999999</v>
      </c>
      <c r="N297" s="633">
        <v>-14320900.5</v>
      </c>
      <c r="O297" s="703">
        <v>-14318635</v>
      </c>
      <c r="P297" s="635">
        <v>-14279202.43</v>
      </c>
      <c r="Q297" s="709">
        <v>-14167518.460000001</v>
      </c>
      <c r="R297" s="626">
        <v>-14098767.550000001</v>
      </c>
      <c r="S297" s="628">
        <f t="shared" si="42"/>
        <v>-14417090.82</v>
      </c>
      <c r="T297" s="602"/>
      <c r="U297" s="637"/>
      <c r="V297" s="637"/>
      <c r="W297" s="637"/>
      <c r="X297" s="637"/>
      <c r="Y297" s="615"/>
      <c r="Z297" s="615"/>
    </row>
    <row r="298" spans="1:26">
      <c r="A298" s="598" t="s">
        <v>817</v>
      </c>
      <c r="B298" s="598" t="s">
        <v>402</v>
      </c>
      <c r="C298" s="623">
        <v>289</v>
      </c>
      <c r="D298" s="598" t="str">
        <f>+A298</f>
        <v>2283</v>
      </c>
      <c r="E298" s="680" t="s">
        <v>818</v>
      </c>
      <c r="F298" s="626">
        <v>-7657939.1200000001</v>
      </c>
      <c r="G298" s="708">
        <v>-7717374.6200000001</v>
      </c>
      <c r="H298" s="628">
        <v>-7776810.1200000001</v>
      </c>
      <c r="I298" s="628">
        <v>-7836245.6200000001</v>
      </c>
      <c r="J298" s="629">
        <v>-7895681.1200000001</v>
      </c>
      <c r="K298" s="630">
        <v>-7960544.96</v>
      </c>
      <c r="L298" s="631">
        <v>-8021066.1200000001</v>
      </c>
      <c r="M298" s="632">
        <v>-8081587.29</v>
      </c>
      <c r="N298" s="633">
        <v>-8142108.4500000002</v>
      </c>
      <c r="O298" s="703">
        <v>-8202629.6200000001</v>
      </c>
      <c r="P298" s="635">
        <v>-8263150.79</v>
      </c>
      <c r="Q298" s="709">
        <v>-8323671.96</v>
      </c>
      <c r="R298" s="626">
        <v>-7687634.5099999998</v>
      </c>
      <c r="S298" s="628">
        <f t="shared" si="42"/>
        <v>-7991138.1237500003</v>
      </c>
      <c r="T298" s="602"/>
      <c r="U298" s="637"/>
      <c r="V298" s="637"/>
      <c r="W298" s="615"/>
      <c r="X298" s="638">
        <f>S298</f>
        <v>-7991138.1237500003</v>
      </c>
      <c r="Y298" s="615"/>
      <c r="Z298" s="615"/>
    </row>
    <row r="299" spans="1:26">
      <c r="A299" s="598" t="s">
        <v>819</v>
      </c>
      <c r="B299" s="598" t="s">
        <v>402</v>
      </c>
      <c r="C299" s="623">
        <v>290</v>
      </c>
      <c r="D299" s="598" t="str">
        <f>+A299</f>
        <v>2300</v>
      </c>
      <c r="E299" s="680" t="s">
        <v>820</v>
      </c>
      <c r="F299" s="626">
        <v>-50960517</v>
      </c>
      <c r="G299" s="708">
        <v>-50963872.890000001</v>
      </c>
      <c r="H299" s="628">
        <v>-50967246.25</v>
      </c>
      <c r="I299" s="628">
        <v>-51422476.130000003</v>
      </c>
      <c r="J299" s="629">
        <v>-51425884.640000001</v>
      </c>
      <c r="K299" s="630">
        <v>-51429310.859999999</v>
      </c>
      <c r="L299" s="631">
        <v>-51455189.93</v>
      </c>
      <c r="M299" s="632">
        <v>-51458651.880000003</v>
      </c>
      <c r="N299" s="633">
        <v>-52893394.299999997</v>
      </c>
      <c r="O299" s="634">
        <v>-53140104.700000003</v>
      </c>
      <c r="P299" s="635">
        <v>-53387966.060000002</v>
      </c>
      <c r="Q299" s="709">
        <v>-53636983.840000004</v>
      </c>
      <c r="R299" s="626">
        <v>-54807880</v>
      </c>
      <c r="S299" s="628">
        <f t="shared" si="42"/>
        <v>-52088773.331666671</v>
      </c>
      <c r="T299" s="602"/>
      <c r="U299" s="637"/>
      <c r="V299" s="638">
        <f>+S299</f>
        <v>-52088773.331666671</v>
      </c>
      <c r="W299" s="637"/>
      <c r="X299" s="637"/>
      <c r="Y299" s="615"/>
      <c r="Z299" s="615"/>
    </row>
    <row r="300" spans="1:26">
      <c r="A300" s="598" t="s">
        <v>813</v>
      </c>
      <c r="B300" s="598" t="s">
        <v>673</v>
      </c>
      <c r="C300" s="623">
        <v>291</v>
      </c>
      <c r="D300" s="600" t="str">
        <f>A300&amp;"."&amp;B300</f>
        <v>2440.2</v>
      </c>
      <c r="E300" s="680" t="s">
        <v>563</v>
      </c>
      <c r="F300" s="626">
        <v>0</v>
      </c>
      <c r="G300" s="708">
        <v>0</v>
      </c>
      <c r="H300" s="628">
        <v>0</v>
      </c>
      <c r="I300" s="628">
        <v>0</v>
      </c>
      <c r="J300" s="629">
        <v>0</v>
      </c>
      <c r="K300" s="630">
        <v>0</v>
      </c>
      <c r="L300" s="631">
        <v>0</v>
      </c>
      <c r="M300" s="632">
        <v>0</v>
      </c>
      <c r="N300" s="633">
        <v>0</v>
      </c>
      <c r="O300" s="634">
        <v>0</v>
      </c>
      <c r="P300" s="635">
        <v>0</v>
      </c>
      <c r="Q300" s="709">
        <v>0</v>
      </c>
      <c r="R300" s="626">
        <v>0</v>
      </c>
      <c r="S300" s="628">
        <f t="shared" si="42"/>
        <v>0</v>
      </c>
      <c r="T300" s="602"/>
      <c r="U300" s="637"/>
      <c r="V300" s="637"/>
      <c r="W300" s="637"/>
      <c r="X300" s="637"/>
      <c r="Y300" s="615"/>
      <c r="Z300" s="615"/>
    </row>
    <row r="301" spans="1:26">
      <c r="A301" s="598" t="s">
        <v>821</v>
      </c>
      <c r="B301" s="598" t="s">
        <v>402</v>
      </c>
      <c r="C301" s="623">
        <v>292</v>
      </c>
      <c r="D301" s="598" t="str">
        <f>+A301</f>
        <v>2520</v>
      </c>
      <c r="E301" s="680" t="s">
        <v>368</v>
      </c>
      <c r="F301" s="626">
        <v>-4075228.98</v>
      </c>
      <c r="G301" s="708">
        <v>-4098682.77</v>
      </c>
      <c r="H301" s="628">
        <v>-4095410.71</v>
      </c>
      <c r="I301" s="628">
        <v>-4039199.59</v>
      </c>
      <c r="J301" s="629">
        <v>-4033929.41</v>
      </c>
      <c r="K301" s="630">
        <v>-4025529.28</v>
      </c>
      <c r="L301" s="631">
        <v>-3934624.3</v>
      </c>
      <c r="M301" s="632">
        <v>-4597333.84</v>
      </c>
      <c r="N301" s="633">
        <v>-4657385.4400000004</v>
      </c>
      <c r="O301" s="634">
        <v>-4568510.25</v>
      </c>
      <c r="P301" s="635">
        <v>-4564342.22</v>
      </c>
      <c r="Q301" s="709">
        <v>-4498773.34</v>
      </c>
      <c r="R301" s="626">
        <v>-4482129.79</v>
      </c>
      <c r="S301" s="628">
        <f t="shared" si="42"/>
        <v>-4282700.0445833337</v>
      </c>
      <c r="T301" s="602"/>
      <c r="U301" s="637"/>
      <c r="V301" s="638">
        <f>S301</f>
        <v>-4282700.0445833337</v>
      </c>
      <c r="W301" s="637"/>
      <c r="X301" s="637"/>
      <c r="Y301" s="615"/>
      <c r="Z301" s="615"/>
    </row>
    <row r="302" spans="1:26">
      <c r="A302" s="598" t="s">
        <v>808</v>
      </c>
      <c r="B302" s="598" t="s">
        <v>822</v>
      </c>
      <c r="C302" s="623">
        <v>293</v>
      </c>
      <c r="D302" s="735" t="str">
        <f t="shared" ref="D302:D310" si="46">A302&amp;"."&amp;B302</f>
        <v>2530.[02*,/02008,/02009,/02010]</v>
      </c>
      <c r="E302" s="680" t="s">
        <v>823</v>
      </c>
      <c r="F302" s="626">
        <v>0</v>
      </c>
      <c r="G302" s="708">
        <v>0</v>
      </c>
      <c r="H302" s="628">
        <v>0</v>
      </c>
      <c r="I302" s="628">
        <v>0</v>
      </c>
      <c r="J302" s="629">
        <v>0</v>
      </c>
      <c r="K302" s="630">
        <v>0</v>
      </c>
      <c r="L302" s="631">
        <v>0</v>
      </c>
      <c r="M302" s="632">
        <v>0</v>
      </c>
      <c r="N302" s="633">
        <v>0</v>
      </c>
      <c r="O302" s="634">
        <v>0</v>
      </c>
      <c r="P302" s="635">
        <v>0</v>
      </c>
      <c r="Q302" s="709">
        <v>0</v>
      </c>
      <c r="R302" s="626">
        <v>0</v>
      </c>
      <c r="S302" s="628">
        <f t="shared" si="42"/>
        <v>0</v>
      </c>
      <c r="T302" s="602"/>
      <c r="U302" s="637"/>
      <c r="V302" s="637"/>
      <c r="W302" s="637"/>
      <c r="X302" s="637"/>
      <c r="Y302" s="615"/>
      <c r="Z302" s="615"/>
    </row>
    <row r="303" spans="1:26">
      <c r="A303" s="598" t="s">
        <v>808</v>
      </c>
      <c r="B303" s="598" t="s">
        <v>824</v>
      </c>
      <c r="C303" s="623">
        <v>294</v>
      </c>
      <c r="D303" s="735" t="str">
        <f t="shared" si="46"/>
        <v>2530.[02010]</v>
      </c>
      <c r="E303" s="625" t="s">
        <v>825</v>
      </c>
      <c r="F303" s="626">
        <v>0</v>
      </c>
      <c r="G303" s="708">
        <v>0</v>
      </c>
      <c r="H303" s="628">
        <v>0</v>
      </c>
      <c r="I303" s="628">
        <v>0</v>
      </c>
      <c r="J303" s="629">
        <v>0</v>
      </c>
      <c r="K303" s="630">
        <v>0</v>
      </c>
      <c r="L303" s="631">
        <v>0</v>
      </c>
      <c r="M303" s="632">
        <v>0</v>
      </c>
      <c r="N303" s="633">
        <v>0</v>
      </c>
      <c r="O303" s="634">
        <v>0</v>
      </c>
      <c r="P303" s="635">
        <v>0</v>
      </c>
      <c r="Q303" s="709">
        <v>0</v>
      </c>
      <c r="R303" s="626">
        <v>0</v>
      </c>
      <c r="S303" s="628">
        <f t="shared" si="42"/>
        <v>0</v>
      </c>
      <c r="T303" s="602"/>
      <c r="U303" s="637"/>
      <c r="V303" s="637"/>
      <c r="W303" s="637"/>
      <c r="X303" s="637"/>
      <c r="Y303" s="615"/>
      <c r="Z303" s="615"/>
    </row>
    <row r="304" spans="1:26">
      <c r="A304" s="598" t="s">
        <v>808</v>
      </c>
      <c r="B304" s="598" t="s">
        <v>804</v>
      </c>
      <c r="C304" s="623">
        <v>295</v>
      </c>
      <c r="D304" s="735" t="str">
        <f t="shared" si="46"/>
        <v>2530.03*</v>
      </c>
      <c r="E304" s="680" t="s">
        <v>826</v>
      </c>
      <c r="F304" s="626">
        <v>0</v>
      </c>
      <c r="G304" s="708">
        <v>0</v>
      </c>
      <c r="H304" s="628">
        <v>0</v>
      </c>
      <c r="I304" s="628">
        <v>0</v>
      </c>
      <c r="J304" s="629">
        <v>0</v>
      </c>
      <c r="K304" s="630">
        <v>0</v>
      </c>
      <c r="L304" s="631">
        <v>0</v>
      </c>
      <c r="M304" s="632">
        <v>0</v>
      </c>
      <c r="N304" s="633">
        <v>0</v>
      </c>
      <c r="O304" s="634">
        <v>0</v>
      </c>
      <c r="P304" s="635">
        <v>0</v>
      </c>
      <c r="Q304" s="709">
        <v>0</v>
      </c>
      <c r="R304" s="626">
        <v>0</v>
      </c>
      <c r="S304" s="628">
        <f t="shared" si="42"/>
        <v>0</v>
      </c>
      <c r="T304" s="602"/>
      <c r="U304" s="637"/>
      <c r="V304" s="637"/>
      <c r="W304" s="637"/>
      <c r="X304" s="637"/>
      <c r="Y304" s="615"/>
      <c r="Z304" s="615"/>
    </row>
    <row r="305" spans="1:26">
      <c r="A305" s="598" t="s">
        <v>827</v>
      </c>
      <c r="B305" s="598" t="s">
        <v>828</v>
      </c>
      <c r="C305" s="623">
        <v>296</v>
      </c>
      <c r="D305" s="600" t="str">
        <f t="shared" si="46"/>
        <v>2539.[/0104*,/0107*,/0108*]</v>
      </c>
      <c r="E305" s="680" t="s">
        <v>829</v>
      </c>
      <c r="F305" s="626">
        <v>-123410.16</v>
      </c>
      <c r="G305" s="708">
        <v>-123418.88</v>
      </c>
      <c r="H305" s="628">
        <v>-123431.56</v>
      </c>
      <c r="I305" s="628">
        <v>-123350.1</v>
      </c>
      <c r="J305" s="629">
        <v>-123365.47</v>
      </c>
      <c r="K305" s="630">
        <v>-126204.69</v>
      </c>
      <c r="L305" s="631">
        <v>-125721.45</v>
      </c>
      <c r="M305" s="632">
        <v>-125505.33</v>
      </c>
      <c r="N305" s="633">
        <v>-125523.17</v>
      </c>
      <c r="O305" s="634">
        <v>-101413.37</v>
      </c>
      <c r="P305" s="635">
        <v>-99364.11</v>
      </c>
      <c r="Q305" s="709">
        <v>-99440.81</v>
      </c>
      <c r="R305" s="626">
        <v>-99457.919999999998</v>
      </c>
      <c r="S305" s="628">
        <f t="shared" si="42"/>
        <v>-117347.74833333335</v>
      </c>
      <c r="T305" s="602"/>
      <c r="U305" s="637"/>
      <c r="V305" s="637"/>
      <c r="W305" s="637"/>
      <c r="X305" s="637"/>
      <c r="Y305" s="615"/>
      <c r="Z305" s="615"/>
    </row>
    <row r="306" spans="1:26">
      <c r="A306" s="598" t="s">
        <v>827</v>
      </c>
      <c r="B306" s="736" t="s">
        <v>830</v>
      </c>
      <c r="C306" s="623">
        <v>297</v>
      </c>
      <c r="D306" s="600" t="str">
        <f t="shared" si="46"/>
        <v>2539.[0104*,0107*,0108*]</v>
      </c>
      <c r="E306" s="680" t="s">
        <v>831</v>
      </c>
      <c r="F306" s="626">
        <v>-15367277.689999999</v>
      </c>
      <c r="G306" s="708">
        <v>-15344145.109999999</v>
      </c>
      <c r="H306" s="628">
        <v>-15321012.52</v>
      </c>
      <c r="I306" s="628">
        <v>-15297879.939999999</v>
      </c>
      <c r="J306" s="629">
        <v>-15274747.359999999</v>
      </c>
      <c r="K306" s="630">
        <v>-15293682.27</v>
      </c>
      <c r="L306" s="631">
        <v>-15278945.93</v>
      </c>
      <c r="M306" s="632">
        <v>-15264226.85</v>
      </c>
      <c r="N306" s="633">
        <v>-15249507.77</v>
      </c>
      <c r="O306" s="634">
        <v>-15234788.689999999</v>
      </c>
      <c r="P306" s="635">
        <v>-15220069.609999999</v>
      </c>
      <c r="Q306" s="709">
        <v>-15205350.529999999</v>
      </c>
      <c r="R306" s="626">
        <v>-13256373.689999999</v>
      </c>
      <c r="S306" s="628">
        <f t="shared" si="42"/>
        <v>-15191348.522500001</v>
      </c>
      <c r="T306" s="602"/>
      <c r="U306" s="637"/>
      <c r="V306" s="637"/>
      <c r="W306" s="615"/>
      <c r="X306" s="638">
        <f>S306</f>
        <v>-15191348.522500001</v>
      </c>
      <c r="Y306" s="615"/>
      <c r="Z306" s="615"/>
    </row>
    <row r="307" spans="1:26">
      <c r="A307" s="598" t="s">
        <v>832</v>
      </c>
      <c r="B307" s="598" t="s">
        <v>833</v>
      </c>
      <c r="C307" s="623">
        <v>298</v>
      </c>
      <c r="D307" s="735" t="str">
        <f t="shared" si="46"/>
        <v>2540.20222</v>
      </c>
      <c r="E307" s="598" t="s">
        <v>834</v>
      </c>
      <c r="F307" s="626">
        <v>-847148</v>
      </c>
      <c r="G307" s="708">
        <v>-847148</v>
      </c>
      <c r="H307" s="628">
        <v>-847148</v>
      </c>
      <c r="I307" s="628">
        <v>-847148</v>
      </c>
      <c r="J307" s="629">
        <v>-847148</v>
      </c>
      <c r="K307" s="630">
        <v>-847148</v>
      </c>
      <c r="L307" s="631">
        <v>-847148</v>
      </c>
      <c r="M307" s="632">
        <v>-847148</v>
      </c>
      <c r="N307" s="633">
        <v>-847148</v>
      </c>
      <c r="O307" s="634">
        <v>-847148</v>
      </c>
      <c r="P307" s="635">
        <v>-847148</v>
      </c>
      <c r="Q307" s="709">
        <v>-847148</v>
      </c>
      <c r="R307" s="626">
        <v>-1238067</v>
      </c>
      <c r="S307" s="628">
        <f t="shared" si="42"/>
        <v>-863436.29166666663</v>
      </c>
      <c r="T307" s="602"/>
      <c r="U307" s="637"/>
      <c r="V307" s="637"/>
      <c r="W307" s="615"/>
      <c r="X307" s="638">
        <f>S307</f>
        <v>-863436.29166666663</v>
      </c>
      <c r="Y307" s="615"/>
      <c r="Z307" s="615"/>
    </row>
    <row r="308" spans="1:26">
      <c r="A308" s="598" t="s">
        <v>832</v>
      </c>
      <c r="B308" s="598" t="s">
        <v>835</v>
      </c>
      <c r="C308" s="623">
        <v>299</v>
      </c>
      <c r="D308" s="600" t="str">
        <f t="shared" si="46"/>
        <v>2540.[20201*]</v>
      </c>
      <c r="E308" s="680" t="s">
        <v>836</v>
      </c>
      <c r="F308" s="626">
        <v>-2737401.56</v>
      </c>
      <c r="G308" s="708">
        <v>-2710317.16</v>
      </c>
      <c r="H308" s="628">
        <v>-2683232.7400000002</v>
      </c>
      <c r="I308" s="628">
        <v>-2645898.7999999998</v>
      </c>
      <c r="J308" s="629">
        <v>-2615397.63</v>
      </c>
      <c r="K308" s="630">
        <v>-2584896.4300000002</v>
      </c>
      <c r="L308" s="631">
        <v>-2553146.7999999998</v>
      </c>
      <c r="M308" s="632">
        <v>-2522437.54</v>
      </c>
      <c r="N308" s="633">
        <v>-2491728.2799999998</v>
      </c>
      <c r="O308" s="634">
        <v>-2552522.0099999998</v>
      </c>
      <c r="P308" s="635">
        <v>-2531979.75</v>
      </c>
      <c r="Q308" s="709">
        <v>-2546370.5600000001</v>
      </c>
      <c r="R308" s="626">
        <v>-2588762.79</v>
      </c>
      <c r="S308" s="628">
        <f t="shared" si="42"/>
        <v>-2591750.8229166665</v>
      </c>
      <c r="T308" s="602"/>
      <c r="U308" s="637"/>
      <c r="V308" s="637"/>
      <c r="W308" s="615"/>
      <c r="X308" s="638">
        <f>S308</f>
        <v>-2591750.8229166665</v>
      </c>
      <c r="Y308" s="615"/>
      <c r="Z308" s="615"/>
    </row>
    <row r="309" spans="1:26">
      <c r="A309" s="598" t="s">
        <v>832</v>
      </c>
      <c r="B309" s="598" t="s">
        <v>837</v>
      </c>
      <c r="C309" s="623">
        <v>300</v>
      </c>
      <c r="D309" s="600" t="str">
        <f t="shared" si="46"/>
        <v>2540.[/20211,/20201*,/20222]</v>
      </c>
      <c r="E309" s="598" t="s">
        <v>838</v>
      </c>
      <c r="F309" s="626">
        <v>49444.46</v>
      </c>
      <c r="G309" s="708">
        <v>49444.44</v>
      </c>
      <c r="H309" s="628">
        <v>49444.53</v>
      </c>
      <c r="I309" s="628">
        <v>49403.66</v>
      </c>
      <c r="J309" s="629">
        <v>49403.56</v>
      </c>
      <c r="K309" s="630">
        <v>49403.6</v>
      </c>
      <c r="L309" s="631">
        <v>49403.64</v>
      </c>
      <c r="M309" s="632">
        <v>49403.69</v>
      </c>
      <c r="N309" s="633">
        <v>49403.69</v>
      </c>
      <c r="O309" s="634">
        <v>49403.73</v>
      </c>
      <c r="P309" s="635">
        <v>49403.76</v>
      </c>
      <c r="Q309" s="709">
        <v>49444.68</v>
      </c>
      <c r="R309" s="626">
        <v>-267245.51</v>
      </c>
      <c r="S309" s="628">
        <f t="shared" si="42"/>
        <v>36221.871249999997</v>
      </c>
      <c r="T309" s="602"/>
      <c r="U309" s="637"/>
      <c r="V309" s="637"/>
      <c r="W309" s="637"/>
      <c r="X309" s="637"/>
      <c r="Y309" s="615"/>
      <c r="Z309" s="615"/>
    </row>
    <row r="310" spans="1:26">
      <c r="A310" s="598" t="s">
        <v>832</v>
      </c>
      <c r="B310" s="598" t="s">
        <v>839</v>
      </c>
      <c r="C310" s="623">
        <v>301</v>
      </c>
      <c r="D310" s="600" t="str">
        <f t="shared" si="46"/>
        <v>2540.[20211]</v>
      </c>
      <c r="E310" s="625" t="s">
        <v>825</v>
      </c>
      <c r="F310" s="626">
        <v>0</v>
      </c>
      <c r="G310" s="708">
        <v>0</v>
      </c>
      <c r="H310" s="628">
        <v>0</v>
      </c>
      <c r="I310" s="628">
        <v>0</v>
      </c>
      <c r="J310" s="629">
        <v>0</v>
      </c>
      <c r="K310" s="630">
        <v>0</v>
      </c>
      <c r="L310" s="631">
        <v>0</v>
      </c>
      <c r="M310" s="632">
        <v>0</v>
      </c>
      <c r="N310" s="633">
        <v>0</v>
      </c>
      <c r="O310" s="634">
        <v>0</v>
      </c>
      <c r="P310" s="635">
        <v>0</v>
      </c>
      <c r="Q310" s="709">
        <v>0</v>
      </c>
      <c r="R310" s="626">
        <v>0</v>
      </c>
      <c r="S310" s="628">
        <f t="shared" si="42"/>
        <v>0</v>
      </c>
      <c r="T310" s="602"/>
      <c r="U310" s="637"/>
      <c r="V310" s="637"/>
      <c r="W310" s="637"/>
      <c r="X310" s="637"/>
      <c r="Y310" s="615"/>
      <c r="Z310" s="615"/>
    </row>
    <row r="311" spans="1:26">
      <c r="A311" s="598" t="s">
        <v>510</v>
      </c>
      <c r="B311" s="598" t="s">
        <v>981</v>
      </c>
      <c r="C311" s="623">
        <v>302</v>
      </c>
      <c r="D311" s="600" t="s">
        <v>982</v>
      </c>
      <c r="E311" s="626" t="s">
        <v>983</v>
      </c>
      <c r="F311" s="626">
        <v>39302214</v>
      </c>
      <c r="G311" s="708">
        <v>39302214</v>
      </c>
      <c r="H311" s="628">
        <v>39302214</v>
      </c>
      <c r="I311" s="628">
        <v>39738439</v>
      </c>
      <c r="J311" s="629">
        <v>39738439</v>
      </c>
      <c r="K311" s="630">
        <v>39738439</v>
      </c>
      <c r="L311" s="631">
        <v>39670780</v>
      </c>
      <c r="M311" s="632">
        <v>39670780</v>
      </c>
      <c r="N311" s="633">
        <v>41382440.039999999</v>
      </c>
      <c r="O311" s="634">
        <v>41654121.939999998</v>
      </c>
      <c r="P311" s="635">
        <v>41919650.920000002</v>
      </c>
      <c r="Q311" s="709">
        <v>42186336.280000001</v>
      </c>
      <c r="R311" s="626">
        <v>42170920.5</v>
      </c>
      <c r="S311" s="628">
        <f t="shared" si="42"/>
        <v>40420035.119166672</v>
      </c>
      <c r="T311" s="602"/>
      <c r="U311" s="637"/>
      <c r="V311" s="638">
        <f>+S311</f>
        <v>40420035.119166672</v>
      </c>
      <c r="W311" s="637"/>
      <c r="X311" s="637"/>
      <c r="Y311" s="615"/>
      <c r="Z311" s="615"/>
    </row>
    <row r="312" spans="1:26">
      <c r="A312" s="598"/>
      <c r="B312" s="598"/>
      <c r="C312" s="623">
        <v>303</v>
      </c>
      <c r="D312" s="600"/>
      <c r="E312" s="641" t="s">
        <v>840</v>
      </c>
      <c r="F312" s="650">
        <f>SUM(F297:F311)</f>
        <v>-57048750.620000005</v>
      </c>
      <c r="G312" s="650">
        <f t="shared" ref="G312:S312" si="47">SUM(G297:G311)</f>
        <v>-57037875.809999987</v>
      </c>
      <c r="H312" s="650">
        <f t="shared" si="47"/>
        <v>-57045916.439999983</v>
      </c>
      <c r="I312" s="650">
        <f t="shared" si="47"/>
        <v>-56953022.820000008</v>
      </c>
      <c r="J312" s="650">
        <f t="shared" si="47"/>
        <v>-56946134.549999997</v>
      </c>
      <c r="K312" s="650">
        <f t="shared" si="47"/>
        <v>-56944140.24000001</v>
      </c>
      <c r="L312" s="650">
        <f t="shared" si="47"/>
        <v>-56943600.479999989</v>
      </c>
      <c r="M312" s="650">
        <f t="shared" si="47"/>
        <v>-57603456.820000008</v>
      </c>
      <c r="N312" s="650">
        <f t="shared" si="47"/>
        <v>-57295852.18</v>
      </c>
      <c r="O312" s="650">
        <f t="shared" si="47"/>
        <v>-57262225.970000014</v>
      </c>
      <c r="P312" s="650">
        <f t="shared" si="47"/>
        <v>-57224168.289999992</v>
      </c>
      <c r="Q312" s="650">
        <f t="shared" si="47"/>
        <v>-57089476.540000007</v>
      </c>
      <c r="R312" s="650">
        <f t="shared" si="47"/>
        <v>-56355398.26000002</v>
      </c>
      <c r="S312" s="650">
        <f t="shared" si="47"/>
        <v>-57087328.715000004</v>
      </c>
      <c r="T312" s="602"/>
      <c r="U312" s="637"/>
      <c r="V312" s="637"/>
      <c r="W312" s="637"/>
      <c r="X312" s="638">
        <f>S312-S301-S298-S306-S307-S308-S299-S311</f>
        <v>-14498216.697083332</v>
      </c>
      <c r="Y312" s="615"/>
      <c r="Z312" s="615"/>
    </row>
    <row r="313" spans="1:26">
      <c r="A313" s="598"/>
      <c r="B313" s="598"/>
      <c r="C313" s="623">
        <v>304</v>
      </c>
      <c r="D313" s="600"/>
      <c r="E313" s="680"/>
      <c r="F313" s="626"/>
      <c r="G313" s="708"/>
      <c r="H313" s="628"/>
      <c r="I313" s="628"/>
      <c r="J313" s="629"/>
      <c r="K313" s="630"/>
      <c r="L313" s="631"/>
      <c r="M313" s="632"/>
      <c r="N313" s="633"/>
      <c r="O313" s="634"/>
      <c r="P313" s="635"/>
      <c r="Q313" s="709"/>
      <c r="R313" s="626"/>
      <c r="S313" s="628">
        <f t="shared" si="42"/>
        <v>0</v>
      </c>
      <c r="T313" s="602"/>
      <c r="U313" s="637"/>
      <c r="V313" s="637"/>
      <c r="W313" s="637"/>
      <c r="X313" s="637"/>
      <c r="Y313" s="615"/>
      <c r="Z313" s="615"/>
    </row>
    <row r="314" spans="1:26">
      <c r="A314" s="622" t="s">
        <v>841</v>
      </c>
      <c r="B314" s="622" t="s">
        <v>402</v>
      </c>
      <c r="C314" s="623">
        <v>305</v>
      </c>
      <c r="D314" s="622" t="str">
        <f>+A314</f>
        <v>2550</v>
      </c>
      <c r="E314" s="680" t="s">
        <v>842</v>
      </c>
      <c r="F314" s="626">
        <v>-373122</v>
      </c>
      <c r="G314" s="708">
        <v>-368995.92</v>
      </c>
      <c r="H314" s="628">
        <v>-364869.83</v>
      </c>
      <c r="I314" s="628">
        <v>-360743.75</v>
      </c>
      <c r="J314" s="629">
        <v>-356617.67</v>
      </c>
      <c r="K314" s="630">
        <v>-352491.58</v>
      </c>
      <c r="L314" s="631">
        <v>-348718</v>
      </c>
      <c r="M314" s="632">
        <v>-344650.67</v>
      </c>
      <c r="N314" s="633">
        <v>-340583.33</v>
      </c>
      <c r="O314" s="634">
        <v>-336516</v>
      </c>
      <c r="P314" s="635">
        <v>-332448.67</v>
      </c>
      <c r="Q314" s="709">
        <v>-328355.33</v>
      </c>
      <c r="R314" s="626">
        <v>-324288</v>
      </c>
      <c r="S314" s="628">
        <f t="shared" si="42"/>
        <v>-348641.3125</v>
      </c>
      <c r="T314" s="602"/>
      <c r="U314" s="637"/>
      <c r="V314" s="638">
        <f>S314</f>
        <v>-348641.3125</v>
      </c>
      <c r="W314" s="637"/>
      <c r="X314" s="637"/>
      <c r="Y314" s="615"/>
      <c r="Z314" s="615"/>
    </row>
    <row r="315" spans="1:26">
      <c r="A315" s="622" t="s">
        <v>843</v>
      </c>
      <c r="B315" s="622" t="s">
        <v>402</v>
      </c>
      <c r="C315" s="623">
        <v>306</v>
      </c>
      <c r="D315" s="622" t="str">
        <f>+A315</f>
        <v>2820</v>
      </c>
      <c r="E315" s="680" t="s">
        <v>844</v>
      </c>
      <c r="F315" s="626">
        <v>-96815259.790000007</v>
      </c>
      <c r="G315" s="708">
        <v>-96798119.579999998</v>
      </c>
      <c r="H315" s="628">
        <v>-96780979.340000004</v>
      </c>
      <c r="I315" s="628">
        <v>-97223385.599999994</v>
      </c>
      <c r="J315" s="629">
        <v>-97097374.659999996</v>
      </c>
      <c r="K315" s="630">
        <v>-96971363.799999997</v>
      </c>
      <c r="L315" s="631">
        <v>-97181324.890000001</v>
      </c>
      <c r="M315" s="632">
        <v>-97111309.340000004</v>
      </c>
      <c r="N315" s="633">
        <v>-97041293.75</v>
      </c>
      <c r="O315" s="634">
        <v>-98273089.640000001</v>
      </c>
      <c r="P315" s="635">
        <v>-98347719.810000002</v>
      </c>
      <c r="Q315" s="709">
        <v>-100118820.7</v>
      </c>
      <c r="R315" s="626">
        <v>-100067346.12</v>
      </c>
      <c r="S315" s="628">
        <f t="shared" si="42"/>
        <v>-97615507.005416676</v>
      </c>
      <c r="T315" s="602"/>
      <c r="U315" s="637"/>
      <c r="V315" s="638">
        <f>S315</f>
        <v>-97615507.005416676</v>
      </c>
      <c r="W315" s="637"/>
      <c r="X315" s="637"/>
      <c r="Y315" s="615"/>
      <c r="Z315" s="615"/>
    </row>
    <row r="316" spans="1:26">
      <c r="A316" s="622" t="s">
        <v>845</v>
      </c>
      <c r="B316" s="622" t="s">
        <v>402</v>
      </c>
      <c r="C316" s="623">
        <v>307</v>
      </c>
      <c r="D316" s="622" t="str">
        <f>+A316</f>
        <v>2830</v>
      </c>
      <c r="E316" s="680" t="s">
        <v>846</v>
      </c>
      <c r="F316" s="626">
        <v>-36786388.119999997</v>
      </c>
      <c r="G316" s="708">
        <v>-36797682.920000002</v>
      </c>
      <c r="H316" s="628">
        <v>-36808977.82</v>
      </c>
      <c r="I316" s="628">
        <v>-37065961.369999997</v>
      </c>
      <c r="J316" s="629">
        <v>-37077311.259999998</v>
      </c>
      <c r="K316" s="630">
        <v>-37088661.189999998</v>
      </c>
      <c r="L316" s="631">
        <v>-37083468.740000002</v>
      </c>
      <c r="M316" s="632">
        <v>-37092066.420000002</v>
      </c>
      <c r="N316" s="633">
        <v>-37100664.079999998</v>
      </c>
      <c r="O316" s="634">
        <v>-36995176.82</v>
      </c>
      <c r="P316" s="635">
        <v>-36991101.07</v>
      </c>
      <c r="Q316" s="709">
        <v>-36987025.399999999</v>
      </c>
      <c r="R316" s="626">
        <v>-36157095.619999997</v>
      </c>
      <c r="S316" s="628">
        <f t="shared" si="42"/>
        <v>-36963319.913333334</v>
      </c>
      <c r="T316" s="602"/>
      <c r="U316" s="637"/>
      <c r="V316" s="637"/>
      <c r="W316" s="615"/>
      <c r="X316" s="638">
        <f>S316</f>
        <v>-36963319.913333334</v>
      </c>
      <c r="Y316" s="615"/>
      <c r="Z316" s="615"/>
    </row>
    <row r="317" spans="1:26">
      <c r="A317" s="622"/>
      <c r="B317" s="622"/>
      <c r="C317" s="623">
        <v>308</v>
      </c>
      <c r="D317" s="624"/>
      <c r="E317" s="680"/>
      <c r="F317" s="626"/>
      <c r="G317" s="708"/>
      <c r="H317" s="628"/>
      <c r="I317" s="628"/>
      <c r="J317" s="629"/>
      <c r="K317" s="630"/>
      <c r="L317" s="631"/>
      <c r="M317" s="632"/>
      <c r="N317" s="633"/>
      <c r="O317" s="634"/>
      <c r="P317" s="635"/>
      <c r="Q317" s="709"/>
      <c r="R317" s="626"/>
      <c r="S317" s="628">
        <f t="shared" si="42"/>
        <v>0</v>
      </c>
      <c r="T317" s="602"/>
      <c r="U317" s="637"/>
      <c r="V317" s="637"/>
      <c r="W317" s="637"/>
      <c r="X317" s="637"/>
      <c r="Y317" s="615"/>
      <c r="Z317" s="615"/>
    </row>
    <row r="318" spans="1:26">
      <c r="A318" s="622"/>
      <c r="B318" s="622"/>
      <c r="C318" s="623">
        <v>309</v>
      </c>
      <c r="D318" s="624"/>
      <c r="E318" s="680" t="s">
        <v>847</v>
      </c>
      <c r="F318" s="650">
        <f>SUM(F314:F316)</f>
        <v>-133974769.91</v>
      </c>
      <c r="G318" s="650">
        <f t="shared" ref="G318:S318" si="48">SUM(G314:G316)</f>
        <v>-133964798.42</v>
      </c>
      <c r="H318" s="650">
        <f t="shared" si="48"/>
        <v>-133954826.99000001</v>
      </c>
      <c r="I318" s="650">
        <f t="shared" si="48"/>
        <v>-134650090.72</v>
      </c>
      <c r="J318" s="650">
        <f t="shared" si="48"/>
        <v>-134531303.59</v>
      </c>
      <c r="K318" s="650">
        <f t="shared" si="48"/>
        <v>-134412516.56999999</v>
      </c>
      <c r="L318" s="650">
        <f t="shared" si="48"/>
        <v>-134613511.63</v>
      </c>
      <c r="M318" s="650">
        <f t="shared" si="48"/>
        <v>-134548026.43000001</v>
      </c>
      <c r="N318" s="650">
        <f t="shared" si="48"/>
        <v>-134482541.16</v>
      </c>
      <c r="O318" s="650">
        <f t="shared" si="48"/>
        <v>-135604782.46000001</v>
      </c>
      <c r="P318" s="650">
        <f t="shared" si="48"/>
        <v>-135671269.55000001</v>
      </c>
      <c r="Q318" s="650">
        <f t="shared" si="48"/>
        <v>-137434201.43000001</v>
      </c>
      <c r="R318" s="650">
        <f t="shared" si="48"/>
        <v>-136548729.74000001</v>
      </c>
      <c r="S318" s="650">
        <f t="shared" si="48"/>
        <v>-134927468.23125002</v>
      </c>
      <c r="T318" s="602"/>
      <c r="U318" s="637"/>
      <c r="V318" s="638"/>
      <c r="W318" s="637"/>
      <c r="X318" s="638"/>
      <c r="Y318" s="615"/>
      <c r="Z318" s="615"/>
    </row>
    <row r="319" spans="1:26">
      <c r="A319" s="622"/>
      <c r="B319" s="622"/>
      <c r="C319" s="623">
        <v>310</v>
      </c>
      <c r="D319" s="624"/>
      <c r="E319" s="680"/>
      <c r="F319" s="626"/>
      <c r="G319" s="708"/>
      <c r="H319" s="628"/>
      <c r="I319" s="628"/>
      <c r="J319" s="629"/>
      <c r="K319" s="630"/>
      <c r="L319" s="631"/>
      <c r="M319" s="632"/>
      <c r="N319" s="633"/>
      <c r="O319" s="651"/>
      <c r="P319" s="635"/>
      <c r="Q319" s="709"/>
      <c r="R319" s="626"/>
      <c r="S319" s="628">
        <f t="shared" si="42"/>
        <v>0</v>
      </c>
      <c r="T319" s="602"/>
      <c r="U319" s="637"/>
      <c r="V319" s="637"/>
      <c r="W319" s="637"/>
      <c r="X319" s="637"/>
      <c r="Y319" s="602"/>
      <c r="Z319" s="615"/>
    </row>
    <row r="320" spans="1:26">
      <c r="A320" s="622" t="s">
        <v>848</v>
      </c>
      <c r="B320" s="622" t="s">
        <v>402</v>
      </c>
      <c r="C320" s="623">
        <v>311</v>
      </c>
      <c r="D320" s="622" t="str">
        <f t="shared" ref="D320:D329" si="49">+A320</f>
        <v>4002</v>
      </c>
      <c r="E320" s="680" t="s">
        <v>849</v>
      </c>
      <c r="F320" s="626">
        <v>-259415782.06999999</v>
      </c>
      <c r="G320" s="708">
        <v>-45323066.640000001</v>
      </c>
      <c r="H320" s="628">
        <v>-80057653.469999999</v>
      </c>
      <c r="I320" s="628">
        <v>-111374897.91</v>
      </c>
      <c r="J320" s="629">
        <v>-133185623.67</v>
      </c>
      <c r="K320" s="630">
        <v>-145688899.18000001</v>
      </c>
      <c r="L320" s="631">
        <v>-156892353.78999999</v>
      </c>
      <c r="M320" s="632">
        <v>-165904168.34</v>
      </c>
      <c r="N320" s="633">
        <v>-174315533.75</v>
      </c>
      <c r="O320" s="651">
        <v>-183043818.47999999</v>
      </c>
      <c r="P320" s="635">
        <v>-194186177.81</v>
      </c>
      <c r="Q320" s="709">
        <v>-212005979.94</v>
      </c>
      <c r="R320" s="626">
        <v>-239183463.71000001</v>
      </c>
      <c r="S320" s="628">
        <f t="shared" si="42"/>
        <v>-154273149.65583333</v>
      </c>
      <c r="T320" s="602"/>
      <c r="U320" s="637"/>
      <c r="V320" s="637"/>
      <c r="W320" s="637"/>
      <c r="X320" s="637"/>
      <c r="Y320" s="602"/>
      <c r="Z320" s="615"/>
    </row>
    <row r="321" spans="1:26">
      <c r="A321" s="622" t="s">
        <v>850</v>
      </c>
      <c r="B321" s="622" t="s">
        <v>402</v>
      </c>
      <c r="C321" s="623">
        <v>312</v>
      </c>
      <c r="D321" s="622" t="str">
        <f t="shared" si="49"/>
        <v>4009</v>
      </c>
      <c r="E321" s="680" t="s">
        <v>851</v>
      </c>
      <c r="F321" s="626">
        <v>1552858.97</v>
      </c>
      <c r="G321" s="708">
        <v>4005093.48</v>
      </c>
      <c r="H321" s="628">
        <v>9465204.3399999999</v>
      </c>
      <c r="I321" s="628">
        <v>14048141.210000001</v>
      </c>
      <c r="J321" s="629">
        <v>20361817.25</v>
      </c>
      <c r="K321" s="630">
        <v>22607462.280000001</v>
      </c>
      <c r="L321" s="631">
        <v>24440311.859999999</v>
      </c>
      <c r="M321" s="632">
        <v>24895280.629999999</v>
      </c>
      <c r="N321" s="633">
        <v>25388956.489999998</v>
      </c>
      <c r="O321" s="651">
        <v>24433522.41</v>
      </c>
      <c r="P321" s="635">
        <v>18554333.449999999</v>
      </c>
      <c r="Q321" s="709">
        <v>11888891.560000001</v>
      </c>
      <c r="R321" s="626">
        <v>-3293083.96</v>
      </c>
      <c r="S321" s="628">
        <f t="shared" si="42"/>
        <v>16601575.205416664</v>
      </c>
      <c r="T321" s="602"/>
      <c r="U321" s="637"/>
      <c r="V321" s="637"/>
      <c r="W321" s="637"/>
      <c r="X321" s="637"/>
      <c r="Y321" s="602"/>
      <c r="Z321" s="615"/>
    </row>
    <row r="322" spans="1:26">
      <c r="A322" s="622" t="s">
        <v>852</v>
      </c>
      <c r="B322" s="622" t="s">
        <v>402</v>
      </c>
      <c r="C322" s="623">
        <v>313</v>
      </c>
      <c r="D322" s="622" t="str">
        <f t="shared" si="49"/>
        <v>4880</v>
      </c>
      <c r="E322" s="680" t="s">
        <v>853</v>
      </c>
      <c r="F322" s="626">
        <v>-862217.33</v>
      </c>
      <c r="G322" s="708">
        <v>-89061.94</v>
      </c>
      <c r="H322" s="628">
        <v>-207924.78</v>
      </c>
      <c r="I322" s="628">
        <v>-316588.63</v>
      </c>
      <c r="J322" s="629">
        <v>-419452.29</v>
      </c>
      <c r="K322" s="630">
        <v>-505183.22</v>
      </c>
      <c r="L322" s="631">
        <v>-595431.06999999995</v>
      </c>
      <c r="M322" s="632">
        <v>-645821.11</v>
      </c>
      <c r="N322" s="633">
        <v>-715761.13</v>
      </c>
      <c r="O322" s="651">
        <v>-776822.17</v>
      </c>
      <c r="P322" s="635">
        <v>-845295.21</v>
      </c>
      <c r="Q322" s="709">
        <v>-910819.52</v>
      </c>
      <c r="R322" s="626">
        <v>-988436.27</v>
      </c>
      <c r="S322" s="628">
        <f t="shared" si="42"/>
        <v>-579457.32250000001</v>
      </c>
      <c r="T322" s="602"/>
      <c r="U322" s="637"/>
      <c r="V322" s="637"/>
      <c r="W322" s="637"/>
      <c r="X322" s="637"/>
      <c r="Y322" s="602"/>
      <c r="Z322" s="615"/>
    </row>
    <row r="323" spans="1:26">
      <c r="A323" s="622" t="s">
        <v>134</v>
      </c>
      <c r="B323" s="622" t="s">
        <v>402</v>
      </c>
      <c r="C323" s="623">
        <v>314</v>
      </c>
      <c r="D323" s="622" t="str">
        <f t="shared" si="49"/>
        <v>4890</v>
      </c>
      <c r="E323" s="680" t="s">
        <v>854</v>
      </c>
      <c r="F323" s="626">
        <v>-24386993.02</v>
      </c>
      <c r="G323" s="708">
        <v>-2111413.48</v>
      </c>
      <c r="H323" s="628">
        <v>-4276649.83</v>
      </c>
      <c r="I323" s="628">
        <v>-6316929.8099999996</v>
      </c>
      <c r="J323" s="629">
        <v>-8265672.3399999999</v>
      </c>
      <c r="K323" s="630">
        <v>-10123298.68</v>
      </c>
      <c r="L323" s="631">
        <v>-12024600.52</v>
      </c>
      <c r="M323" s="632">
        <v>-13970366.82</v>
      </c>
      <c r="N323" s="633">
        <v>-15960514.91</v>
      </c>
      <c r="O323" s="651">
        <v>-18108253.84</v>
      </c>
      <c r="P323" s="635">
        <v>-20413780.93</v>
      </c>
      <c r="Q323" s="709">
        <v>-22680148.91</v>
      </c>
      <c r="R323" s="626">
        <v>-24926674.07</v>
      </c>
      <c r="S323" s="628">
        <f t="shared" si="42"/>
        <v>-13242371.967916667</v>
      </c>
      <c r="T323" s="602"/>
      <c r="U323" s="637"/>
      <c r="V323" s="637"/>
      <c r="W323" s="637"/>
      <c r="X323" s="637"/>
      <c r="Y323" s="602"/>
      <c r="Z323" s="615"/>
    </row>
    <row r="324" spans="1:26">
      <c r="A324" s="622" t="s">
        <v>855</v>
      </c>
      <c r="B324" s="622" t="s">
        <v>402</v>
      </c>
      <c r="C324" s="623">
        <v>315</v>
      </c>
      <c r="D324" s="622" t="str">
        <f t="shared" si="49"/>
        <v>4891</v>
      </c>
      <c r="E324" s="680" t="s">
        <v>856</v>
      </c>
      <c r="F324" s="626">
        <v>-32543.279999999999</v>
      </c>
      <c r="G324" s="708">
        <v>-48575.42</v>
      </c>
      <c r="H324" s="628">
        <v>63131.74</v>
      </c>
      <c r="I324" s="628">
        <v>161602.95000000001</v>
      </c>
      <c r="J324" s="629">
        <v>252785.47</v>
      </c>
      <c r="K324" s="630">
        <v>210634.32</v>
      </c>
      <c r="L324" s="631">
        <v>172263.25</v>
      </c>
      <c r="M324" s="632">
        <v>121606.33</v>
      </c>
      <c r="N324" s="633">
        <v>-39854.22</v>
      </c>
      <c r="O324" s="651">
        <v>-201026.47</v>
      </c>
      <c r="P324" s="635">
        <v>-163401.70000000001</v>
      </c>
      <c r="Q324" s="709">
        <v>-142826.20000000001</v>
      </c>
      <c r="R324" s="626">
        <v>-334499.83</v>
      </c>
      <c r="S324" s="628">
        <f t="shared" si="42"/>
        <v>16901.541249999998</v>
      </c>
      <c r="T324" s="602"/>
      <c r="U324" s="637"/>
      <c r="V324" s="637"/>
      <c r="W324" s="637"/>
      <c r="X324" s="637"/>
      <c r="Y324" s="602"/>
      <c r="Z324" s="615"/>
    </row>
    <row r="325" spans="1:26">
      <c r="A325" s="622" t="s">
        <v>136</v>
      </c>
      <c r="B325" s="622" t="s">
        <v>402</v>
      </c>
      <c r="C325" s="623">
        <v>316</v>
      </c>
      <c r="D325" s="622" t="str">
        <f t="shared" si="49"/>
        <v>4930</v>
      </c>
      <c r="E325" s="680" t="s">
        <v>857</v>
      </c>
      <c r="F325" s="626">
        <v>-12100</v>
      </c>
      <c r="G325" s="708">
        <v>-1000</v>
      </c>
      <c r="H325" s="628">
        <v>-2000</v>
      </c>
      <c r="I325" s="628">
        <v>-4000</v>
      </c>
      <c r="J325" s="629">
        <v>-4000</v>
      </c>
      <c r="K325" s="630">
        <v>-5100</v>
      </c>
      <c r="L325" s="631">
        <v>-6100</v>
      </c>
      <c r="M325" s="632">
        <v>-7100</v>
      </c>
      <c r="N325" s="633">
        <v>-8100</v>
      </c>
      <c r="O325" s="651">
        <v>-9100</v>
      </c>
      <c r="P325" s="635">
        <v>-10100</v>
      </c>
      <c r="Q325" s="709">
        <v>-11100</v>
      </c>
      <c r="R325" s="626">
        <v>-12100</v>
      </c>
      <c r="S325" s="628">
        <f t="shared" si="42"/>
        <v>-6650</v>
      </c>
      <c r="T325" s="602"/>
      <c r="U325" s="637"/>
      <c r="V325" s="637"/>
      <c r="W325" s="637"/>
      <c r="X325" s="637"/>
      <c r="Y325" s="602"/>
      <c r="Z325" s="615"/>
    </row>
    <row r="326" spans="1:26">
      <c r="A326" s="622" t="s">
        <v>138</v>
      </c>
      <c r="B326" s="622" t="s">
        <v>402</v>
      </c>
      <c r="C326" s="623">
        <v>317</v>
      </c>
      <c r="D326" s="622" t="str">
        <f t="shared" si="49"/>
        <v>4940</v>
      </c>
      <c r="E326" s="622" t="s">
        <v>139</v>
      </c>
      <c r="F326" s="626">
        <v>-102660</v>
      </c>
      <c r="G326" s="708">
        <v>-10127</v>
      </c>
      <c r="H326" s="628">
        <v>-20254</v>
      </c>
      <c r="I326" s="628">
        <v>-30381</v>
      </c>
      <c r="J326" s="629">
        <v>-40508</v>
      </c>
      <c r="K326" s="630">
        <v>-50635</v>
      </c>
      <c r="L326" s="631">
        <v>-60762</v>
      </c>
      <c r="M326" s="632">
        <v>-70889</v>
      </c>
      <c r="N326" s="633">
        <v>-81016</v>
      </c>
      <c r="O326" s="651">
        <v>-91143</v>
      </c>
      <c r="P326" s="635">
        <v>-101270</v>
      </c>
      <c r="Q326" s="709">
        <v>-111397</v>
      </c>
      <c r="R326" s="626">
        <v>-121524</v>
      </c>
      <c r="S326" s="628">
        <f t="shared" si="42"/>
        <v>-65039.5</v>
      </c>
      <c r="T326" s="602"/>
      <c r="U326" s="637"/>
      <c r="V326" s="637"/>
      <c r="W326" s="637"/>
      <c r="X326" s="637"/>
      <c r="Y326" s="602"/>
      <c r="Z326" s="615"/>
    </row>
    <row r="327" spans="1:26">
      <c r="A327" s="622" t="s">
        <v>140</v>
      </c>
      <c r="B327" s="622" t="s">
        <v>402</v>
      </c>
      <c r="C327" s="623">
        <v>318</v>
      </c>
      <c r="D327" s="622" t="str">
        <f t="shared" si="49"/>
        <v>4950</v>
      </c>
      <c r="E327" s="680" t="s">
        <v>858</v>
      </c>
      <c r="F327" s="626">
        <v>-285467.40999999997</v>
      </c>
      <c r="G327" s="708">
        <v>-6338.56</v>
      </c>
      <c r="H327" s="628">
        <v>-33925.410000000003</v>
      </c>
      <c r="I327" s="628">
        <v>-57596.61</v>
      </c>
      <c r="J327" s="629">
        <v>-65771.899999999994</v>
      </c>
      <c r="K327" s="630">
        <v>-75369.960000000006</v>
      </c>
      <c r="L327" s="631">
        <v>-101903.1</v>
      </c>
      <c r="M327" s="632">
        <v>-117269.58</v>
      </c>
      <c r="N327" s="633">
        <v>-125429.82</v>
      </c>
      <c r="O327" s="651">
        <v>-147744.69</v>
      </c>
      <c r="P327" s="635">
        <v>-129394.63</v>
      </c>
      <c r="Q327" s="709">
        <v>-137718.89000000001</v>
      </c>
      <c r="R327" s="626">
        <v>-152621.38</v>
      </c>
      <c r="S327" s="628">
        <f t="shared" si="42"/>
        <v>-101458.96208333335</v>
      </c>
      <c r="T327" s="602"/>
      <c r="U327" s="637"/>
      <c r="V327" s="637"/>
      <c r="W327" s="637"/>
      <c r="X327" s="637"/>
      <c r="Y327" s="602"/>
      <c r="Z327" s="615"/>
    </row>
    <row r="328" spans="1:26">
      <c r="A328" s="622" t="s">
        <v>859</v>
      </c>
      <c r="B328" s="622" t="s">
        <v>402</v>
      </c>
      <c r="C328" s="623">
        <v>319</v>
      </c>
      <c r="D328" s="622" t="str">
        <f t="shared" si="49"/>
        <v>4962</v>
      </c>
      <c r="E328" s="680" t="s">
        <v>860</v>
      </c>
      <c r="F328" s="626">
        <v>0</v>
      </c>
      <c r="G328" s="708">
        <v>0</v>
      </c>
      <c r="H328" s="628">
        <v>0</v>
      </c>
      <c r="I328" s="628">
        <v>0</v>
      </c>
      <c r="J328" s="629">
        <v>0</v>
      </c>
      <c r="K328" s="630">
        <v>0</v>
      </c>
      <c r="L328" s="631">
        <v>0</v>
      </c>
      <c r="M328" s="632">
        <v>0</v>
      </c>
      <c r="N328" s="633">
        <v>0</v>
      </c>
      <c r="O328" s="651">
        <v>0</v>
      </c>
      <c r="P328" s="635">
        <v>0</v>
      </c>
      <c r="Q328" s="709">
        <v>0</v>
      </c>
      <c r="R328" s="626">
        <v>0</v>
      </c>
      <c r="S328" s="628">
        <f t="shared" si="42"/>
        <v>0</v>
      </c>
      <c r="T328" s="602"/>
      <c r="U328" s="637"/>
      <c r="V328" s="637"/>
      <c r="W328" s="637"/>
      <c r="X328" s="637"/>
      <c r="Y328" s="602"/>
      <c r="Z328" s="615"/>
    </row>
    <row r="329" spans="1:26">
      <c r="A329" s="622" t="s">
        <v>861</v>
      </c>
      <c r="B329" s="622" t="s">
        <v>402</v>
      </c>
      <c r="C329" s="623">
        <v>320</v>
      </c>
      <c r="D329" s="622" t="str">
        <f t="shared" si="49"/>
        <v>5000</v>
      </c>
      <c r="E329" s="680" t="s">
        <v>862</v>
      </c>
      <c r="F329" s="626">
        <v>0</v>
      </c>
      <c r="G329" s="708">
        <v>0</v>
      </c>
      <c r="H329" s="628">
        <v>0</v>
      </c>
      <c r="I329" s="628">
        <v>0</v>
      </c>
      <c r="J329" s="629">
        <v>0</v>
      </c>
      <c r="K329" s="630">
        <v>0</v>
      </c>
      <c r="L329" s="631">
        <v>0</v>
      </c>
      <c r="M329" s="632">
        <v>0</v>
      </c>
      <c r="N329" s="633">
        <v>0</v>
      </c>
      <c r="O329" s="651">
        <v>0</v>
      </c>
      <c r="P329" s="635">
        <v>0</v>
      </c>
      <c r="Q329" s="709">
        <v>0</v>
      </c>
      <c r="R329" s="626">
        <v>0</v>
      </c>
      <c r="S329" s="628">
        <f t="shared" si="42"/>
        <v>0</v>
      </c>
      <c r="T329" s="602"/>
      <c r="U329" s="637"/>
      <c r="V329" s="637"/>
      <c r="W329" s="637"/>
      <c r="X329" s="637"/>
      <c r="Y329" s="615"/>
      <c r="Z329" s="615"/>
    </row>
    <row r="330" spans="1:26">
      <c r="A330" s="622"/>
      <c r="B330" s="622"/>
      <c r="C330" s="623">
        <v>321</v>
      </c>
      <c r="D330" s="624"/>
      <c r="E330" s="680" t="s">
        <v>863</v>
      </c>
      <c r="F330" s="650">
        <f>SUM(F320:F329)</f>
        <v>-283544904.13999999</v>
      </c>
      <c r="G330" s="650">
        <f t="shared" ref="G330:S330" si="50">SUM(G320:G329)</f>
        <v>-43584489.560000002</v>
      </c>
      <c r="H330" s="650">
        <f t="shared" si="50"/>
        <v>-75070071.409999996</v>
      </c>
      <c r="I330" s="650">
        <f t="shared" si="50"/>
        <v>-103890649.79999998</v>
      </c>
      <c r="J330" s="650">
        <f t="shared" si="50"/>
        <v>-121366425.48000002</v>
      </c>
      <c r="K330" s="650">
        <f t="shared" si="50"/>
        <v>-133630389.44000001</v>
      </c>
      <c r="L330" s="650">
        <f t="shared" si="50"/>
        <v>-145068575.36999997</v>
      </c>
      <c r="M330" s="650">
        <f t="shared" si="50"/>
        <v>-155698727.89000002</v>
      </c>
      <c r="N330" s="650">
        <f t="shared" si="50"/>
        <v>-165857253.33999997</v>
      </c>
      <c r="O330" s="650">
        <f t="shared" si="50"/>
        <v>-177944386.23999998</v>
      </c>
      <c r="P330" s="650">
        <f t="shared" si="50"/>
        <v>-197295086.83000001</v>
      </c>
      <c r="Q330" s="650">
        <f t="shared" si="50"/>
        <v>-224111098.89999998</v>
      </c>
      <c r="R330" s="650">
        <f t="shared" si="50"/>
        <v>-269012403.22000003</v>
      </c>
      <c r="S330" s="650">
        <f t="shared" si="50"/>
        <v>-151649650.66166669</v>
      </c>
      <c r="T330" s="606"/>
      <c r="U330" s="638">
        <f>S330</f>
        <v>-151649650.66166669</v>
      </c>
      <c r="V330" s="637"/>
      <c r="W330" s="637"/>
      <c r="X330" s="638"/>
      <c r="Y330" s="737"/>
      <c r="Z330" s="615"/>
    </row>
    <row r="331" spans="1:26">
      <c r="A331" s="622"/>
      <c r="B331" s="622"/>
      <c r="C331" s="623">
        <v>322</v>
      </c>
      <c r="D331" s="624"/>
      <c r="E331" s="680"/>
      <c r="F331" s="626"/>
      <c r="G331" s="708"/>
      <c r="H331" s="628"/>
      <c r="I331" s="628"/>
      <c r="J331" s="629"/>
      <c r="K331" s="630"/>
      <c r="L331" s="631"/>
      <c r="M331" s="632"/>
      <c r="N331" s="633"/>
      <c r="O331" s="651"/>
      <c r="P331" s="635"/>
      <c r="Q331" s="709"/>
      <c r="R331" s="626"/>
      <c r="S331" s="628">
        <f t="shared" si="42"/>
        <v>0</v>
      </c>
      <c r="T331" s="602"/>
      <c r="U331" s="637"/>
      <c r="V331" s="637"/>
      <c r="W331" s="637"/>
      <c r="X331" s="637"/>
      <c r="Y331" s="737"/>
      <c r="Z331" s="615"/>
    </row>
    <row r="332" spans="1:26">
      <c r="A332" s="622" t="s">
        <v>864</v>
      </c>
      <c r="B332" s="622" t="s">
        <v>622</v>
      </c>
      <c r="C332" s="623">
        <v>323</v>
      </c>
      <c r="D332" s="600" t="str">
        <f>A332&amp;"."&amp;B332</f>
        <v>4190.[/011]</v>
      </c>
      <c r="E332" s="622" t="s">
        <v>336</v>
      </c>
      <c r="F332" s="626">
        <v>-9071565.0700000003</v>
      </c>
      <c r="G332" s="708">
        <v>-29025.52</v>
      </c>
      <c r="H332" s="628">
        <v>-50867.63</v>
      </c>
      <c r="I332" s="628">
        <v>-107953.26</v>
      </c>
      <c r="J332" s="629">
        <v>-147646.09</v>
      </c>
      <c r="K332" s="630">
        <v>-193698.04</v>
      </c>
      <c r="L332" s="631">
        <v>-252297.46</v>
      </c>
      <c r="M332" s="632">
        <v>-307123.62</v>
      </c>
      <c r="N332" s="633">
        <v>-449347.6</v>
      </c>
      <c r="O332" s="651">
        <v>-500575.91</v>
      </c>
      <c r="P332" s="635">
        <v>-538645.17000000004</v>
      </c>
      <c r="Q332" s="709">
        <v>-565602.80000000005</v>
      </c>
      <c r="R332" s="626">
        <v>-610339.98</v>
      </c>
      <c r="S332" s="628">
        <f t="shared" ref="S332:S341" si="51">((F332+R332)+((G332+H332+I332+J332+K332+L332+M332+N332+O332+P332+Q332)*2))/24</f>
        <v>-665311.30208333337</v>
      </c>
      <c r="T332" s="602"/>
      <c r="U332" s="637"/>
      <c r="V332" s="637"/>
      <c r="W332" s="637"/>
      <c r="X332" s="637"/>
      <c r="Y332" s="602"/>
      <c r="Z332" s="615"/>
    </row>
    <row r="333" spans="1:26">
      <c r="A333" s="622" t="s">
        <v>864</v>
      </c>
      <c r="B333" s="622" t="s">
        <v>623</v>
      </c>
      <c r="C333" s="623">
        <v>324</v>
      </c>
      <c r="D333" s="600" t="str">
        <f>A333&amp;"."&amp;B333</f>
        <v>4190.011</v>
      </c>
      <c r="E333" s="622" t="s">
        <v>865</v>
      </c>
      <c r="F333" s="626">
        <v>-266466</v>
      </c>
      <c r="G333" s="708">
        <v>0</v>
      </c>
      <c r="H333" s="628">
        <v>0</v>
      </c>
      <c r="I333" s="628">
        <v>0</v>
      </c>
      <c r="J333" s="629">
        <v>0</v>
      </c>
      <c r="K333" s="630">
        <v>0</v>
      </c>
      <c r="L333" s="631">
        <v>0</v>
      </c>
      <c r="M333" s="632">
        <v>0</v>
      </c>
      <c r="N333" s="633">
        <v>0</v>
      </c>
      <c r="O333" s="651">
        <v>0</v>
      </c>
      <c r="P333" s="635">
        <v>0</v>
      </c>
      <c r="Q333" s="709">
        <v>0</v>
      </c>
      <c r="R333" s="626">
        <v>0</v>
      </c>
      <c r="S333" s="628">
        <f t="shared" si="51"/>
        <v>-11102.75</v>
      </c>
      <c r="T333" s="602"/>
      <c r="U333" s="637"/>
      <c r="V333" s="637"/>
      <c r="W333" s="637"/>
      <c r="X333" s="637"/>
      <c r="Y333" s="602"/>
      <c r="Z333" s="615"/>
    </row>
    <row r="334" spans="1:26">
      <c r="A334" s="622" t="s">
        <v>866</v>
      </c>
      <c r="B334" s="622" t="s">
        <v>402</v>
      </c>
      <c r="C334" s="623">
        <v>325</v>
      </c>
      <c r="D334" s="622" t="str">
        <f>+A334</f>
        <v>4210</v>
      </c>
      <c r="E334" s="680" t="s">
        <v>867</v>
      </c>
      <c r="F334" s="626">
        <v>-18356.8</v>
      </c>
      <c r="G334" s="708">
        <v>-874.82</v>
      </c>
      <c r="H334" s="628">
        <v>-1908.15</v>
      </c>
      <c r="I334" s="628">
        <v>-4196.79</v>
      </c>
      <c r="J334" s="629">
        <v>-6825.79</v>
      </c>
      <c r="K334" s="630">
        <v>-8774.06</v>
      </c>
      <c r="L334" s="631">
        <v>-9713.98</v>
      </c>
      <c r="M334" s="632">
        <v>-10601.3</v>
      </c>
      <c r="N334" s="633">
        <v>-12623.65</v>
      </c>
      <c r="O334" s="651">
        <v>-13521.06</v>
      </c>
      <c r="P334" s="635">
        <v>-15150.16</v>
      </c>
      <c r="Q334" s="709">
        <v>-16277.85</v>
      </c>
      <c r="R334" s="626">
        <v>-17666.43</v>
      </c>
      <c r="S334" s="628">
        <f t="shared" si="51"/>
        <v>-9873.2687500000011</v>
      </c>
      <c r="T334" s="602"/>
      <c r="U334" s="637"/>
      <c r="V334" s="637"/>
      <c r="W334" s="637"/>
      <c r="X334" s="637"/>
      <c r="Y334" s="602"/>
      <c r="Z334" s="615"/>
    </row>
    <row r="335" spans="1:26">
      <c r="A335" s="622" t="s">
        <v>868</v>
      </c>
      <c r="B335" s="622" t="s">
        <v>402</v>
      </c>
      <c r="C335" s="623">
        <v>326</v>
      </c>
      <c r="D335" s="622" t="str">
        <f>+A335</f>
        <v>4181</v>
      </c>
      <c r="E335" s="680" t="s">
        <v>869</v>
      </c>
      <c r="F335" s="626">
        <v>0</v>
      </c>
      <c r="G335" s="708">
        <v>0</v>
      </c>
      <c r="H335" s="628">
        <v>0</v>
      </c>
      <c r="I335" s="628">
        <v>0</v>
      </c>
      <c r="J335" s="629">
        <v>0</v>
      </c>
      <c r="K335" s="630">
        <v>0</v>
      </c>
      <c r="L335" s="631">
        <v>0</v>
      </c>
      <c r="M335" s="632">
        <v>0</v>
      </c>
      <c r="N335" s="633">
        <v>0</v>
      </c>
      <c r="O335" s="651">
        <v>0</v>
      </c>
      <c r="P335" s="635">
        <v>0</v>
      </c>
      <c r="Q335" s="709">
        <v>0</v>
      </c>
      <c r="R335" s="626">
        <v>0</v>
      </c>
      <c r="S335" s="628">
        <f t="shared" si="51"/>
        <v>0</v>
      </c>
      <c r="T335" s="615"/>
      <c r="U335" s="637"/>
      <c r="V335" s="637"/>
      <c r="W335" s="637"/>
      <c r="X335" s="637"/>
      <c r="Y335" s="615"/>
      <c r="Z335" s="615"/>
    </row>
    <row r="336" spans="1:26">
      <c r="A336" s="622" t="s">
        <v>870</v>
      </c>
      <c r="B336" s="622" t="s">
        <v>402</v>
      </c>
      <c r="C336" s="623">
        <v>327</v>
      </c>
      <c r="D336" s="622" t="str">
        <f>+A336</f>
        <v>4191</v>
      </c>
      <c r="E336" s="680" t="s">
        <v>871</v>
      </c>
      <c r="F336" s="626">
        <v>-461795.53</v>
      </c>
      <c r="G336" s="708">
        <v>-29021.1</v>
      </c>
      <c r="H336" s="628">
        <v>-54203.92</v>
      </c>
      <c r="I336" s="628">
        <v>-92338.3</v>
      </c>
      <c r="J336" s="629">
        <v>-91063.83</v>
      </c>
      <c r="K336" s="630">
        <v>-129349.55</v>
      </c>
      <c r="L336" s="631">
        <v>-160628.41</v>
      </c>
      <c r="M336" s="632">
        <v>-201601.98</v>
      </c>
      <c r="N336" s="633">
        <v>-250733</v>
      </c>
      <c r="O336" s="651">
        <v>-287568.37</v>
      </c>
      <c r="P336" s="635">
        <v>-311815.55</v>
      </c>
      <c r="Q336" s="709">
        <v>-336889.55</v>
      </c>
      <c r="R336" s="626">
        <v>-361161.84</v>
      </c>
      <c r="S336" s="628">
        <f t="shared" si="51"/>
        <v>-196391.02041666667</v>
      </c>
      <c r="T336" s="615"/>
      <c r="U336" s="637"/>
      <c r="V336" s="637"/>
      <c r="W336" s="637"/>
      <c r="X336" s="637"/>
      <c r="Y336" s="615"/>
      <c r="Z336" s="615"/>
    </row>
    <row r="337" spans="1:26">
      <c r="A337" s="622" t="s">
        <v>872</v>
      </c>
      <c r="B337" s="622" t="s">
        <v>402</v>
      </c>
      <c r="C337" s="623">
        <v>328</v>
      </c>
      <c r="D337" s="622" t="str">
        <f>+A337</f>
        <v>4320</v>
      </c>
      <c r="E337" s="680" t="s">
        <v>873</v>
      </c>
      <c r="F337" s="626">
        <v>-301152.05</v>
      </c>
      <c r="G337" s="708">
        <v>-22929.03</v>
      </c>
      <c r="H337" s="628">
        <v>-42826.400000000001</v>
      </c>
      <c r="I337" s="628">
        <v>-72947.17</v>
      </c>
      <c r="J337" s="629">
        <v>-72054</v>
      </c>
      <c r="K337" s="630">
        <v>-102293.68</v>
      </c>
      <c r="L337" s="631">
        <v>-127016.07</v>
      </c>
      <c r="M337" s="632">
        <v>-159387.71</v>
      </c>
      <c r="N337" s="633">
        <v>-198194.02</v>
      </c>
      <c r="O337" s="651">
        <v>-227335.52</v>
      </c>
      <c r="P337" s="635">
        <v>-246439.59</v>
      </c>
      <c r="Q337" s="709">
        <v>-266243.59000000003</v>
      </c>
      <c r="R337" s="626">
        <v>-284974.61</v>
      </c>
      <c r="S337" s="628">
        <f t="shared" si="51"/>
        <v>-152560.8425</v>
      </c>
      <c r="T337" s="615"/>
      <c r="U337" s="637"/>
      <c r="V337" s="637"/>
      <c r="W337" s="637"/>
      <c r="X337" s="637"/>
      <c r="Y337" s="615"/>
      <c r="Z337" s="615"/>
    </row>
    <row r="338" spans="1:26">
      <c r="A338" s="622" t="s">
        <v>874</v>
      </c>
      <c r="B338" s="622" t="s">
        <v>402</v>
      </c>
      <c r="C338" s="623">
        <v>329</v>
      </c>
      <c r="D338" s="622" t="str">
        <f>+A338</f>
        <v>4170</v>
      </c>
      <c r="E338" s="680" t="s">
        <v>875</v>
      </c>
      <c r="F338" s="626">
        <v>-9824.85</v>
      </c>
      <c r="G338" s="708">
        <v>-619.09</v>
      </c>
      <c r="H338" s="628">
        <v>-963.86</v>
      </c>
      <c r="I338" s="628">
        <v>-1577.61</v>
      </c>
      <c r="J338" s="629">
        <v>-2193.21</v>
      </c>
      <c r="K338" s="630">
        <v>-2193.21</v>
      </c>
      <c r="L338" s="631">
        <v>-2193.21</v>
      </c>
      <c r="M338" s="632">
        <v>-2376.23</v>
      </c>
      <c r="N338" s="633">
        <v>-2619.19</v>
      </c>
      <c r="O338" s="651">
        <v>-3557.12</v>
      </c>
      <c r="P338" s="635">
        <v>-4236.55</v>
      </c>
      <c r="Q338" s="709">
        <v>-4896.0200000000004</v>
      </c>
      <c r="R338" s="626">
        <v>-6275.73</v>
      </c>
      <c r="S338" s="628">
        <f t="shared" si="51"/>
        <v>-2956.2991666666662</v>
      </c>
      <c r="T338" s="615"/>
      <c r="U338" s="637"/>
      <c r="V338" s="637"/>
      <c r="W338" s="637"/>
      <c r="X338" s="637"/>
      <c r="Y338" s="615"/>
      <c r="Z338" s="615"/>
    </row>
    <row r="339" spans="1:26">
      <c r="A339" s="598"/>
      <c r="B339" s="598"/>
      <c r="C339" s="623">
        <v>330</v>
      </c>
      <c r="D339" s="600"/>
      <c r="E339" s="680"/>
      <c r="F339" s="626"/>
      <c r="G339" s="708"/>
      <c r="H339" s="628"/>
      <c r="I339" s="628"/>
      <c r="J339" s="629"/>
      <c r="K339" s="630"/>
      <c r="L339" s="631"/>
      <c r="M339" s="632"/>
      <c r="N339" s="633"/>
      <c r="O339" s="651"/>
      <c r="P339" s="635"/>
      <c r="Q339" s="709"/>
      <c r="R339" s="626"/>
      <c r="S339" s="628">
        <f t="shared" si="51"/>
        <v>0</v>
      </c>
      <c r="T339" s="615"/>
      <c r="U339" s="637"/>
      <c r="V339" s="637"/>
      <c r="W339" s="637"/>
      <c r="X339" s="637"/>
      <c r="Y339" s="615"/>
      <c r="Z339" s="615"/>
    </row>
    <row r="340" spans="1:26">
      <c r="A340" s="598"/>
      <c r="B340" s="598"/>
      <c r="C340" s="623">
        <v>331</v>
      </c>
      <c r="D340" s="600"/>
      <c r="E340" s="680" t="s">
        <v>876</v>
      </c>
      <c r="F340" s="650">
        <f>SUM(F332:F338)</f>
        <v>-10129160.300000001</v>
      </c>
      <c r="G340" s="650">
        <f t="shared" ref="G340:S340" si="52">SUM(G332:G338)</f>
        <v>-82469.56</v>
      </c>
      <c r="H340" s="650">
        <f t="shared" si="52"/>
        <v>-150769.96</v>
      </c>
      <c r="I340" s="650">
        <f t="shared" si="52"/>
        <v>-279013.12999999995</v>
      </c>
      <c r="J340" s="650">
        <f t="shared" si="52"/>
        <v>-319782.92000000004</v>
      </c>
      <c r="K340" s="650">
        <f t="shared" si="52"/>
        <v>-436308.54000000004</v>
      </c>
      <c r="L340" s="650">
        <f t="shared" si="52"/>
        <v>-551849.12999999989</v>
      </c>
      <c r="M340" s="650">
        <f t="shared" si="52"/>
        <v>-681090.84</v>
      </c>
      <c r="N340" s="650">
        <f t="shared" si="52"/>
        <v>-913517.46</v>
      </c>
      <c r="O340" s="650">
        <f t="shared" si="52"/>
        <v>-1032557.98</v>
      </c>
      <c r="P340" s="650">
        <f t="shared" si="52"/>
        <v>-1116287.0200000003</v>
      </c>
      <c r="Q340" s="650">
        <f t="shared" si="52"/>
        <v>-1189909.81</v>
      </c>
      <c r="R340" s="650">
        <f t="shared" si="52"/>
        <v>-1280418.5899999999</v>
      </c>
      <c r="S340" s="650">
        <f t="shared" si="52"/>
        <v>-1038195.4829166668</v>
      </c>
      <c r="T340" s="615"/>
      <c r="U340" s="638">
        <f>S340</f>
        <v>-1038195.4829166668</v>
      </c>
      <c r="V340" s="637"/>
      <c r="W340" s="637"/>
      <c r="X340" s="638"/>
      <c r="Y340" s="615"/>
      <c r="Z340" s="615"/>
    </row>
    <row r="341" spans="1:26">
      <c r="A341" s="598"/>
      <c r="B341" s="598"/>
      <c r="C341" s="623">
        <v>332</v>
      </c>
      <c r="D341" s="600"/>
      <c r="E341" s="680"/>
      <c r="F341" s="626"/>
      <c r="G341" s="708"/>
      <c r="H341" s="628"/>
      <c r="I341" s="628"/>
      <c r="J341" s="629"/>
      <c r="K341" s="630"/>
      <c r="L341" s="631"/>
      <c r="M341" s="632"/>
      <c r="N341" s="633"/>
      <c r="O341" s="651"/>
      <c r="P341" s="635"/>
      <c r="Q341" s="709"/>
      <c r="R341" s="626"/>
      <c r="S341" s="628">
        <f t="shared" si="51"/>
        <v>0</v>
      </c>
      <c r="T341" s="615"/>
      <c r="U341" s="602"/>
      <c r="V341" s="602"/>
      <c r="W341" s="602"/>
      <c r="X341" s="602"/>
      <c r="Y341" s="615"/>
      <c r="Z341" s="615"/>
    </row>
    <row r="342" spans="1:26" ht="16.2" thickBot="1">
      <c r="A342" s="598"/>
      <c r="B342" s="598"/>
      <c r="C342" s="623">
        <v>333</v>
      </c>
      <c r="D342" s="600"/>
      <c r="E342" s="680" t="s">
        <v>877</v>
      </c>
      <c r="F342" s="728">
        <f>+F340+F330+F318+F312+F295+F275+F274+F273+F272+F271+F270+F269+F268+F266+F234+F213</f>
        <v>-957808188.96000004</v>
      </c>
      <c r="G342" s="728">
        <f t="shared" ref="G342:S342" si="53">+G340+G330+G318+G312+G295+G275+G274+G273+G272+G271+G270+G269+G268+G266+G234+G213</f>
        <v>-702758578.59000003</v>
      </c>
      <c r="H342" s="728">
        <f t="shared" si="53"/>
        <v>-735000254.90999997</v>
      </c>
      <c r="I342" s="728">
        <f t="shared" si="53"/>
        <v>-765442960.05999994</v>
      </c>
      <c r="J342" s="728">
        <f t="shared" si="53"/>
        <v>-772363559.81000018</v>
      </c>
      <c r="K342" s="728">
        <f t="shared" si="53"/>
        <v>-787640044.00999999</v>
      </c>
      <c r="L342" s="728">
        <f t="shared" si="53"/>
        <v>-797992253.01000011</v>
      </c>
      <c r="M342" s="728">
        <f t="shared" si="53"/>
        <v>-804112169.55000007</v>
      </c>
      <c r="N342" s="728">
        <f t="shared" si="53"/>
        <v>-813852966.13999999</v>
      </c>
      <c r="O342" s="728">
        <f t="shared" si="53"/>
        <v>-825107690.84000003</v>
      </c>
      <c r="P342" s="728">
        <f t="shared" si="53"/>
        <v>-852872870.34000003</v>
      </c>
      <c r="Q342" s="728">
        <f t="shared" si="53"/>
        <v>-886611525.82000005</v>
      </c>
      <c r="R342" s="728">
        <f t="shared" si="53"/>
        <v>-945811407.7700001</v>
      </c>
      <c r="S342" s="728">
        <f t="shared" si="53"/>
        <v>-807963722.62041676</v>
      </c>
      <c r="T342" s="602" t="s">
        <v>878</v>
      </c>
      <c r="U342" s="738">
        <f>SUM(U10:U341)</f>
        <v>-401629941.89166671</v>
      </c>
      <c r="V342" s="738">
        <f>SUM(V10:V341)</f>
        <v>333641208.78666663</v>
      </c>
      <c r="W342" s="738">
        <f>SUM(W10:W341)</f>
        <v>31260829.359166674</v>
      </c>
      <c r="X342" s="738">
        <f>SUM(X10:X341)</f>
        <v>36727903.7458333</v>
      </c>
      <c r="Y342" s="737"/>
      <c r="Z342" s="615"/>
    </row>
    <row r="343" spans="1:26" ht="16.2" thickTop="1">
      <c r="A343" s="598"/>
      <c r="B343" s="598"/>
      <c r="C343" s="623">
        <v>334</v>
      </c>
      <c r="D343" s="600"/>
      <c r="E343" s="680"/>
      <c r="F343" s="625"/>
      <c r="G343" s="625"/>
      <c r="H343" s="625"/>
      <c r="I343" s="625"/>
      <c r="J343" s="625"/>
      <c r="K343" s="625"/>
      <c r="L343" s="625"/>
      <c r="M343" s="625"/>
      <c r="N343" s="625"/>
      <c r="O343" s="625"/>
      <c r="P343" s="625"/>
      <c r="Q343" s="625"/>
      <c r="R343" s="625"/>
      <c r="S343" s="625"/>
      <c r="T343" s="606" t="s">
        <v>879</v>
      </c>
      <c r="U343" s="738"/>
      <c r="V343" s="738"/>
      <c r="W343" s="739">
        <f>W342+V342</f>
        <v>364902038.14583331</v>
      </c>
      <c r="X343" s="738"/>
      <c r="Y343" s="615"/>
      <c r="Z343" s="615"/>
    </row>
    <row r="344" spans="1:26">
      <c r="A344" s="598"/>
      <c r="B344" s="598"/>
      <c r="C344" s="623">
        <v>335</v>
      </c>
      <c r="D344" s="740"/>
      <c r="E344" s="680"/>
      <c r="F344" s="605"/>
      <c r="G344" s="605"/>
      <c r="H344" s="605"/>
      <c r="I344" s="605"/>
      <c r="J344" s="605"/>
      <c r="K344" s="605"/>
      <c r="L344" s="605"/>
      <c r="M344" s="605"/>
      <c r="N344" s="605"/>
      <c r="O344" s="605"/>
      <c r="P344" s="605"/>
      <c r="Q344" s="605"/>
      <c r="S344" s="625"/>
      <c r="T344" s="602" t="s">
        <v>880</v>
      </c>
      <c r="U344" s="737"/>
      <c r="V344" s="615"/>
      <c r="W344" s="741" t="s">
        <v>984</v>
      </c>
      <c r="X344" s="742">
        <f>X342/W343</f>
        <v>0.10065140751873512</v>
      </c>
      <c r="Y344" s="615"/>
      <c r="Z344" s="615"/>
    </row>
    <row r="345" spans="1:26">
      <c r="A345" s="605"/>
      <c r="B345" s="605"/>
      <c r="C345" s="613"/>
      <c r="D345" s="605"/>
      <c r="E345" s="605"/>
      <c r="F345" s="600"/>
      <c r="G345" s="605"/>
      <c r="H345" s="605"/>
      <c r="I345" s="605"/>
      <c r="J345" s="605"/>
      <c r="K345" s="605"/>
      <c r="L345" s="605"/>
      <c r="M345" s="605"/>
      <c r="N345" s="605"/>
      <c r="O345" s="605"/>
      <c r="P345" s="605"/>
      <c r="Q345" s="605"/>
      <c r="R345" s="605"/>
      <c r="S345" s="600"/>
      <c r="T345" s="624"/>
      <c r="U345" s="615"/>
      <c r="V345" s="605"/>
      <c r="W345" s="605"/>
      <c r="X345" s="605"/>
      <c r="Y345" s="600"/>
      <c r="Z345" s="615"/>
    </row>
    <row r="346" spans="1:26">
      <c r="A346" s="605"/>
      <c r="B346" s="605"/>
      <c r="C346" s="613"/>
      <c r="D346" s="605"/>
      <c r="E346" s="605"/>
      <c r="F346" s="600"/>
      <c r="G346" s="605"/>
      <c r="H346" s="605"/>
      <c r="I346" s="605"/>
      <c r="J346" s="605"/>
      <c r="K346" s="605"/>
      <c r="L346" s="605"/>
      <c r="M346" s="605"/>
      <c r="N346" s="605"/>
      <c r="O346" s="605"/>
      <c r="P346" s="605"/>
      <c r="Q346" s="605"/>
      <c r="R346" s="605"/>
      <c r="S346" s="600"/>
      <c r="T346" s="624"/>
      <c r="U346" s="615"/>
      <c r="V346" s="605"/>
      <c r="W346" s="605"/>
      <c r="X346" s="605"/>
      <c r="Y346" s="600"/>
      <c r="Z346" s="615"/>
    </row>
    <row r="347" spans="1:26">
      <c r="A347" s="605"/>
      <c r="B347" s="605"/>
      <c r="C347" s="613"/>
      <c r="D347" s="605"/>
      <c r="E347" s="605"/>
      <c r="F347" s="600"/>
      <c r="G347" s="605"/>
      <c r="H347" s="605"/>
      <c r="I347" s="605"/>
      <c r="J347" s="605"/>
      <c r="K347" s="605"/>
      <c r="L347" s="605"/>
      <c r="M347" s="605"/>
      <c r="N347" s="605"/>
      <c r="O347" s="605"/>
      <c r="P347" s="605"/>
      <c r="Q347" s="605"/>
      <c r="R347" s="605"/>
      <c r="S347" s="600"/>
      <c r="T347" s="624"/>
      <c r="U347" s="615"/>
      <c r="V347" s="605"/>
      <c r="W347" s="605"/>
      <c r="X347" s="605"/>
      <c r="Y347" s="600"/>
      <c r="Z347" s="615"/>
    </row>
    <row r="348" spans="1:26">
      <c r="A348" s="605"/>
      <c r="B348" s="605"/>
      <c r="C348" s="613"/>
      <c r="D348" s="605"/>
      <c r="E348" s="605"/>
      <c r="F348" s="605"/>
      <c r="G348" s="605"/>
      <c r="H348" s="605"/>
      <c r="I348" s="600"/>
      <c r="J348" s="605"/>
      <c r="K348" s="605"/>
      <c r="L348" s="605"/>
      <c r="M348" s="605"/>
      <c r="N348" s="605"/>
      <c r="O348" s="605"/>
      <c r="P348" s="605"/>
      <c r="Q348" s="605"/>
      <c r="R348" s="605"/>
      <c r="S348" s="600"/>
      <c r="T348" s="624"/>
      <c r="U348" s="615"/>
      <c r="V348" s="605"/>
      <c r="W348" s="605"/>
      <c r="X348" s="605"/>
      <c r="Y348" s="600"/>
      <c r="Z348" s="615"/>
    </row>
    <row r="349" spans="1:26">
      <c r="A349" s="605"/>
      <c r="B349" s="605"/>
      <c r="C349" s="613"/>
      <c r="D349" s="605"/>
      <c r="E349" s="605"/>
      <c r="F349" s="605"/>
      <c r="G349" s="605"/>
      <c r="H349" s="605"/>
      <c r="I349" s="600"/>
      <c r="J349" s="605"/>
      <c r="K349" s="605"/>
      <c r="L349" s="605"/>
      <c r="M349" s="605"/>
      <c r="N349" s="605"/>
      <c r="O349" s="605"/>
      <c r="P349" s="605"/>
      <c r="Q349" s="605"/>
      <c r="R349" s="605"/>
      <c r="S349" s="600"/>
      <c r="T349" s="624"/>
      <c r="U349" s="615"/>
      <c r="V349" s="605"/>
      <c r="W349" s="605"/>
      <c r="X349" s="605"/>
      <c r="Y349" s="600"/>
      <c r="Z349" s="615"/>
    </row>
    <row r="350" spans="1:26">
      <c r="A350" s="605"/>
      <c r="B350" s="605"/>
      <c r="C350" s="613"/>
      <c r="D350" s="605"/>
      <c r="E350" s="605"/>
      <c r="F350" s="605"/>
      <c r="G350" s="605"/>
      <c r="H350" s="605"/>
      <c r="I350" s="605"/>
      <c r="J350" s="605"/>
      <c r="K350" s="605"/>
      <c r="L350" s="605"/>
      <c r="M350" s="600"/>
      <c r="N350" s="605"/>
      <c r="O350" s="605"/>
      <c r="P350" s="605"/>
      <c r="Q350" s="605"/>
      <c r="R350" s="605"/>
      <c r="S350" s="600"/>
      <c r="T350" s="624"/>
      <c r="U350" s="615"/>
      <c r="V350" s="605"/>
      <c r="W350" s="605"/>
      <c r="X350" s="605"/>
      <c r="Y350" s="600"/>
      <c r="Z350" s="615"/>
    </row>
    <row r="351" spans="1:26">
      <c r="A351" s="605"/>
      <c r="B351" s="605"/>
      <c r="C351" s="613"/>
      <c r="D351" s="605"/>
      <c r="E351" s="605"/>
      <c r="F351" s="605"/>
      <c r="G351" s="605"/>
      <c r="H351" s="605"/>
      <c r="I351" s="605"/>
      <c r="J351" s="605"/>
      <c r="K351" s="605"/>
      <c r="L351" s="605"/>
      <c r="M351" s="600"/>
      <c r="N351" s="605"/>
      <c r="O351" s="605"/>
      <c r="P351" s="605"/>
      <c r="Q351" s="605"/>
      <c r="R351" s="605"/>
      <c r="S351" s="600"/>
      <c r="T351" s="624"/>
      <c r="U351" s="615"/>
      <c r="V351" s="605"/>
      <c r="W351" s="605"/>
      <c r="X351" s="605"/>
      <c r="Y351" s="600"/>
      <c r="Z351" s="615"/>
    </row>
    <row r="352" spans="1:26">
      <c r="A352" s="605"/>
      <c r="B352" s="605"/>
      <c r="C352" s="613"/>
      <c r="D352" s="605"/>
      <c r="E352" s="605"/>
      <c r="F352" s="605"/>
      <c r="G352" s="605"/>
      <c r="H352" s="605"/>
      <c r="I352" s="605"/>
      <c r="J352" s="605"/>
      <c r="K352" s="605"/>
      <c r="L352" s="605"/>
      <c r="M352" s="605"/>
      <c r="N352" s="600"/>
      <c r="O352" s="605"/>
      <c r="P352" s="605"/>
      <c r="Q352" s="605"/>
      <c r="R352" s="605"/>
      <c r="S352" s="600"/>
      <c r="T352" s="624"/>
      <c r="U352" s="624"/>
      <c r="V352" s="600"/>
      <c r="W352" s="600"/>
      <c r="X352" s="600"/>
      <c r="Y352" s="600"/>
      <c r="Z352" s="615"/>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87"/>
  <sheetViews>
    <sheetView view="pageLayout" zoomScaleNormal="100" zoomScaleSheetLayoutView="100" workbookViewId="0">
      <selection activeCell="C7" sqref="C7"/>
    </sheetView>
  </sheetViews>
  <sheetFormatPr defaultColWidth="9.109375" defaultRowHeight="15.6"/>
  <cols>
    <col min="1" max="1" width="9.33203125" style="16" bestFit="1" customWidth="1"/>
    <col min="2" max="2" width="9.33203125" style="3" bestFit="1" customWidth="1"/>
    <col min="3" max="3" width="44.33203125" style="3" customWidth="1"/>
    <col min="4" max="4" width="2.6640625" style="3" customWidth="1"/>
    <col min="5" max="5" width="17.109375" style="3" bestFit="1" customWidth="1"/>
    <col min="6" max="6" width="16.44140625" style="3" bestFit="1" customWidth="1"/>
    <col min="7" max="7" width="16.88671875" style="3" bestFit="1" customWidth="1"/>
    <col min="8" max="8" width="14.109375" style="3" customWidth="1"/>
    <col min="9" max="9" width="15.6640625" style="68" bestFit="1" customWidth="1"/>
    <col min="10" max="10" width="12.33203125" style="68" bestFit="1" customWidth="1"/>
    <col min="11" max="11" width="14.5546875" style="212" bestFit="1" customWidth="1"/>
    <col min="12" max="13" width="13.88671875" style="68" bestFit="1" customWidth="1"/>
    <col min="14" max="14" width="13.5546875" style="998" bestFit="1" customWidth="1"/>
    <col min="15" max="15" width="13.5546875" style="68" bestFit="1" customWidth="1"/>
    <col min="16" max="16" width="13.88671875" style="68" bestFit="1" customWidth="1"/>
    <col min="17" max="17" width="13.6640625" style="68" customWidth="1"/>
    <col min="18" max="18" width="15.44140625" style="211" bestFit="1" customWidth="1"/>
    <col min="19" max="19" width="13.5546875" style="68" bestFit="1" customWidth="1"/>
    <col min="20" max="20" width="13" style="68" customWidth="1"/>
    <col min="21" max="21" width="14.5546875" style="68" bestFit="1" customWidth="1"/>
    <col min="22" max="23" width="2.109375" style="3" customWidth="1"/>
    <col min="24" max="24" width="15.6640625" style="3" bestFit="1" customWidth="1"/>
    <col min="25" max="25" width="17" style="3" bestFit="1" customWidth="1"/>
    <col min="26" max="16384" width="9.109375" style="3"/>
  </cols>
  <sheetData>
    <row r="1" spans="1:25">
      <c r="C1" s="1229" t="s">
        <v>54</v>
      </c>
      <c r="D1" s="1229"/>
      <c r="E1" s="1229"/>
      <c r="F1" s="1229"/>
      <c r="G1" s="1229"/>
      <c r="K1" s="1229" t="s">
        <v>54</v>
      </c>
      <c r="L1" s="1229"/>
      <c r="M1" s="1229"/>
      <c r="N1" s="1229"/>
      <c r="O1" s="1229"/>
      <c r="S1" s="1229" t="s">
        <v>54</v>
      </c>
      <c r="T1" s="1229"/>
      <c r="U1" s="1229"/>
      <c r="V1" s="1229"/>
      <c r="W1" s="1229"/>
    </row>
    <row r="2" spans="1:25">
      <c r="C2" s="1229" t="s">
        <v>1261</v>
      </c>
      <c r="D2" s="1229"/>
      <c r="E2" s="1229"/>
      <c r="F2" s="1229"/>
      <c r="G2" s="1229"/>
      <c r="K2" s="1229" t="s">
        <v>1261</v>
      </c>
      <c r="L2" s="1229"/>
      <c r="M2" s="1229"/>
      <c r="N2" s="1229"/>
      <c r="O2" s="1229"/>
      <c r="S2" s="1229" t="s">
        <v>1261</v>
      </c>
      <c r="T2" s="1229"/>
      <c r="U2" s="1229"/>
      <c r="V2" s="1229"/>
      <c r="W2" s="1229"/>
    </row>
    <row r="3" spans="1:25">
      <c r="C3" s="1229"/>
      <c r="D3" s="1229"/>
      <c r="E3" s="1229"/>
      <c r="F3" s="1229"/>
      <c r="G3" s="1229"/>
      <c r="K3" s="1229"/>
      <c r="L3" s="1229"/>
      <c r="M3" s="1229"/>
      <c r="N3" s="1229"/>
      <c r="O3" s="1229"/>
      <c r="S3" s="1229"/>
      <c r="T3" s="1229"/>
      <c r="U3" s="1229"/>
      <c r="V3" s="1229"/>
      <c r="W3" s="1229"/>
    </row>
    <row r="4" spans="1:25">
      <c r="C4" s="1229" t="s">
        <v>1621</v>
      </c>
      <c r="D4" s="1229"/>
      <c r="E4" s="1229"/>
      <c r="F4" s="1229"/>
      <c r="G4" s="1229"/>
      <c r="K4" s="1229" t="s">
        <v>1244</v>
      </c>
      <c r="L4" s="1229"/>
      <c r="M4" s="1229"/>
      <c r="N4" s="1229"/>
      <c r="O4" s="1229"/>
      <c r="S4" s="1229" t="s">
        <v>1244</v>
      </c>
      <c r="T4" s="1229"/>
      <c r="U4" s="1229"/>
      <c r="V4" s="1229"/>
      <c r="W4" s="1229"/>
    </row>
    <row r="5" spans="1:25">
      <c r="C5" s="1229" t="s">
        <v>953</v>
      </c>
      <c r="D5" s="1229"/>
      <c r="E5" s="1229"/>
      <c r="F5" s="1229"/>
      <c r="G5" s="1229"/>
      <c r="K5" s="1229" t="s">
        <v>953</v>
      </c>
      <c r="L5" s="1229"/>
      <c r="M5" s="1229"/>
      <c r="N5" s="1229"/>
      <c r="O5" s="1229"/>
      <c r="S5" s="1229" t="s">
        <v>953</v>
      </c>
      <c r="T5" s="1229"/>
      <c r="U5" s="1229"/>
      <c r="V5" s="1229"/>
      <c r="W5" s="1229"/>
    </row>
    <row r="7" spans="1:25" s="16" customFormat="1">
      <c r="A7" s="16" t="s">
        <v>1538</v>
      </c>
      <c r="B7" s="16" t="s">
        <v>1272</v>
      </c>
      <c r="C7" s="16" t="s">
        <v>1270</v>
      </c>
      <c r="E7" s="16" t="s">
        <v>1271</v>
      </c>
      <c r="F7" s="16" t="s">
        <v>1274</v>
      </c>
      <c r="G7" s="16" t="s">
        <v>1275</v>
      </c>
      <c r="H7" s="16" t="s">
        <v>1276</v>
      </c>
      <c r="I7" s="213" t="s">
        <v>1277</v>
      </c>
      <c r="J7" s="213" t="s">
        <v>1278</v>
      </c>
      <c r="K7" s="214" t="s">
        <v>1279</v>
      </c>
      <c r="L7" s="213" t="s">
        <v>1280</v>
      </c>
      <c r="M7" s="213" t="s">
        <v>1281</v>
      </c>
      <c r="N7" s="997" t="s">
        <v>1282</v>
      </c>
      <c r="O7" s="213" t="s">
        <v>1283</v>
      </c>
      <c r="P7" s="213" t="s">
        <v>1284</v>
      </c>
      <c r="Q7" s="213" t="s">
        <v>1285</v>
      </c>
      <c r="R7" s="215" t="s">
        <v>1539</v>
      </c>
      <c r="S7" s="213" t="s">
        <v>1540</v>
      </c>
      <c r="T7" s="213" t="s">
        <v>1541</v>
      </c>
      <c r="U7" s="213" t="s">
        <v>1542</v>
      </c>
      <c r="X7" s="213" t="s">
        <v>1543</v>
      </c>
      <c r="Y7" s="213" t="s">
        <v>1544</v>
      </c>
    </row>
    <row r="8" spans="1:25" ht="31.2">
      <c r="A8" s="16">
        <v>1</v>
      </c>
      <c r="B8" s="210" t="s">
        <v>1244</v>
      </c>
      <c r="C8" s="216"/>
      <c r="D8" s="217"/>
      <c r="E8" s="218"/>
      <c r="F8" s="219" t="s">
        <v>113</v>
      </c>
      <c r="G8" s="219" t="s">
        <v>114</v>
      </c>
      <c r="H8" s="219" t="s">
        <v>115</v>
      </c>
    </row>
    <row r="9" spans="1:25">
      <c r="A9" s="16">
        <v>2</v>
      </c>
      <c r="B9" s="120" t="s">
        <v>954</v>
      </c>
      <c r="C9" s="118"/>
      <c r="D9" s="217"/>
      <c r="E9" s="220" t="s">
        <v>116</v>
      </c>
      <c r="F9" s="221">
        <f>+'State Allocation Formulas'!C21</f>
        <v>0.75280000000000002</v>
      </c>
      <c r="G9" s="222">
        <f>+'State Allocation Formulas'!C16</f>
        <v>0.74880000000000002</v>
      </c>
      <c r="H9" s="222">
        <f>+'State Allocation Formulas'!T21</f>
        <v>0.76549999999999996</v>
      </c>
    </row>
    <row r="10" spans="1:25">
      <c r="A10" s="16">
        <v>3</v>
      </c>
      <c r="B10" s="120"/>
      <c r="C10" s="118"/>
      <c r="D10" s="217"/>
      <c r="E10" s="220" t="s">
        <v>117</v>
      </c>
      <c r="F10" s="221">
        <f>+'State Allocation Formulas'!D21</f>
        <v>0.2472</v>
      </c>
      <c r="G10" s="222">
        <f>+'State Allocation Formulas'!D16</f>
        <v>0.25119999999999998</v>
      </c>
      <c r="H10" s="222">
        <f>+'State Allocation Formulas'!T22</f>
        <v>0.23450000000000004</v>
      </c>
      <c r="I10" s="223" t="s">
        <v>881</v>
      </c>
      <c r="J10" s="223" t="s">
        <v>55</v>
      </c>
      <c r="K10" s="224" t="s">
        <v>943</v>
      </c>
      <c r="L10" s="223" t="s">
        <v>1012</v>
      </c>
      <c r="M10" s="223" t="s">
        <v>57</v>
      </c>
      <c r="N10" s="999" t="s">
        <v>901</v>
      </c>
      <c r="O10" s="225" t="s">
        <v>944</v>
      </c>
      <c r="P10" s="225" t="s">
        <v>60</v>
      </c>
      <c r="Q10" s="137" t="s">
        <v>901</v>
      </c>
      <c r="R10" s="226" t="s">
        <v>989</v>
      </c>
      <c r="S10" s="225" t="s">
        <v>1023</v>
      </c>
      <c r="T10" s="137" t="s">
        <v>1027</v>
      </c>
      <c r="U10" s="225" t="s">
        <v>901</v>
      </c>
      <c r="V10" s="137"/>
      <c r="X10" s="227" t="s">
        <v>52</v>
      </c>
      <c r="Y10" s="227" t="s">
        <v>901</v>
      </c>
    </row>
    <row r="11" spans="1:25">
      <c r="A11" s="228">
        <v>4</v>
      </c>
      <c r="B11" s="1220" t="s">
        <v>118</v>
      </c>
      <c r="C11" s="1221"/>
      <c r="D11" s="217"/>
      <c r="E11" s="1224" t="s">
        <v>119</v>
      </c>
      <c r="F11" s="1225"/>
      <c r="G11" s="1225"/>
      <c r="I11" s="229" t="s">
        <v>882</v>
      </c>
      <c r="J11" s="229" t="s">
        <v>51</v>
      </c>
      <c r="K11" s="230" t="s">
        <v>76</v>
      </c>
      <c r="L11" s="229" t="s">
        <v>1013</v>
      </c>
      <c r="M11" s="229" t="s">
        <v>58</v>
      </c>
      <c r="N11" s="1000" t="s">
        <v>905</v>
      </c>
      <c r="O11" s="231" t="s">
        <v>59</v>
      </c>
      <c r="P11" s="231" t="s">
        <v>61</v>
      </c>
      <c r="Q11" s="143" t="s">
        <v>1025</v>
      </c>
      <c r="R11" s="232" t="s">
        <v>990</v>
      </c>
      <c r="S11" s="231" t="s">
        <v>1008</v>
      </c>
      <c r="T11" s="143" t="s">
        <v>56</v>
      </c>
      <c r="U11" s="231" t="s">
        <v>940</v>
      </c>
      <c r="V11" s="143"/>
      <c r="X11" s="227" t="s">
        <v>1</v>
      </c>
      <c r="Y11" s="227" t="s">
        <v>902</v>
      </c>
    </row>
    <row r="12" spans="1:25">
      <c r="A12" s="16">
        <v>5</v>
      </c>
      <c r="B12" s="1222"/>
      <c r="C12" s="1223"/>
      <c r="D12" s="233"/>
      <c r="E12" s="1226" t="s">
        <v>120</v>
      </c>
      <c r="F12" s="1227"/>
      <c r="G12" s="1228"/>
      <c r="I12" s="229" t="s">
        <v>56</v>
      </c>
      <c r="J12" s="229" t="s">
        <v>56</v>
      </c>
      <c r="K12" s="230"/>
      <c r="L12" s="229" t="s">
        <v>1014</v>
      </c>
      <c r="M12" s="229" t="s">
        <v>56</v>
      </c>
      <c r="N12" s="1000" t="s">
        <v>56</v>
      </c>
      <c r="O12" s="231"/>
      <c r="P12" s="231"/>
      <c r="Q12" s="143" t="s">
        <v>1026</v>
      </c>
      <c r="R12" s="232" t="s">
        <v>991</v>
      </c>
      <c r="S12" s="231" t="s">
        <v>1009</v>
      </c>
      <c r="T12" s="143"/>
      <c r="U12" s="231"/>
      <c r="V12" s="143"/>
      <c r="Y12" s="5" t="s">
        <v>903</v>
      </c>
    </row>
    <row r="13" spans="1:25">
      <c r="A13" s="16">
        <v>6</v>
      </c>
      <c r="B13" s="1216" t="s">
        <v>121</v>
      </c>
      <c r="C13" s="1217"/>
      <c r="D13" s="234"/>
      <c r="E13" s="235" t="s">
        <v>122</v>
      </c>
      <c r="F13" s="236" t="s">
        <v>123</v>
      </c>
      <c r="G13" s="237" t="s">
        <v>124</v>
      </c>
      <c r="I13" s="238" t="s">
        <v>893</v>
      </c>
      <c r="J13" s="238" t="s">
        <v>894</v>
      </c>
      <c r="K13" s="239" t="s">
        <v>942</v>
      </c>
      <c r="L13" s="238" t="s">
        <v>1024</v>
      </c>
      <c r="M13" s="238" t="s">
        <v>895</v>
      </c>
      <c r="N13" s="1001" t="s">
        <v>896</v>
      </c>
      <c r="O13" s="238" t="s">
        <v>1028</v>
      </c>
      <c r="P13" s="238" t="s">
        <v>897</v>
      </c>
      <c r="Q13" s="238" t="s">
        <v>898</v>
      </c>
      <c r="R13" s="240" t="s">
        <v>899</v>
      </c>
      <c r="S13" s="238" t="s">
        <v>900</v>
      </c>
      <c r="T13" s="238" t="s">
        <v>1029</v>
      </c>
      <c r="U13" s="238" t="s">
        <v>1030</v>
      </c>
      <c r="V13" s="241"/>
      <c r="W13" s="241"/>
    </row>
    <row r="14" spans="1:25">
      <c r="A14" s="228">
        <v>7</v>
      </c>
      <c r="B14" s="242" t="s">
        <v>125</v>
      </c>
      <c r="C14" s="243"/>
      <c r="D14" s="244"/>
      <c r="E14" s="120"/>
      <c r="F14" s="118"/>
      <c r="G14" s="245"/>
    </row>
    <row r="15" spans="1:25">
      <c r="A15" s="16">
        <v>8</v>
      </c>
      <c r="B15" s="246" t="s">
        <v>126</v>
      </c>
      <c r="C15" s="247" t="s">
        <v>127</v>
      </c>
      <c r="D15" s="248"/>
      <c r="E15" s="249">
        <v>100892687.81</v>
      </c>
      <c r="F15" s="250">
        <v>0</v>
      </c>
      <c r="G15" s="251">
        <f>SUM(E15:F15)</f>
        <v>100892687.81</v>
      </c>
      <c r="I15" s="68" t="e">
        <f>+#REF!+#REF!+#REF!</f>
        <v>#REF!</v>
      </c>
      <c r="K15" s="746" t="e">
        <f>+#REF!</f>
        <v>#REF!</v>
      </c>
      <c r="U15" s="68">
        <f>'Revenue Adjustment'!G21</f>
        <v>2520322</v>
      </c>
      <c r="X15" s="252" t="e">
        <f>SUM(I15:W15)</f>
        <v>#REF!</v>
      </c>
      <c r="Y15" s="252" t="e">
        <f>+G15+X15</f>
        <v>#REF!</v>
      </c>
    </row>
    <row r="16" spans="1:25">
      <c r="A16" s="16">
        <v>9</v>
      </c>
      <c r="B16" s="246" t="s">
        <v>128</v>
      </c>
      <c r="C16" s="247" t="s">
        <v>129</v>
      </c>
      <c r="D16" s="248"/>
      <c r="E16" s="249">
        <v>82010145.060000002</v>
      </c>
      <c r="F16" s="250">
        <v>0</v>
      </c>
      <c r="G16" s="251">
        <f>SUM(E16:F16)</f>
        <v>82010145.060000002</v>
      </c>
      <c r="I16" s="68" t="e">
        <f>+#REF!</f>
        <v>#REF!</v>
      </c>
      <c r="K16" s="746" t="e">
        <f>+#REF!</f>
        <v>#REF!</v>
      </c>
      <c r="U16" s="744">
        <f>'Revenue Adjustment'!G22</f>
        <v>766252</v>
      </c>
      <c r="X16" s="252" t="e">
        <f>SUM(I16:W16)</f>
        <v>#REF!</v>
      </c>
      <c r="Y16" s="252" t="e">
        <f>+G16+X16</f>
        <v>#REF!</v>
      </c>
    </row>
    <row r="17" spans="1:25">
      <c r="A17" s="228">
        <v>10</v>
      </c>
      <c r="B17" s="242" t="s">
        <v>130</v>
      </c>
      <c r="C17" s="243"/>
      <c r="D17" s="253"/>
      <c r="E17" s="254">
        <f t="shared" ref="E17:T17" si="0">SUM(E15:E16)</f>
        <v>182902832.87</v>
      </c>
      <c r="F17" s="255">
        <f t="shared" si="0"/>
        <v>0</v>
      </c>
      <c r="G17" s="256">
        <f t="shared" si="0"/>
        <v>182902832.87</v>
      </c>
      <c r="I17" s="256" t="e">
        <f t="shared" si="0"/>
        <v>#REF!</v>
      </c>
      <c r="J17" s="256">
        <f t="shared" si="0"/>
        <v>0</v>
      </c>
      <c r="K17" s="747" t="e">
        <f>SUM(K15:K16)</f>
        <v>#REF!</v>
      </c>
      <c r="L17" s="256">
        <f t="shared" si="0"/>
        <v>0</v>
      </c>
      <c r="M17" s="256">
        <f t="shared" si="0"/>
        <v>0</v>
      </c>
      <c r="N17" s="1002">
        <f t="shared" si="0"/>
        <v>0</v>
      </c>
      <c r="O17" s="256">
        <f t="shared" si="0"/>
        <v>0</v>
      </c>
      <c r="P17" s="256">
        <f t="shared" si="0"/>
        <v>0</v>
      </c>
      <c r="Q17" s="256">
        <f t="shared" ref="Q17" si="1">SUM(Q15:Q16)</f>
        <v>0</v>
      </c>
      <c r="R17" s="258">
        <f t="shared" si="0"/>
        <v>0</v>
      </c>
      <c r="S17" s="256">
        <f t="shared" si="0"/>
        <v>0</v>
      </c>
      <c r="T17" s="256">
        <f t="shared" si="0"/>
        <v>0</v>
      </c>
      <c r="U17" s="256">
        <f>SUM(U15:U16)</f>
        <v>3286574</v>
      </c>
      <c r="V17" s="256">
        <f>SUM(V15:V16)</f>
        <v>0</v>
      </c>
      <c r="W17" s="256">
        <f>SUM(W15:W16)</f>
        <v>0</v>
      </c>
      <c r="X17" s="256" t="e">
        <f>SUM(X15:X16)</f>
        <v>#REF!</v>
      </c>
      <c r="Y17" s="256" t="e">
        <f>SUM(Y15:Y16)</f>
        <v>#REF!</v>
      </c>
    </row>
    <row r="18" spans="1:25">
      <c r="A18" s="16">
        <v>11</v>
      </c>
      <c r="B18" s="259"/>
      <c r="C18" s="243"/>
      <c r="D18" s="248"/>
      <c r="E18" s="249"/>
      <c r="F18" s="260"/>
      <c r="G18" s="251"/>
      <c r="K18" s="746"/>
    </row>
    <row r="19" spans="1:25">
      <c r="A19" s="228">
        <v>12</v>
      </c>
      <c r="B19" s="242" t="s">
        <v>131</v>
      </c>
      <c r="C19" s="243"/>
      <c r="D19" s="248"/>
      <c r="E19" s="249"/>
      <c r="F19" s="260"/>
      <c r="G19" s="251"/>
    </row>
    <row r="20" spans="1:25">
      <c r="A20" s="16">
        <v>13</v>
      </c>
      <c r="B20" s="246" t="s">
        <v>132</v>
      </c>
      <c r="C20" s="247" t="s">
        <v>133</v>
      </c>
      <c r="D20" s="248"/>
      <c r="E20" s="249">
        <v>810183.02</v>
      </c>
      <c r="F20" s="260">
        <v>0.01</v>
      </c>
      <c r="G20" s="251">
        <f t="shared" ref="G20:G25" si="2">SUM(E20:F20)</f>
        <v>810183.03</v>
      </c>
      <c r="X20" s="252">
        <f t="shared" ref="X20:X25" si="3">SUM(I20:W20)</f>
        <v>0</v>
      </c>
      <c r="Y20" s="252">
        <f t="shared" ref="Y20:Y25" si="4">+G20+X20</f>
        <v>810183.03</v>
      </c>
    </row>
    <row r="21" spans="1:25">
      <c r="A21" s="228">
        <v>14</v>
      </c>
      <c r="B21" s="261" t="s">
        <v>134</v>
      </c>
      <c r="C21" s="247" t="s">
        <v>135</v>
      </c>
      <c r="D21" s="248"/>
      <c r="E21" s="262">
        <v>21216454.399999999</v>
      </c>
      <c r="F21" s="250">
        <v>0</v>
      </c>
      <c r="G21" s="263">
        <f t="shared" si="2"/>
        <v>21216454.399999999</v>
      </c>
      <c r="O21" s="68" t="e">
        <f>+#REF!</f>
        <v>#REF!</v>
      </c>
      <c r="U21" s="744">
        <f>+'Revenue Adjustment'!G23</f>
        <v>1933517</v>
      </c>
      <c r="X21" s="252" t="e">
        <f t="shared" si="3"/>
        <v>#REF!</v>
      </c>
      <c r="Y21" s="252" t="e">
        <f t="shared" si="4"/>
        <v>#REF!</v>
      </c>
    </row>
    <row r="22" spans="1:25">
      <c r="A22" s="16">
        <v>15</v>
      </c>
      <c r="B22" s="261" t="s">
        <v>136</v>
      </c>
      <c r="C22" s="247" t="s">
        <v>137</v>
      </c>
      <c r="D22" s="248"/>
      <c r="E22" s="264">
        <v>100</v>
      </c>
      <c r="F22" s="260">
        <v>0</v>
      </c>
      <c r="G22" s="251">
        <f t="shared" si="2"/>
        <v>100</v>
      </c>
      <c r="X22" s="252">
        <f t="shared" si="3"/>
        <v>0</v>
      </c>
      <c r="Y22" s="252">
        <f t="shared" si="4"/>
        <v>100</v>
      </c>
    </row>
    <row r="23" spans="1:25">
      <c r="A23" s="228">
        <v>16</v>
      </c>
      <c r="B23" s="261" t="s">
        <v>138</v>
      </c>
      <c r="C23" s="247" t="s">
        <v>139</v>
      </c>
      <c r="D23" s="248"/>
      <c r="E23" s="264">
        <v>0</v>
      </c>
      <c r="F23" s="260">
        <v>91471.08</v>
      </c>
      <c r="G23" s="251">
        <f t="shared" si="2"/>
        <v>91471.08</v>
      </c>
      <c r="X23" s="252">
        <f t="shared" si="3"/>
        <v>0</v>
      </c>
      <c r="Y23" s="252">
        <f t="shared" si="4"/>
        <v>91471.08</v>
      </c>
    </row>
    <row r="24" spans="1:25">
      <c r="A24" s="16">
        <v>17</v>
      </c>
      <c r="B24" s="261" t="s">
        <v>140</v>
      </c>
      <c r="C24" s="247" t="s">
        <v>141</v>
      </c>
      <c r="D24" s="248"/>
      <c r="E24" s="249">
        <v>109620.85</v>
      </c>
      <c r="F24" s="260">
        <v>0</v>
      </c>
      <c r="G24" s="251">
        <f t="shared" si="2"/>
        <v>109620.85</v>
      </c>
      <c r="S24" s="68">
        <f>'Miscellaneous Charges'!M16</f>
        <v>-101645</v>
      </c>
      <c r="X24" s="252">
        <f t="shared" si="3"/>
        <v>-101645</v>
      </c>
      <c r="Y24" s="252">
        <f t="shared" si="4"/>
        <v>7975.8500000000058</v>
      </c>
    </row>
    <row r="25" spans="1:25">
      <c r="A25" s="228">
        <v>18</v>
      </c>
      <c r="B25" s="246" t="s">
        <v>142</v>
      </c>
      <c r="C25" s="247" t="s">
        <v>143</v>
      </c>
      <c r="D25" s="265"/>
      <c r="E25" s="264">
        <v>0</v>
      </c>
      <c r="F25" s="250">
        <v>0</v>
      </c>
      <c r="G25" s="266">
        <f t="shared" si="2"/>
        <v>0</v>
      </c>
      <c r="X25" s="252">
        <f t="shared" si="3"/>
        <v>0</v>
      </c>
      <c r="Y25" s="252">
        <f t="shared" si="4"/>
        <v>0</v>
      </c>
    </row>
    <row r="26" spans="1:25">
      <c r="A26" s="16">
        <v>19</v>
      </c>
      <c r="B26" s="242" t="s">
        <v>144</v>
      </c>
      <c r="C26" s="243"/>
      <c r="D26" s="253"/>
      <c r="E26" s="254">
        <f t="shared" ref="E26:G26" si="5">SUM(E20:E25)</f>
        <v>22136358.27</v>
      </c>
      <c r="F26" s="267">
        <f t="shared" si="5"/>
        <v>91471.09</v>
      </c>
      <c r="G26" s="256">
        <f t="shared" si="5"/>
        <v>22227829.359999999</v>
      </c>
      <c r="I26" s="256">
        <f t="shared" ref="I26:S26" si="6">SUM(I20:I25)</f>
        <v>0</v>
      </c>
      <c r="J26" s="256">
        <f t="shared" si="6"/>
        <v>0</v>
      </c>
      <c r="K26" s="257">
        <f>SUM(K20:K25)</f>
        <v>0</v>
      </c>
      <c r="L26" s="256">
        <f>SUM(L20:L25)</f>
        <v>0</v>
      </c>
      <c r="M26" s="256">
        <f t="shared" si="6"/>
        <v>0</v>
      </c>
      <c r="N26" s="1002">
        <f t="shared" si="6"/>
        <v>0</v>
      </c>
      <c r="O26" s="256" t="e">
        <f t="shared" si="6"/>
        <v>#REF!</v>
      </c>
      <c r="P26" s="256">
        <f t="shared" si="6"/>
        <v>0</v>
      </c>
      <c r="Q26" s="256">
        <f t="shared" ref="Q26" si="7">SUM(Q20:Q25)</f>
        <v>0</v>
      </c>
      <c r="R26" s="258">
        <f>SUM(R20:R25)</f>
        <v>0</v>
      </c>
      <c r="S26" s="256">
        <f t="shared" si="6"/>
        <v>-101645</v>
      </c>
      <c r="T26" s="256">
        <f t="shared" ref="T26" si="8">SUM(T20:T25)</f>
        <v>0</v>
      </c>
      <c r="U26" s="256">
        <f>SUM(U20:U25)</f>
        <v>1933517</v>
      </c>
      <c r="V26" s="256">
        <f>SUM(V20:V25)</f>
        <v>0</v>
      </c>
      <c r="W26" s="256">
        <f>SUM(W20:W25)</f>
        <v>0</v>
      </c>
      <c r="X26" s="256" t="e">
        <f>SUM(X20:X25)</f>
        <v>#REF!</v>
      </c>
      <c r="Y26" s="256" t="e">
        <f>SUM(Y20:Y25)</f>
        <v>#REF!</v>
      </c>
    </row>
    <row r="27" spans="1:25" ht="16.2" thickBot="1">
      <c r="A27" s="228">
        <v>20</v>
      </c>
      <c r="B27" s="242" t="s">
        <v>145</v>
      </c>
      <c r="C27" s="243"/>
      <c r="D27" s="268"/>
      <c r="E27" s="269">
        <f t="shared" ref="E27:G27" si="9">E17+E26</f>
        <v>205039191.14000002</v>
      </c>
      <c r="F27" s="270">
        <f t="shared" si="9"/>
        <v>91471.09</v>
      </c>
      <c r="G27" s="271">
        <f t="shared" si="9"/>
        <v>205130662.23000002</v>
      </c>
      <c r="I27" s="271" t="e">
        <f t="shared" ref="I27:S27" si="10">I17+I26</f>
        <v>#REF!</v>
      </c>
      <c r="J27" s="271">
        <f t="shared" si="10"/>
        <v>0</v>
      </c>
      <c r="K27" s="272" t="e">
        <f>K17+K26</f>
        <v>#REF!</v>
      </c>
      <c r="L27" s="271">
        <f>L17+L26</f>
        <v>0</v>
      </c>
      <c r="M27" s="271">
        <f t="shared" si="10"/>
        <v>0</v>
      </c>
      <c r="N27" s="1003">
        <f t="shared" si="10"/>
        <v>0</v>
      </c>
      <c r="O27" s="271" t="e">
        <f t="shared" si="10"/>
        <v>#REF!</v>
      </c>
      <c r="P27" s="271">
        <f t="shared" si="10"/>
        <v>0</v>
      </c>
      <c r="Q27" s="271">
        <f t="shared" ref="Q27" si="11">Q17+Q26</f>
        <v>0</v>
      </c>
      <c r="R27" s="273">
        <f>R17+R26</f>
        <v>0</v>
      </c>
      <c r="S27" s="271">
        <f t="shared" si="10"/>
        <v>-101645</v>
      </c>
      <c r="T27" s="271">
        <f t="shared" ref="T27" si="12">T17+T26</f>
        <v>0</v>
      </c>
      <c r="U27" s="271">
        <f>U17+U26</f>
        <v>5220091</v>
      </c>
      <c r="V27" s="271">
        <f>V17+V26</f>
        <v>0</v>
      </c>
      <c r="W27" s="271">
        <f>W17+W26</f>
        <v>0</v>
      </c>
      <c r="X27" s="271" t="e">
        <f>X17+X26</f>
        <v>#REF!</v>
      </c>
      <c r="Y27" s="271" t="e">
        <f>Y17+Y26</f>
        <v>#REF!</v>
      </c>
    </row>
    <row r="28" spans="1:25" ht="16.2" thickTop="1">
      <c r="A28" s="16">
        <v>21</v>
      </c>
      <c r="B28" s="274" t="s">
        <v>50</v>
      </c>
      <c r="C28" s="243" t="s">
        <v>50</v>
      </c>
      <c r="D28" s="248"/>
      <c r="E28" s="249"/>
      <c r="F28" s="260"/>
      <c r="G28" s="251"/>
    </row>
    <row r="29" spans="1:25">
      <c r="A29" s="228">
        <v>22</v>
      </c>
      <c r="B29" s="242" t="s">
        <v>146</v>
      </c>
      <c r="C29" s="243"/>
      <c r="D29" s="248"/>
      <c r="E29" s="249"/>
      <c r="F29" s="260"/>
      <c r="G29" s="251"/>
    </row>
    <row r="30" spans="1:25">
      <c r="A30" s="16">
        <v>23</v>
      </c>
      <c r="B30" s="246" t="s">
        <v>147</v>
      </c>
      <c r="C30" s="247" t="s">
        <v>148</v>
      </c>
      <c r="D30" s="248"/>
      <c r="E30" s="249">
        <v>109308158.06</v>
      </c>
      <c r="F30" s="250">
        <v>0</v>
      </c>
      <c r="G30" s="251">
        <f t="shared" ref="G30:G35" si="13">SUM(E30:F30)</f>
        <v>109308158.06</v>
      </c>
      <c r="I30" s="68" t="e">
        <f>+#REF!</f>
        <v>#REF!</v>
      </c>
      <c r="K30" s="212" t="e">
        <f>#REF!</f>
        <v>#REF!</v>
      </c>
      <c r="X30" s="252" t="e">
        <f t="shared" ref="X30:X35" si="14">SUM(I30:W30)</f>
        <v>#REF!</v>
      </c>
      <c r="Y30" s="252" t="e">
        <f t="shared" ref="Y30:Y35" si="15">+G30+X30</f>
        <v>#REF!</v>
      </c>
    </row>
    <row r="31" spans="1:25">
      <c r="A31" s="228">
        <v>24</v>
      </c>
      <c r="B31" s="246" t="s">
        <v>149</v>
      </c>
      <c r="C31" s="247" t="s">
        <v>150</v>
      </c>
      <c r="D31" s="265"/>
      <c r="E31" s="264">
        <v>0</v>
      </c>
      <c r="F31" s="250">
        <v>0</v>
      </c>
      <c r="G31" s="266">
        <f t="shared" si="13"/>
        <v>0</v>
      </c>
      <c r="X31" s="252">
        <f t="shared" si="14"/>
        <v>0</v>
      </c>
      <c r="Y31" s="252">
        <f t="shared" si="15"/>
        <v>0</v>
      </c>
    </row>
    <row r="32" spans="1:25">
      <c r="A32" s="16">
        <v>25</v>
      </c>
      <c r="B32" s="246" t="s">
        <v>151</v>
      </c>
      <c r="C32" s="247" t="s">
        <v>152</v>
      </c>
      <c r="D32" s="248"/>
      <c r="E32" s="249">
        <v>-5591759.0499999998</v>
      </c>
      <c r="F32" s="250">
        <v>0</v>
      </c>
      <c r="G32" s="251">
        <f t="shared" si="13"/>
        <v>-5591759.0499999998</v>
      </c>
      <c r="X32" s="252">
        <f t="shared" si="14"/>
        <v>0</v>
      </c>
      <c r="Y32" s="252">
        <f t="shared" si="15"/>
        <v>-5591759.0499999998</v>
      </c>
    </row>
    <row r="33" spans="1:25">
      <c r="A33" s="228">
        <v>26</v>
      </c>
      <c r="B33" s="246" t="s">
        <v>153</v>
      </c>
      <c r="C33" s="247" t="s">
        <v>154</v>
      </c>
      <c r="D33" s="248"/>
      <c r="E33" s="249">
        <v>4086793.55</v>
      </c>
      <c r="F33" s="250">
        <v>0</v>
      </c>
      <c r="G33" s="251">
        <f t="shared" si="13"/>
        <v>4086793.55</v>
      </c>
      <c r="X33" s="252">
        <f t="shared" si="14"/>
        <v>0</v>
      </c>
      <c r="Y33" s="252">
        <f t="shared" si="15"/>
        <v>4086793.55</v>
      </c>
    </row>
    <row r="34" spans="1:25">
      <c r="A34" s="16">
        <v>27</v>
      </c>
      <c r="B34" s="246" t="s">
        <v>155</v>
      </c>
      <c r="C34" s="247" t="s">
        <v>156</v>
      </c>
      <c r="D34" s="248"/>
      <c r="E34" s="249">
        <v>-4183654.74</v>
      </c>
      <c r="F34" s="250">
        <v>0</v>
      </c>
      <c r="G34" s="251">
        <f t="shared" si="13"/>
        <v>-4183654.74</v>
      </c>
      <c r="X34" s="252">
        <f t="shared" si="14"/>
        <v>0</v>
      </c>
      <c r="Y34" s="252">
        <f t="shared" si="15"/>
        <v>-4183654.74</v>
      </c>
    </row>
    <row r="35" spans="1:25">
      <c r="A35" s="228">
        <v>28</v>
      </c>
      <c r="B35" s="246" t="s">
        <v>157</v>
      </c>
      <c r="C35" s="247" t="s">
        <v>158</v>
      </c>
      <c r="D35" s="248"/>
      <c r="E35" s="249">
        <v>-25673.3</v>
      </c>
      <c r="F35" s="250">
        <v>0</v>
      </c>
      <c r="G35" s="251">
        <f t="shared" si="13"/>
        <v>-25673.3</v>
      </c>
      <c r="X35" s="252">
        <f t="shared" si="14"/>
        <v>0</v>
      </c>
      <c r="Y35" s="252">
        <f t="shared" si="15"/>
        <v>-25673.3</v>
      </c>
    </row>
    <row r="36" spans="1:25">
      <c r="A36" s="16">
        <v>29</v>
      </c>
      <c r="B36" s="242" t="s">
        <v>159</v>
      </c>
      <c r="C36" s="243"/>
      <c r="D36" s="253"/>
      <c r="E36" s="254">
        <f t="shared" ref="E36:T36" si="16">SUM(E30:E35)</f>
        <v>103593864.52000001</v>
      </c>
      <c r="F36" s="255">
        <f t="shared" si="16"/>
        <v>0</v>
      </c>
      <c r="G36" s="256">
        <f t="shared" si="16"/>
        <v>103593864.52000001</v>
      </c>
      <c r="I36" s="256" t="e">
        <f t="shared" si="16"/>
        <v>#REF!</v>
      </c>
      <c r="J36" s="256">
        <f t="shared" si="16"/>
        <v>0</v>
      </c>
      <c r="K36" s="257" t="e">
        <f>SUM(K30:K35)</f>
        <v>#REF!</v>
      </c>
      <c r="L36" s="256">
        <f t="shared" si="16"/>
        <v>0</v>
      </c>
      <c r="M36" s="256">
        <f t="shared" si="16"/>
        <v>0</v>
      </c>
      <c r="N36" s="1002">
        <f t="shared" si="16"/>
        <v>0</v>
      </c>
      <c r="O36" s="256">
        <f t="shared" si="16"/>
        <v>0</v>
      </c>
      <c r="P36" s="256">
        <f t="shared" si="16"/>
        <v>0</v>
      </c>
      <c r="Q36" s="256">
        <f t="shared" ref="Q36" si="17">SUM(Q30:Q35)</f>
        <v>0</v>
      </c>
      <c r="R36" s="258">
        <f t="shared" si="16"/>
        <v>0</v>
      </c>
      <c r="S36" s="256">
        <f t="shared" si="16"/>
        <v>0</v>
      </c>
      <c r="T36" s="256">
        <f t="shared" si="16"/>
        <v>0</v>
      </c>
      <c r="U36" s="256">
        <f>SUM(U30:U35)</f>
        <v>0</v>
      </c>
      <c r="V36" s="256">
        <f>SUM(V30:V35)</f>
        <v>0</v>
      </c>
      <c r="W36" s="256">
        <f>SUM(W30:W35)</f>
        <v>0</v>
      </c>
      <c r="X36" s="256" t="e">
        <f>SUM(X30:X35)</f>
        <v>#REF!</v>
      </c>
      <c r="Y36" s="256" t="e">
        <f>SUM(Y30:Y35)</f>
        <v>#REF!</v>
      </c>
    </row>
    <row r="37" spans="1:25">
      <c r="A37" s="228">
        <v>30</v>
      </c>
      <c r="B37" s="274"/>
      <c r="C37" s="243"/>
      <c r="D37" s="248"/>
      <c r="E37" s="249"/>
      <c r="F37" s="260"/>
      <c r="G37" s="251"/>
    </row>
    <row r="38" spans="1:25">
      <c r="A38" s="16">
        <v>31</v>
      </c>
      <c r="B38" s="242" t="s">
        <v>160</v>
      </c>
      <c r="C38" s="243"/>
      <c r="D38" s="248"/>
      <c r="E38" s="249"/>
      <c r="F38" s="260"/>
      <c r="G38" s="251"/>
    </row>
    <row r="39" spans="1:25">
      <c r="A39" s="228">
        <v>32</v>
      </c>
      <c r="B39" s="246" t="s">
        <v>161</v>
      </c>
      <c r="C39" s="247" t="s">
        <v>162</v>
      </c>
      <c r="D39" s="265"/>
      <c r="E39" s="264">
        <v>0</v>
      </c>
      <c r="F39" s="250">
        <v>0</v>
      </c>
      <c r="G39" s="266">
        <v>0</v>
      </c>
      <c r="X39" s="252">
        <f t="shared" ref="X39:X49" si="18">SUM(I39:W39)</f>
        <v>0</v>
      </c>
      <c r="Y39" s="252">
        <f t="shared" ref="Y39:Y49" si="19">+G39+X39</f>
        <v>0</v>
      </c>
    </row>
    <row r="40" spans="1:25">
      <c r="A40" s="16">
        <v>33</v>
      </c>
      <c r="B40" s="246" t="s">
        <v>163</v>
      </c>
      <c r="C40" s="247" t="s">
        <v>164</v>
      </c>
      <c r="D40" s="265"/>
      <c r="E40" s="264">
        <v>0</v>
      </c>
      <c r="F40" s="250">
        <v>0</v>
      </c>
      <c r="G40" s="266">
        <v>0</v>
      </c>
      <c r="X40" s="252">
        <f t="shared" si="18"/>
        <v>0</v>
      </c>
      <c r="Y40" s="252">
        <f t="shared" si="19"/>
        <v>0</v>
      </c>
    </row>
    <row r="41" spans="1:25">
      <c r="A41" s="228">
        <v>34</v>
      </c>
      <c r="B41" s="246" t="s">
        <v>165</v>
      </c>
      <c r="C41" s="247" t="s">
        <v>166</v>
      </c>
      <c r="D41" s="265"/>
      <c r="E41" s="264">
        <v>0</v>
      </c>
      <c r="F41" s="250">
        <v>0</v>
      </c>
      <c r="G41" s="266">
        <v>0</v>
      </c>
      <c r="X41" s="252">
        <f t="shared" si="18"/>
        <v>0</v>
      </c>
      <c r="Y41" s="252">
        <f t="shared" si="19"/>
        <v>0</v>
      </c>
    </row>
    <row r="42" spans="1:25">
      <c r="A42" s="16">
        <v>35</v>
      </c>
      <c r="B42" s="246" t="s">
        <v>167</v>
      </c>
      <c r="C42" s="247" t="s">
        <v>168</v>
      </c>
      <c r="D42" s="265"/>
      <c r="E42" s="264">
        <v>0</v>
      </c>
      <c r="F42" s="250">
        <v>0</v>
      </c>
      <c r="G42" s="266">
        <v>0</v>
      </c>
      <c r="X42" s="252">
        <f t="shared" si="18"/>
        <v>0</v>
      </c>
      <c r="Y42" s="252">
        <f t="shared" si="19"/>
        <v>0</v>
      </c>
    </row>
    <row r="43" spans="1:25">
      <c r="A43" s="228">
        <v>36</v>
      </c>
      <c r="B43" s="246" t="s">
        <v>169</v>
      </c>
      <c r="C43" s="247" t="s">
        <v>170</v>
      </c>
      <c r="D43" s="265"/>
      <c r="E43" s="264">
        <v>0</v>
      </c>
      <c r="F43" s="250">
        <v>0</v>
      </c>
      <c r="G43" s="266">
        <v>0</v>
      </c>
      <c r="X43" s="252">
        <f t="shared" si="18"/>
        <v>0</v>
      </c>
      <c r="Y43" s="252">
        <f t="shared" si="19"/>
        <v>0</v>
      </c>
    </row>
    <row r="44" spans="1:25">
      <c r="A44" s="16">
        <v>37</v>
      </c>
      <c r="B44" s="246" t="s">
        <v>171</v>
      </c>
      <c r="C44" s="247" t="s">
        <v>172</v>
      </c>
      <c r="D44" s="265"/>
      <c r="E44" s="264">
        <v>0</v>
      </c>
      <c r="F44" s="250">
        <v>0</v>
      </c>
      <c r="G44" s="266">
        <v>0</v>
      </c>
      <c r="X44" s="252">
        <f t="shared" si="18"/>
        <v>0</v>
      </c>
      <c r="Y44" s="252">
        <f t="shared" si="19"/>
        <v>0</v>
      </c>
    </row>
    <row r="45" spans="1:25">
      <c r="A45" s="228">
        <v>38</v>
      </c>
      <c r="B45" s="246" t="s">
        <v>173</v>
      </c>
      <c r="C45" s="247" t="s">
        <v>174</v>
      </c>
      <c r="D45" s="265"/>
      <c r="E45" s="275">
        <v>0</v>
      </c>
      <c r="F45" s="250">
        <v>0</v>
      </c>
      <c r="G45" s="266">
        <v>0</v>
      </c>
      <c r="X45" s="252">
        <f t="shared" si="18"/>
        <v>0</v>
      </c>
      <c r="Y45" s="252">
        <f t="shared" si="19"/>
        <v>0</v>
      </c>
    </row>
    <row r="46" spans="1:25">
      <c r="A46" s="16">
        <v>39</v>
      </c>
      <c r="B46" s="246" t="s">
        <v>175</v>
      </c>
      <c r="C46" s="247" t="s">
        <v>176</v>
      </c>
      <c r="D46" s="265"/>
      <c r="E46" s="264">
        <v>0</v>
      </c>
      <c r="F46" s="250">
        <v>0</v>
      </c>
      <c r="G46" s="266">
        <v>0</v>
      </c>
      <c r="X46" s="252">
        <f t="shared" si="18"/>
        <v>0</v>
      </c>
      <c r="Y46" s="252">
        <f t="shared" si="19"/>
        <v>0</v>
      </c>
    </row>
    <row r="47" spans="1:25">
      <c r="A47" s="228">
        <v>40</v>
      </c>
      <c r="B47" s="246" t="s">
        <v>177</v>
      </c>
      <c r="C47" s="247" t="s">
        <v>178</v>
      </c>
      <c r="D47" s="265"/>
      <c r="E47" s="264">
        <v>0</v>
      </c>
      <c r="F47" s="250">
        <v>0</v>
      </c>
      <c r="G47" s="266">
        <v>0</v>
      </c>
      <c r="X47" s="252">
        <f t="shared" si="18"/>
        <v>0</v>
      </c>
      <c r="Y47" s="252">
        <f t="shared" si="19"/>
        <v>0</v>
      </c>
    </row>
    <row r="48" spans="1:25">
      <c r="A48" s="16">
        <v>41</v>
      </c>
      <c r="B48" s="246" t="s">
        <v>179</v>
      </c>
      <c r="C48" s="247" t="s">
        <v>180</v>
      </c>
      <c r="D48" s="265"/>
      <c r="E48" s="264">
        <v>0</v>
      </c>
      <c r="F48" s="250">
        <v>0</v>
      </c>
      <c r="G48" s="266">
        <v>0</v>
      </c>
      <c r="X48" s="252">
        <f t="shared" si="18"/>
        <v>0</v>
      </c>
      <c r="Y48" s="252">
        <f t="shared" si="19"/>
        <v>0</v>
      </c>
    </row>
    <row r="49" spans="1:25">
      <c r="A49" s="228">
        <v>42</v>
      </c>
      <c r="B49" s="246" t="s">
        <v>181</v>
      </c>
      <c r="C49" s="247" t="s">
        <v>182</v>
      </c>
      <c r="D49" s="265"/>
      <c r="E49" s="264">
        <v>0</v>
      </c>
      <c r="F49" s="250">
        <v>0</v>
      </c>
      <c r="G49" s="266">
        <v>0</v>
      </c>
      <c r="X49" s="252">
        <f t="shared" si="18"/>
        <v>0</v>
      </c>
      <c r="Y49" s="252">
        <f t="shared" si="19"/>
        <v>0</v>
      </c>
    </row>
    <row r="50" spans="1:25">
      <c r="A50" s="16">
        <v>43</v>
      </c>
      <c r="B50" s="242" t="s">
        <v>183</v>
      </c>
      <c r="C50" s="276"/>
      <c r="D50" s="277"/>
      <c r="E50" s="278">
        <f t="shared" ref="E50:G50" si="20">SUM(E39:E49)</f>
        <v>0</v>
      </c>
      <c r="F50" s="255">
        <f t="shared" si="20"/>
        <v>0</v>
      </c>
      <c r="G50" s="257">
        <f t="shared" si="20"/>
        <v>0</v>
      </c>
      <c r="I50" s="256">
        <f t="shared" ref="I50:S50" si="21">SUM(I39:I49)</f>
        <v>0</v>
      </c>
      <c r="J50" s="256">
        <f t="shared" si="21"/>
        <v>0</v>
      </c>
      <c r="K50" s="257">
        <f>SUM(K39:K49)</f>
        <v>0</v>
      </c>
      <c r="L50" s="256">
        <f t="shared" si="21"/>
        <v>0</v>
      </c>
      <c r="M50" s="256">
        <f t="shared" si="21"/>
        <v>0</v>
      </c>
      <c r="N50" s="1002">
        <f t="shared" si="21"/>
        <v>0</v>
      </c>
      <c r="O50" s="256">
        <f t="shared" si="21"/>
        <v>0</v>
      </c>
      <c r="P50" s="256">
        <f t="shared" si="21"/>
        <v>0</v>
      </c>
      <c r="Q50" s="256">
        <f t="shared" ref="Q50" si="22">SUM(Q39:Q49)</f>
        <v>0</v>
      </c>
      <c r="R50" s="258">
        <f t="shared" si="21"/>
        <v>0</v>
      </c>
      <c r="S50" s="256">
        <f t="shared" si="21"/>
        <v>0</v>
      </c>
      <c r="T50" s="256">
        <f t="shared" ref="T50" si="23">SUM(T39:T49)</f>
        <v>0</v>
      </c>
      <c r="U50" s="256">
        <f>SUM(U39:U49)</f>
        <v>0</v>
      </c>
      <c r="V50" s="257">
        <f>SUM(V39:V49)</f>
        <v>0</v>
      </c>
      <c r="W50" s="257">
        <f>SUM(W39:W49)</f>
        <v>0</v>
      </c>
      <c r="X50" s="257">
        <f>SUM(X39:X49)</f>
        <v>0</v>
      </c>
      <c r="Y50" s="257">
        <f>SUM(Y39:Y49)</f>
        <v>0</v>
      </c>
    </row>
    <row r="51" spans="1:25">
      <c r="A51" s="228">
        <v>44</v>
      </c>
      <c r="B51" s="274"/>
      <c r="C51" s="243"/>
      <c r="D51" s="248"/>
      <c r="E51" s="249"/>
      <c r="F51" s="260"/>
      <c r="G51" s="251"/>
      <c r="I51" s="251"/>
      <c r="J51" s="251"/>
      <c r="K51" s="266"/>
      <c r="L51" s="251"/>
      <c r="M51" s="251"/>
      <c r="N51" s="1004"/>
      <c r="O51" s="251"/>
      <c r="P51" s="251"/>
      <c r="Q51" s="251"/>
      <c r="R51" s="279"/>
      <c r="S51" s="251"/>
      <c r="T51" s="251"/>
      <c r="U51" s="251"/>
      <c r="V51" s="251"/>
      <c r="W51" s="251"/>
      <c r="X51" s="251"/>
      <c r="Y51" s="251"/>
    </row>
    <row r="52" spans="1:25">
      <c r="A52" s="16">
        <v>45</v>
      </c>
      <c r="B52" s="246" t="s">
        <v>184</v>
      </c>
      <c r="C52" s="247" t="s">
        <v>27</v>
      </c>
      <c r="D52" s="280"/>
      <c r="E52" s="281">
        <v>16946340.530000001</v>
      </c>
      <c r="F52" s="282">
        <v>0</v>
      </c>
      <c r="G52" s="283">
        <f>SUM(E52:F52)</f>
        <v>16946340.530000001</v>
      </c>
      <c r="I52" s="283">
        <f>+'Summary of Adjustments'!G23</f>
        <v>505019.21645480004</v>
      </c>
      <c r="J52" s="283"/>
      <c r="K52" s="284">
        <f>+'Summary of Adjustments'!I23</f>
        <v>-235953.76791544046</v>
      </c>
      <c r="L52" s="283">
        <f>+'Summary of Adjustments'!J23</f>
        <v>0</v>
      </c>
      <c r="M52" s="283">
        <f>+'Summary of Adjustments'!Q23</f>
        <v>0</v>
      </c>
      <c r="N52" s="1005">
        <f>+'Summary of Adjustments'!R23</f>
        <v>0</v>
      </c>
      <c r="O52" s="283">
        <f>+'Summary of Adjustments'!T23</f>
        <v>8101.7268279999998</v>
      </c>
      <c r="P52" s="283">
        <v>0</v>
      </c>
      <c r="Q52" s="283">
        <f>+'Summary of Adjustments'!U23</f>
        <v>0</v>
      </c>
      <c r="R52" s="285">
        <f>+'Summary of Adjustments'!U23</f>
        <v>0</v>
      </c>
      <c r="S52" s="283">
        <f>+'Summary of Adjustments'!X23</f>
        <v>-4118.6553999999996</v>
      </c>
      <c r="T52" s="283">
        <f>+'Summary of Adjustments'!Y23</f>
        <v>0</v>
      </c>
      <c r="U52" s="283">
        <f>+'Summary of Adjustments'!Z23</f>
        <v>295971.6839753844</v>
      </c>
      <c r="V52" s="283"/>
      <c r="W52" s="283"/>
      <c r="X52" s="252">
        <f>SUM(I52:W52)</f>
        <v>569020.20394274406</v>
      </c>
      <c r="Y52" s="252">
        <f>+G52+X52</f>
        <v>17515360.733942747</v>
      </c>
    </row>
    <row r="53" spans="1:25" ht="16.2" thickBot="1">
      <c r="A53" s="228">
        <v>46</v>
      </c>
      <c r="B53" s="242" t="s">
        <v>185</v>
      </c>
      <c r="C53" s="243"/>
      <c r="D53" s="268"/>
      <c r="E53" s="269">
        <f t="shared" ref="E53:G53" si="24">E27-E36-E52</f>
        <v>84498986.090000004</v>
      </c>
      <c r="F53" s="286">
        <f t="shared" si="24"/>
        <v>91471.09</v>
      </c>
      <c r="G53" s="271">
        <f t="shared" si="24"/>
        <v>84590457.180000007</v>
      </c>
      <c r="I53" s="271" t="e">
        <f t="shared" ref="I53:S53" si="25">I27-I36-I52</f>
        <v>#REF!</v>
      </c>
      <c r="J53" s="271">
        <f t="shared" si="25"/>
        <v>0</v>
      </c>
      <c r="K53" s="272" t="e">
        <f>K27-K36-K52</f>
        <v>#REF!</v>
      </c>
      <c r="L53" s="271">
        <f>L27-L36-L52</f>
        <v>0</v>
      </c>
      <c r="M53" s="271">
        <f t="shared" si="25"/>
        <v>0</v>
      </c>
      <c r="N53" s="1003">
        <f t="shared" si="25"/>
        <v>0</v>
      </c>
      <c r="O53" s="271" t="e">
        <f t="shared" si="25"/>
        <v>#REF!</v>
      </c>
      <c r="P53" s="271">
        <f t="shared" si="25"/>
        <v>0</v>
      </c>
      <c r="Q53" s="271">
        <f t="shared" ref="Q53" si="26">Q27-Q36-Q52</f>
        <v>0</v>
      </c>
      <c r="R53" s="273">
        <f t="shared" si="25"/>
        <v>0</v>
      </c>
      <c r="S53" s="271">
        <f t="shared" si="25"/>
        <v>-97526.344599999997</v>
      </c>
      <c r="T53" s="271">
        <f t="shared" ref="T53" si="27">T27-T36-T52</f>
        <v>0</v>
      </c>
      <c r="U53" s="271">
        <f>U27-U36-U52</f>
        <v>4924119.3160246154</v>
      </c>
      <c r="V53" s="271">
        <f>V27-V36-V52</f>
        <v>0</v>
      </c>
      <c r="W53" s="271">
        <f>W27-W36-W52</f>
        <v>0</v>
      </c>
      <c r="X53" s="271" t="e">
        <f>X27-X36-X52</f>
        <v>#REF!</v>
      </c>
      <c r="Y53" s="271" t="e">
        <f>Y27-Y36-Y52</f>
        <v>#REF!</v>
      </c>
    </row>
    <row r="54" spans="1:25" ht="16.2" thickTop="1">
      <c r="A54" s="16">
        <v>47</v>
      </c>
      <c r="B54" s="274"/>
      <c r="C54" s="243"/>
      <c r="D54" s="248"/>
      <c r="E54" s="249"/>
      <c r="F54" s="260"/>
      <c r="G54" s="251"/>
    </row>
    <row r="55" spans="1:25">
      <c r="A55" s="228">
        <v>48</v>
      </c>
      <c r="B55" s="242" t="s">
        <v>186</v>
      </c>
      <c r="C55" s="243"/>
      <c r="D55" s="248"/>
      <c r="E55" s="249"/>
      <c r="F55" s="260"/>
      <c r="G55" s="251"/>
    </row>
    <row r="56" spans="1:25">
      <c r="A56" s="16">
        <v>49</v>
      </c>
      <c r="B56" s="287">
        <v>813</v>
      </c>
      <c r="C56" s="247" t="s">
        <v>187</v>
      </c>
      <c r="D56" s="248"/>
      <c r="E56" s="264">
        <v>698.22</v>
      </c>
      <c r="F56" s="250">
        <v>518290.52</v>
      </c>
      <c r="G56" s="251">
        <f>SUM(E56:F56)</f>
        <v>518988.74</v>
      </c>
      <c r="N56" s="1008">
        <f>+'Pro Forma Wage Adjustment'!P20</f>
        <v>7924.4900311199854</v>
      </c>
      <c r="X56" s="252">
        <f>SUM(I56:W56)</f>
        <v>7924.4900311199854</v>
      </c>
      <c r="Y56" s="252">
        <f>+G56+X56</f>
        <v>526913.23003112001</v>
      </c>
    </row>
    <row r="57" spans="1:25">
      <c r="A57" s="228">
        <v>50</v>
      </c>
      <c r="B57" s="287"/>
      <c r="C57" s="247"/>
      <c r="D57" s="248"/>
      <c r="E57" s="264"/>
      <c r="F57" s="250"/>
      <c r="G57" s="251"/>
    </row>
    <row r="58" spans="1:25">
      <c r="A58" s="16">
        <v>51</v>
      </c>
      <c r="B58" s="242" t="s">
        <v>188</v>
      </c>
      <c r="C58" s="243"/>
      <c r="D58" s="248"/>
      <c r="E58" s="249"/>
      <c r="F58" s="260"/>
      <c r="G58" s="251"/>
    </row>
    <row r="59" spans="1:25">
      <c r="A59" s="228">
        <v>52</v>
      </c>
      <c r="B59" s="242" t="s">
        <v>189</v>
      </c>
      <c r="C59" s="243"/>
      <c r="D59" s="248"/>
      <c r="E59" s="249"/>
      <c r="F59" s="260"/>
      <c r="G59" s="251"/>
    </row>
    <row r="60" spans="1:25">
      <c r="A60" s="16">
        <v>53</v>
      </c>
      <c r="B60" s="246" t="s">
        <v>190</v>
      </c>
      <c r="C60" s="247" t="s">
        <v>191</v>
      </c>
      <c r="D60" s="248"/>
      <c r="E60" s="264">
        <v>1265905.44</v>
      </c>
      <c r="F60" s="250">
        <v>182305.89</v>
      </c>
      <c r="G60" s="251">
        <f t="shared" ref="G60:G70" si="28">SUM(E60:F60)</f>
        <v>1448211.33</v>
      </c>
      <c r="N60" s="1008">
        <f>+'Pro Forma Wage Adjustment'!P21</f>
        <v>49641.017609878676</v>
      </c>
      <c r="Q60" s="68">
        <f>+'Pro Forma Compliance Department'!L15</f>
        <v>130503.46816</v>
      </c>
      <c r="R60" s="211" t="e">
        <f>#REF!</f>
        <v>#REF!</v>
      </c>
      <c r="X60" s="252" t="e">
        <f t="shared" ref="X60:X70" si="29">SUM(I60:W60)</f>
        <v>#REF!</v>
      </c>
      <c r="Y60" s="252" t="e">
        <f t="shared" ref="Y60:Y70" si="30">+G60+X60</f>
        <v>#REF!</v>
      </c>
    </row>
    <row r="61" spans="1:25">
      <c r="A61" s="228">
        <v>54</v>
      </c>
      <c r="B61" s="246" t="s">
        <v>192</v>
      </c>
      <c r="C61" s="247" t="s">
        <v>193</v>
      </c>
      <c r="D61" s="248"/>
      <c r="E61" s="264">
        <v>90246.86</v>
      </c>
      <c r="F61" s="250">
        <v>395274.34</v>
      </c>
      <c r="G61" s="251">
        <f t="shared" si="28"/>
        <v>485521.2</v>
      </c>
      <c r="N61" s="998">
        <f>+'Pro Forma Wage Adjustment'!P22+'Pro Forma Wage Adjustment'!P39</f>
        <v>16629.825443349728</v>
      </c>
      <c r="X61" s="252">
        <f t="shared" si="29"/>
        <v>16629.825443349728</v>
      </c>
      <c r="Y61" s="252">
        <f t="shared" si="30"/>
        <v>502151.02544334973</v>
      </c>
    </row>
    <row r="62" spans="1:25">
      <c r="A62" s="16">
        <v>55</v>
      </c>
      <c r="B62" s="261" t="s">
        <v>194</v>
      </c>
      <c r="C62" s="247" t="s">
        <v>195</v>
      </c>
      <c r="D62" s="265"/>
      <c r="E62" s="264">
        <v>111564.47</v>
      </c>
      <c r="F62" s="250">
        <v>0</v>
      </c>
      <c r="G62" s="251">
        <f t="shared" si="28"/>
        <v>111564.47</v>
      </c>
      <c r="N62" s="998">
        <f>+'Pro Forma Wage Adjustment'!P40</f>
        <v>3088.964866760014</v>
      </c>
      <c r="X62" s="252">
        <f t="shared" si="29"/>
        <v>3088.964866760014</v>
      </c>
      <c r="Y62" s="252">
        <f t="shared" si="30"/>
        <v>114653.43486676001</v>
      </c>
    </row>
    <row r="63" spans="1:25">
      <c r="A63" s="228">
        <v>56</v>
      </c>
      <c r="B63" s="261" t="s">
        <v>196</v>
      </c>
      <c r="C63" s="247" t="s">
        <v>197</v>
      </c>
      <c r="D63" s="248"/>
      <c r="E63" s="264">
        <v>2941525.26</v>
      </c>
      <c r="F63" s="250">
        <v>570246.49</v>
      </c>
      <c r="G63" s="251">
        <f t="shared" si="28"/>
        <v>3511771.75</v>
      </c>
      <c r="N63" s="998">
        <f>+'Pro Forma Wage Adjustment'!P23+'Pro Forma Wage Adjustment'!P41</f>
        <v>94425.607275587274</v>
      </c>
      <c r="V63" s="288"/>
      <c r="X63" s="252">
        <f t="shared" si="29"/>
        <v>94425.607275587274</v>
      </c>
      <c r="Y63" s="252">
        <f t="shared" si="30"/>
        <v>3606197.3572755875</v>
      </c>
    </row>
    <row r="64" spans="1:25">
      <c r="A64" s="16">
        <v>57</v>
      </c>
      <c r="B64" s="246" t="s">
        <v>198</v>
      </c>
      <c r="C64" s="247" t="s">
        <v>199</v>
      </c>
      <c r="D64" s="248"/>
      <c r="E64" s="264">
        <v>492860.69</v>
      </c>
      <c r="F64" s="250">
        <v>97091.34</v>
      </c>
      <c r="G64" s="251">
        <f t="shared" si="28"/>
        <v>589952.03</v>
      </c>
      <c r="N64" s="998">
        <f>+'Pro Forma Wage Adjustment'!P42</f>
        <v>11802.350379227468</v>
      </c>
      <c r="X64" s="252">
        <f t="shared" si="29"/>
        <v>11802.350379227468</v>
      </c>
      <c r="Y64" s="252">
        <f t="shared" si="30"/>
        <v>601754.38037922746</v>
      </c>
    </row>
    <row r="65" spans="1:25">
      <c r="A65" s="228">
        <v>58</v>
      </c>
      <c r="B65" s="246" t="s">
        <v>200</v>
      </c>
      <c r="C65" s="247" t="s">
        <v>201</v>
      </c>
      <c r="D65" s="248"/>
      <c r="E65" s="264">
        <v>111243.52</v>
      </c>
      <c r="F65" s="250">
        <v>40900.660000000003</v>
      </c>
      <c r="G65" s="251">
        <f t="shared" si="28"/>
        <v>152144.18</v>
      </c>
      <c r="N65" s="998">
        <f>+'Pro Forma Wage Adjustment'!P43</f>
        <v>2828.308311192322</v>
      </c>
      <c r="X65" s="252">
        <f t="shared" si="29"/>
        <v>2828.308311192322</v>
      </c>
      <c r="Y65" s="252">
        <f t="shared" si="30"/>
        <v>154972.48831119231</v>
      </c>
    </row>
    <row r="66" spans="1:25">
      <c r="A66" s="16">
        <v>59</v>
      </c>
      <c r="B66" s="246" t="s">
        <v>202</v>
      </c>
      <c r="C66" s="247" t="s">
        <v>203</v>
      </c>
      <c r="D66" s="248"/>
      <c r="E66" s="264">
        <v>1321461.1100000001</v>
      </c>
      <c r="F66" s="250">
        <v>0</v>
      </c>
      <c r="G66" s="251">
        <f t="shared" si="28"/>
        <v>1321461.1100000001</v>
      </c>
      <c r="N66" s="998">
        <f>+'Pro Forma Wage Adjustment'!P24+'Pro Forma Wage Adjustment'!P44</f>
        <v>44826.63596906051</v>
      </c>
      <c r="X66" s="252">
        <f t="shared" si="29"/>
        <v>44826.63596906051</v>
      </c>
      <c r="Y66" s="252">
        <f t="shared" si="30"/>
        <v>1366287.7459690606</v>
      </c>
    </row>
    <row r="67" spans="1:25">
      <c r="A67" s="228">
        <v>60</v>
      </c>
      <c r="B67" s="246" t="s">
        <v>204</v>
      </c>
      <c r="C67" s="247" t="s">
        <v>205</v>
      </c>
      <c r="D67" s="248"/>
      <c r="E67" s="264">
        <v>1049257.67</v>
      </c>
      <c r="F67" s="250">
        <v>0</v>
      </c>
      <c r="G67" s="251">
        <f t="shared" si="28"/>
        <v>1049257.67</v>
      </c>
      <c r="N67" s="998">
        <f>+'Pro Forma Wage Adjustment'!P45</f>
        <v>37527.199058849576</v>
      </c>
      <c r="X67" s="252">
        <f t="shared" si="29"/>
        <v>37527.199058849576</v>
      </c>
      <c r="Y67" s="252">
        <f t="shared" si="30"/>
        <v>1086784.8690588495</v>
      </c>
    </row>
    <row r="68" spans="1:25">
      <c r="A68" s="16">
        <v>61</v>
      </c>
      <c r="B68" s="246" t="s">
        <v>206</v>
      </c>
      <c r="C68" s="247" t="s">
        <v>207</v>
      </c>
      <c r="D68" s="248"/>
      <c r="E68" s="264">
        <v>2478406.37</v>
      </c>
      <c r="F68" s="250">
        <v>809791.83</v>
      </c>
      <c r="G68" s="251">
        <f t="shared" si="28"/>
        <v>3288198.2</v>
      </c>
      <c r="N68" s="998">
        <f>+'Pro Forma Wage Adjustment'!P25+'Pro Forma Wage Adjustment'!P46</f>
        <v>58346.081927754225</v>
      </c>
      <c r="X68" s="252">
        <f t="shared" si="29"/>
        <v>58346.081927754225</v>
      </c>
      <c r="Y68" s="252">
        <f t="shared" si="30"/>
        <v>3346544.2819277546</v>
      </c>
    </row>
    <row r="69" spans="1:25">
      <c r="A69" s="228">
        <v>62</v>
      </c>
      <c r="B69" s="246" t="s">
        <v>208</v>
      </c>
      <c r="C69" s="247" t="s">
        <v>209</v>
      </c>
      <c r="D69" s="248"/>
      <c r="E69" s="264">
        <v>148018.69</v>
      </c>
      <c r="F69" s="250">
        <v>1881.99</v>
      </c>
      <c r="G69" s="251">
        <f t="shared" si="28"/>
        <v>149900.68</v>
      </c>
      <c r="X69" s="252">
        <f t="shared" si="29"/>
        <v>0</v>
      </c>
      <c r="Y69" s="252">
        <f t="shared" si="30"/>
        <v>149900.68</v>
      </c>
    </row>
    <row r="70" spans="1:25">
      <c r="A70" s="16">
        <v>63</v>
      </c>
      <c r="B70" s="246" t="s">
        <v>210</v>
      </c>
      <c r="C70" s="247" t="s">
        <v>211</v>
      </c>
      <c r="D70" s="265"/>
      <c r="E70" s="264">
        <v>0</v>
      </c>
      <c r="F70" s="250">
        <v>0</v>
      </c>
      <c r="G70" s="251">
        <f t="shared" si="28"/>
        <v>0</v>
      </c>
      <c r="X70" s="252">
        <f t="shared" si="29"/>
        <v>0</v>
      </c>
      <c r="Y70" s="252">
        <f t="shared" si="30"/>
        <v>0</v>
      </c>
    </row>
    <row r="71" spans="1:25">
      <c r="A71" s="228">
        <v>64</v>
      </c>
      <c r="B71" s="274"/>
      <c r="C71" s="289" t="s">
        <v>212</v>
      </c>
      <c r="D71" s="253"/>
      <c r="E71" s="254">
        <f t="shared" ref="E71:S71" si="31">SUM(E60:E70)</f>
        <v>10010490.08</v>
      </c>
      <c r="F71" s="267">
        <f t="shared" si="31"/>
        <v>2097492.54</v>
      </c>
      <c r="G71" s="256">
        <f t="shared" si="31"/>
        <v>12107982.620000001</v>
      </c>
      <c r="I71" s="256">
        <f t="shared" si="31"/>
        <v>0</v>
      </c>
      <c r="J71" s="256">
        <f t="shared" si="31"/>
        <v>0</v>
      </c>
      <c r="K71" s="257">
        <f>SUM(K60:K70)</f>
        <v>0</v>
      </c>
      <c r="L71" s="256">
        <f t="shared" si="31"/>
        <v>0</v>
      </c>
      <c r="M71" s="256">
        <f t="shared" si="31"/>
        <v>0</v>
      </c>
      <c r="N71" s="1002">
        <f t="shared" si="31"/>
        <v>319115.99084165978</v>
      </c>
      <c r="O71" s="256">
        <f t="shared" si="31"/>
        <v>0</v>
      </c>
      <c r="P71" s="256">
        <f t="shared" si="31"/>
        <v>0</v>
      </c>
      <c r="Q71" s="256">
        <f t="shared" ref="Q71" si="32">SUM(Q60:Q70)</f>
        <v>130503.46816</v>
      </c>
      <c r="R71" s="258" t="e">
        <f t="shared" si="31"/>
        <v>#REF!</v>
      </c>
      <c r="S71" s="256">
        <f t="shared" si="31"/>
        <v>0</v>
      </c>
      <c r="T71" s="256">
        <f t="shared" ref="T71" si="33">SUM(T60:T70)</f>
        <v>0</v>
      </c>
      <c r="U71" s="256">
        <f>SUM(U60:U70)</f>
        <v>0</v>
      </c>
      <c r="V71" s="256">
        <f>SUM(V60:V70)</f>
        <v>0</v>
      </c>
      <c r="W71" s="256">
        <f>SUM(W60:W70)</f>
        <v>0</v>
      </c>
      <c r="X71" s="256" t="e">
        <f>SUM(X60:X70)</f>
        <v>#REF!</v>
      </c>
      <c r="Y71" s="256" t="e">
        <f>SUM(Y60:Y70)</f>
        <v>#REF!</v>
      </c>
    </row>
    <row r="72" spans="1:25">
      <c r="A72" s="16">
        <v>65</v>
      </c>
      <c r="B72" s="274"/>
      <c r="C72" s="243"/>
      <c r="D72" s="248"/>
      <c r="E72" s="249"/>
      <c r="F72" s="260"/>
      <c r="G72" s="251"/>
    </row>
    <row r="73" spans="1:25">
      <c r="A73" s="228">
        <v>66</v>
      </c>
      <c r="B73" s="242" t="s">
        <v>213</v>
      </c>
      <c r="C73" s="243"/>
      <c r="D73" s="248"/>
      <c r="E73" s="249"/>
      <c r="F73" s="260"/>
      <c r="G73" s="251"/>
    </row>
    <row r="74" spans="1:25">
      <c r="A74" s="16">
        <v>67</v>
      </c>
      <c r="B74" s="246" t="s">
        <v>214</v>
      </c>
      <c r="C74" s="247" t="s">
        <v>215</v>
      </c>
      <c r="D74" s="265"/>
      <c r="E74" s="264">
        <v>113684.28</v>
      </c>
      <c r="F74" s="250">
        <v>20136.150000000001</v>
      </c>
      <c r="G74" s="266">
        <f t="shared" ref="G74:G82" si="34">SUM(E74:F74)</f>
        <v>133820.43</v>
      </c>
      <c r="N74" s="998">
        <f>+'Pro Forma Wage Adjustment'!P26</f>
        <v>4825.4728660400206</v>
      </c>
      <c r="X74" s="252">
        <f t="shared" ref="X74:X82" si="35">SUM(I74:W74)</f>
        <v>4825.4728660400206</v>
      </c>
      <c r="Y74" s="252">
        <f t="shared" ref="Y74:Y82" si="36">+G74+X74</f>
        <v>138645.90286604001</v>
      </c>
    </row>
    <row r="75" spans="1:25">
      <c r="A75" s="228">
        <v>68</v>
      </c>
      <c r="B75" s="246" t="s">
        <v>216</v>
      </c>
      <c r="C75" s="247" t="s">
        <v>217</v>
      </c>
      <c r="D75" s="248"/>
      <c r="E75" s="264">
        <v>15119.07</v>
      </c>
      <c r="F75" s="250">
        <v>715.76</v>
      </c>
      <c r="G75" s="263">
        <f t="shared" si="34"/>
        <v>15834.83</v>
      </c>
      <c r="N75" s="998">
        <f>+'Pro Forma Wage Adjustment'!P47</f>
        <v>2.2915200000000002</v>
      </c>
      <c r="X75" s="252">
        <f t="shared" si="35"/>
        <v>2.2915200000000002</v>
      </c>
      <c r="Y75" s="252">
        <f t="shared" si="36"/>
        <v>15837.121520000001</v>
      </c>
    </row>
    <row r="76" spans="1:25">
      <c r="A76" s="16">
        <v>69</v>
      </c>
      <c r="B76" s="246" t="s">
        <v>218</v>
      </c>
      <c r="C76" s="247" t="s">
        <v>219</v>
      </c>
      <c r="D76" s="248"/>
      <c r="E76" s="264">
        <v>1231030.56</v>
      </c>
      <c r="F76" s="250">
        <v>23066.04</v>
      </c>
      <c r="G76" s="263">
        <f t="shared" si="34"/>
        <v>1254096.6000000001</v>
      </c>
      <c r="N76" s="998">
        <f>+'Pro Forma Wage Adjustment'!P27+'Pro Forma Wage Adjustment'!P48</f>
        <v>23434.676296774549</v>
      </c>
      <c r="X76" s="252">
        <f t="shared" si="35"/>
        <v>23434.676296774549</v>
      </c>
      <c r="Y76" s="252">
        <f t="shared" si="36"/>
        <v>1277531.2762967746</v>
      </c>
    </row>
    <row r="77" spans="1:25">
      <c r="A77" s="228">
        <v>70</v>
      </c>
      <c r="B77" s="261" t="s">
        <v>220</v>
      </c>
      <c r="C77" s="247" t="s">
        <v>195</v>
      </c>
      <c r="D77" s="265"/>
      <c r="E77" s="264">
        <v>39409.83</v>
      </c>
      <c r="F77" s="250">
        <v>3825.97</v>
      </c>
      <c r="G77" s="266">
        <f t="shared" si="34"/>
        <v>43235.8</v>
      </c>
      <c r="N77" s="998">
        <f>+'Pro Forma Wage Adjustment'!P49</f>
        <v>684.13096789999975</v>
      </c>
      <c r="X77" s="252">
        <f t="shared" si="35"/>
        <v>684.13096789999975</v>
      </c>
      <c r="Y77" s="252">
        <f t="shared" si="36"/>
        <v>43919.9309679</v>
      </c>
    </row>
    <row r="78" spans="1:25">
      <c r="A78" s="16">
        <v>71</v>
      </c>
      <c r="B78" s="246" t="s">
        <v>221</v>
      </c>
      <c r="C78" s="247" t="s">
        <v>222</v>
      </c>
      <c r="D78" s="248"/>
      <c r="E78" s="264">
        <v>330076.05</v>
      </c>
      <c r="F78" s="290">
        <v>3175.64</v>
      </c>
      <c r="G78" s="263">
        <f t="shared" si="34"/>
        <v>333251.69</v>
      </c>
      <c r="N78" s="998">
        <f>+'Pro Forma Wage Adjustment'!P50</f>
        <v>8587.609778337981</v>
      </c>
      <c r="X78" s="252">
        <f t="shared" si="35"/>
        <v>8587.609778337981</v>
      </c>
      <c r="Y78" s="252">
        <f t="shared" si="36"/>
        <v>341839.299778338</v>
      </c>
    </row>
    <row r="79" spans="1:25">
      <c r="A79" s="228">
        <v>72</v>
      </c>
      <c r="B79" s="246" t="s">
        <v>223</v>
      </c>
      <c r="C79" s="247" t="s">
        <v>224</v>
      </c>
      <c r="D79" s="248"/>
      <c r="E79" s="264">
        <v>21279.35</v>
      </c>
      <c r="F79" s="290" t="s">
        <v>955</v>
      </c>
      <c r="G79" s="263">
        <f t="shared" si="34"/>
        <v>21279.35</v>
      </c>
      <c r="N79" s="998">
        <f>+'Pro Forma Wage Adjustment'!P51</f>
        <v>435.76911481999986</v>
      </c>
      <c r="X79" s="252">
        <f t="shared" si="35"/>
        <v>435.76911481999986</v>
      </c>
      <c r="Y79" s="252">
        <f t="shared" si="36"/>
        <v>21715.119114819998</v>
      </c>
    </row>
    <row r="80" spans="1:25">
      <c r="A80" s="16">
        <v>73</v>
      </c>
      <c r="B80" s="246" t="s">
        <v>225</v>
      </c>
      <c r="C80" s="247" t="s">
        <v>105</v>
      </c>
      <c r="D80" s="248"/>
      <c r="E80" s="264">
        <v>1172841.0900000001</v>
      </c>
      <c r="F80" s="290">
        <v>4184.87</v>
      </c>
      <c r="G80" s="263">
        <f t="shared" si="34"/>
        <v>1177025.9600000002</v>
      </c>
      <c r="N80" s="998">
        <f>+'Pro Forma Wage Adjustment'!P28+'Pro Forma Wage Adjustment'!P52</f>
        <v>32713.301491046703</v>
      </c>
      <c r="X80" s="252">
        <f t="shared" si="35"/>
        <v>32713.301491046703</v>
      </c>
      <c r="Y80" s="252">
        <f t="shared" si="36"/>
        <v>1209739.261491047</v>
      </c>
    </row>
    <row r="81" spans="1:25">
      <c r="A81" s="228">
        <v>74</v>
      </c>
      <c r="B81" s="246" t="s">
        <v>226</v>
      </c>
      <c r="C81" s="247" t="s">
        <v>227</v>
      </c>
      <c r="D81" s="248"/>
      <c r="E81" s="264">
        <v>888408.89</v>
      </c>
      <c r="F81" s="290">
        <v>204765.56</v>
      </c>
      <c r="G81" s="263">
        <f t="shared" si="34"/>
        <v>1093174.45</v>
      </c>
      <c r="N81" s="998">
        <f>+'Pro Forma Wage Adjustment'!P29+'Pro Forma Wage Adjustment'!P53</f>
        <v>35999.558869618428</v>
      </c>
      <c r="X81" s="252">
        <f t="shared" si="35"/>
        <v>35999.558869618428</v>
      </c>
      <c r="Y81" s="252">
        <f t="shared" si="36"/>
        <v>1129174.0088696184</v>
      </c>
    </row>
    <row r="82" spans="1:25">
      <c r="A82" s="16">
        <v>75</v>
      </c>
      <c r="B82" s="246" t="s">
        <v>228</v>
      </c>
      <c r="C82" s="247" t="s">
        <v>229</v>
      </c>
      <c r="D82" s="248"/>
      <c r="E82" s="264">
        <v>144620.75</v>
      </c>
      <c r="F82" s="290">
        <v>1954.91</v>
      </c>
      <c r="G82" s="263">
        <f t="shared" si="34"/>
        <v>146575.66</v>
      </c>
      <c r="N82" s="998">
        <f>+'Pro Forma Wage Adjustment'!P54</f>
        <v>2521.3486447500045</v>
      </c>
      <c r="X82" s="252">
        <f t="shared" si="35"/>
        <v>2521.3486447500045</v>
      </c>
      <c r="Y82" s="252">
        <f t="shared" si="36"/>
        <v>149097.00864475002</v>
      </c>
    </row>
    <row r="83" spans="1:25">
      <c r="A83" s="228">
        <v>76</v>
      </c>
      <c r="B83" s="274"/>
      <c r="C83" s="289" t="s">
        <v>230</v>
      </c>
      <c r="D83" s="253"/>
      <c r="E83" s="254">
        <f t="shared" ref="E83:G83" si="37">SUM(E74:E82)</f>
        <v>3956469.8700000006</v>
      </c>
      <c r="F83" s="267">
        <f t="shared" si="37"/>
        <v>261824.9</v>
      </c>
      <c r="G83" s="256">
        <f t="shared" si="37"/>
        <v>4218294.7700000005</v>
      </c>
      <c r="I83" s="256">
        <f t="shared" ref="I83:S83" si="38">SUM(I74:I82)</f>
        <v>0</v>
      </c>
      <c r="J83" s="256">
        <f t="shared" si="38"/>
        <v>0</v>
      </c>
      <c r="K83" s="257">
        <f>SUM(K74:K82)</f>
        <v>0</v>
      </c>
      <c r="L83" s="256">
        <f>SUM(L74:L82)</f>
        <v>0</v>
      </c>
      <c r="M83" s="256">
        <f t="shared" si="38"/>
        <v>0</v>
      </c>
      <c r="N83" s="1002">
        <f t="shared" si="38"/>
        <v>109204.15954928768</v>
      </c>
      <c r="O83" s="256">
        <f t="shared" si="38"/>
        <v>0</v>
      </c>
      <c r="P83" s="256">
        <f t="shared" si="38"/>
        <v>0</v>
      </c>
      <c r="Q83" s="256">
        <f t="shared" ref="Q83" si="39">SUM(Q74:Q82)</f>
        <v>0</v>
      </c>
      <c r="R83" s="258">
        <f>SUM(R74:R82)</f>
        <v>0</v>
      </c>
      <c r="S83" s="256">
        <f t="shared" si="38"/>
        <v>0</v>
      </c>
      <c r="T83" s="256">
        <f t="shared" ref="T83" si="40">SUM(T74:T82)</f>
        <v>0</v>
      </c>
      <c r="U83" s="256">
        <f>SUM(U74:U82)</f>
        <v>0</v>
      </c>
      <c r="V83" s="256">
        <f>SUM(V74:V82)</f>
        <v>0</v>
      </c>
      <c r="W83" s="256">
        <f>SUM(W74:W82)</f>
        <v>0</v>
      </c>
      <c r="X83" s="256">
        <f>SUM(X74:X82)</f>
        <v>109204.15954928768</v>
      </c>
      <c r="Y83" s="256">
        <f>SUM(Y74:Y82)</f>
        <v>4327498.929549288</v>
      </c>
    </row>
    <row r="84" spans="1:25">
      <c r="A84" s="16">
        <v>77</v>
      </c>
      <c r="B84" s="242" t="s">
        <v>231</v>
      </c>
      <c r="C84" s="243"/>
      <c r="D84" s="280"/>
      <c r="E84" s="281">
        <f t="shared" ref="E84:G84" si="41">E71+E83</f>
        <v>13966959.950000001</v>
      </c>
      <c r="F84" s="291">
        <f t="shared" si="41"/>
        <v>2359317.44</v>
      </c>
      <c r="G84" s="283">
        <f t="shared" si="41"/>
        <v>16326277.390000001</v>
      </c>
      <c r="I84" s="283">
        <f t="shared" ref="I84:S84" si="42">I71+I83</f>
        <v>0</v>
      </c>
      <c r="J84" s="283">
        <f t="shared" si="42"/>
        <v>0</v>
      </c>
      <c r="K84" s="284">
        <f>K71+K83</f>
        <v>0</v>
      </c>
      <c r="L84" s="283">
        <f>L71+L83</f>
        <v>0</v>
      </c>
      <c r="M84" s="283">
        <f t="shared" si="42"/>
        <v>0</v>
      </c>
      <c r="N84" s="1005">
        <f t="shared" si="42"/>
        <v>428320.15039094747</v>
      </c>
      <c r="O84" s="283">
        <f t="shared" si="42"/>
        <v>0</v>
      </c>
      <c r="P84" s="283">
        <f t="shared" si="42"/>
        <v>0</v>
      </c>
      <c r="Q84" s="283">
        <f t="shared" ref="Q84" si="43">Q71+Q83</f>
        <v>130503.46816</v>
      </c>
      <c r="R84" s="285" t="e">
        <f>R71+R83</f>
        <v>#REF!</v>
      </c>
      <c r="S84" s="283">
        <f t="shared" si="42"/>
        <v>0</v>
      </c>
      <c r="T84" s="283">
        <f t="shared" ref="T84" si="44">T71+T83</f>
        <v>0</v>
      </c>
      <c r="U84" s="283">
        <f>U71+U83</f>
        <v>0</v>
      </c>
      <c r="V84" s="283">
        <f>V71+V83</f>
        <v>0</v>
      </c>
      <c r="W84" s="283">
        <f>W71+W83</f>
        <v>0</v>
      </c>
      <c r="X84" s="283" t="e">
        <f>X71+X83</f>
        <v>#REF!</v>
      </c>
      <c r="Y84" s="283" t="e">
        <f>Y71+Y83</f>
        <v>#REF!</v>
      </c>
    </row>
    <row r="85" spans="1:25">
      <c r="A85" s="228">
        <v>78</v>
      </c>
      <c r="B85" s="274"/>
      <c r="C85" s="243"/>
      <c r="D85" s="248"/>
      <c r="E85" s="249"/>
      <c r="F85" s="260"/>
      <c r="G85" s="251"/>
    </row>
    <row r="86" spans="1:25">
      <c r="A86" s="16">
        <v>79</v>
      </c>
      <c r="B86" s="242" t="s">
        <v>232</v>
      </c>
      <c r="C86" s="243"/>
      <c r="D86" s="248"/>
      <c r="E86" s="249"/>
      <c r="F86" s="260"/>
      <c r="G86" s="251"/>
    </row>
    <row r="87" spans="1:25">
      <c r="A87" s="228">
        <v>80</v>
      </c>
      <c r="B87" s="246" t="s">
        <v>233</v>
      </c>
      <c r="C87" s="247" t="s">
        <v>234</v>
      </c>
      <c r="D87" s="248"/>
      <c r="E87" s="264">
        <v>-2718</v>
      </c>
      <c r="F87" s="290">
        <v>-9.7899999999999991</v>
      </c>
      <c r="G87" s="263">
        <f>SUM(E87:F87)</f>
        <v>-2727.79</v>
      </c>
      <c r="X87" s="252">
        <f>SUM(I87:W87)</f>
        <v>0</v>
      </c>
      <c r="Y87" s="252">
        <f>+G87+X87</f>
        <v>-2727.79</v>
      </c>
    </row>
    <row r="88" spans="1:25">
      <c r="A88" s="16">
        <v>81</v>
      </c>
      <c r="B88" s="246" t="s">
        <v>235</v>
      </c>
      <c r="C88" s="247" t="s">
        <v>236</v>
      </c>
      <c r="D88" s="248"/>
      <c r="E88" s="264">
        <v>424648.59</v>
      </c>
      <c r="F88" s="290">
        <v>98249.5</v>
      </c>
      <c r="G88" s="263">
        <f>SUM(E88:F88)</f>
        <v>522898.09</v>
      </c>
      <c r="N88" s="998">
        <f>+'Pro Forma Wage Adjustment'!P55</f>
        <v>14433.665410310074</v>
      </c>
      <c r="X88" s="252">
        <f>SUM(I88:W88)</f>
        <v>14433.665410310074</v>
      </c>
      <c r="Y88" s="252">
        <f>+G88+X88</f>
        <v>537331.75541031011</v>
      </c>
    </row>
    <row r="89" spans="1:25">
      <c r="A89" s="228">
        <v>82</v>
      </c>
      <c r="B89" s="246" t="s">
        <v>237</v>
      </c>
      <c r="C89" s="247" t="s">
        <v>238</v>
      </c>
      <c r="D89" s="248"/>
      <c r="E89" s="264">
        <v>523112.58</v>
      </c>
      <c r="F89" s="290">
        <v>4560961.6900000004</v>
      </c>
      <c r="G89" s="263">
        <f>SUM(E89:F89)</f>
        <v>5084074.2700000005</v>
      </c>
      <c r="N89" s="998">
        <f>+'Pro Forma Wage Adjustment'!P30+'Pro Forma Wage Adjustment'!P56+'Pro Forma Wage Adjustment'!P31</f>
        <v>30260.338588035775</v>
      </c>
      <c r="X89" s="252">
        <f>SUM(I89:W89)</f>
        <v>30260.338588035775</v>
      </c>
      <c r="Y89" s="252">
        <f>+G89+X89</f>
        <v>5114334.6085880361</v>
      </c>
    </row>
    <row r="90" spans="1:25">
      <c r="A90" s="16">
        <v>83</v>
      </c>
      <c r="B90" s="246" t="s">
        <v>239</v>
      </c>
      <c r="C90" s="247" t="s">
        <v>17</v>
      </c>
      <c r="D90" s="248"/>
      <c r="E90" s="264">
        <v>765092.15</v>
      </c>
      <c r="F90" s="290">
        <v>12975.59</v>
      </c>
      <c r="G90" s="263">
        <f>SUM(E90:F90)</f>
        <v>778067.74</v>
      </c>
      <c r="I90" s="68">
        <f>+'Summary of Adjustments'!G26</f>
        <v>47274.32037840251</v>
      </c>
      <c r="K90" s="212">
        <f>+'Summary of Adjustments'!I26</f>
        <v>-22087.385302345447</v>
      </c>
      <c r="O90" s="93">
        <f>+'Summary of Adjustments'!T26</f>
        <v>758.39417037203009</v>
      </c>
      <c r="S90" s="68">
        <f>'Summary of Adjustments'!X26</f>
        <v>-385.54302205501142</v>
      </c>
      <c r="U90" s="68">
        <f>+'Summary of Adjustments'!Z26</f>
        <v>27705.599619375902</v>
      </c>
      <c r="X90" s="252">
        <f>SUM(I90:W90)</f>
        <v>53265.385843749988</v>
      </c>
      <c r="Y90" s="252">
        <f>+G90+X90</f>
        <v>831333.12584374996</v>
      </c>
    </row>
    <row r="91" spans="1:25">
      <c r="A91" s="228">
        <v>84</v>
      </c>
      <c r="B91" s="246" t="s">
        <v>240</v>
      </c>
      <c r="C91" s="247" t="s">
        <v>241</v>
      </c>
      <c r="D91" s="248"/>
      <c r="E91" s="264">
        <v>0</v>
      </c>
      <c r="F91" s="290">
        <v>795.98</v>
      </c>
      <c r="G91" s="263">
        <f>SUM(E91:F91)</f>
        <v>795.98</v>
      </c>
      <c r="X91" s="252">
        <f>SUM(I91:W91)</f>
        <v>0</v>
      </c>
      <c r="Y91" s="252">
        <f>+G91+X91</f>
        <v>795.98</v>
      </c>
    </row>
    <row r="92" spans="1:25">
      <c r="A92" s="16">
        <v>85</v>
      </c>
      <c r="B92" s="242" t="s">
        <v>242</v>
      </c>
      <c r="C92" s="243"/>
      <c r="D92" s="253"/>
      <c r="E92" s="254">
        <f t="shared" ref="E92:S92" si="45">SUM(E87:E91)</f>
        <v>1710135.32</v>
      </c>
      <c r="F92" s="267">
        <f t="shared" si="45"/>
        <v>4672972.9700000007</v>
      </c>
      <c r="G92" s="256">
        <f t="shared" si="45"/>
        <v>6383108.290000001</v>
      </c>
      <c r="I92" s="256">
        <f t="shared" si="45"/>
        <v>47274.32037840251</v>
      </c>
      <c r="J92" s="256">
        <f t="shared" si="45"/>
        <v>0</v>
      </c>
      <c r="K92" s="257">
        <f>SUM(K87:K91)</f>
        <v>-22087.385302345447</v>
      </c>
      <c r="L92" s="256">
        <f t="shared" si="45"/>
        <v>0</v>
      </c>
      <c r="M92" s="256">
        <f t="shared" si="45"/>
        <v>0</v>
      </c>
      <c r="N92" s="1002">
        <f t="shared" si="45"/>
        <v>44694.003998345848</v>
      </c>
      <c r="O92" s="256">
        <f t="shared" si="45"/>
        <v>758.39417037203009</v>
      </c>
      <c r="P92" s="256">
        <f t="shared" si="45"/>
        <v>0</v>
      </c>
      <c r="Q92" s="256">
        <f t="shared" ref="Q92" si="46">SUM(Q87:Q91)</f>
        <v>0</v>
      </c>
      <c r="R92" s="258">
        <f t="shared" si="45"/>
        <v>0</v>
      </c>
      <c r="S92" s="256">
        <f t="shared" si="45"/>
        <v>-385.54302205501142</v>
      </c>
      <c r="T92" s="256">
        <f t="shared" ref="T92" si="47">SUM(T87:T91)</f>
        <v>0</v>
      </c>
      <c r="U92" s="256">
        <f>SUM(U87:U91)</f>
        <v>27705.599619375902</v>
      </c>
      <c r="V92" s="256">
        <f>SUM(V87:V91)</f>
        <v>0</v>
      </c>
      <c r="W92" s="256">
        <f>SUM(W87:W91)</f>
        <v>0</v>
      </c>
      <c r="X92" s="256">
        <f>SUM(X87:X91)</f>
        <v>97959.389842095843</v>
      </c>
      <c r="Y92" s="256">
        <f>SUM(Y87:Y91)</f>
        <v>6481067.6798420968</v>
      </c>
    </row>
    <row r="93" spans="1:25">
      <c r="A93" s="228">
        <v>86</v>
      </c>
      <c r="B93" s="274"/>
      <c r="C93" s="243"/>
      <c r="D93" s="248"/>
      <c r="E93" s="249"/>
      <c r="F93" s="260"/>
      <c r="G93" s="251"/>
    </row>
    <row r="94" spans="1:25">
      <c r="A94" s="16">
        <v>87</v>
      </c>
      <c r="B94" s="242" t="s">
        <v>243</v>
      </c>
      <c r="C94" s="243"/>
      <c r="D94" s="248"/>
      <c r="E94" s="249"/>
      <c r="F94" s="260"/>
      <c r="G94" s="251"/>
    </row>
    <row r="95" spans="1:25">
      <c r="A95" s="228">
        <v>88</v>
      </c>
      <c r="B95" s="246" t="s">
        <v>244</v>
      </c>
      <c r="C95" s="247" t="s">
        <v>234</v>
      </c>
      <c r="D95" s="248"/>
      <c r="E95" s="264">
        <v>0</v>
      </c>
      <c r="F95" s="290" t="s">
        <v>955</v>
      </c>
      <c r="G95" s="263">
        <f>SUM(E95:F95)</f>
        <v>0</v>
      </c>
      <c r="X95" s="252">
        <f>SUM(I95:W95)</f>
        <v>0</v>
      </c>
      <c r="Y95" s="252">
        <f>+G95+X95</f>
        <v>0</v>
      </c>
    </row>
    <row r="96" spans="1:25">
      <c r="A96" s="16">
        <v>89</v>
      </c>
      <c r="B96" s="246" t="s">
        <v>245</v>
      </c>
      <c r="C96" s="247" t="s">
        <v>246</v>
      </c>
      <c r="D96" s="248"/>
      <c r="E96" s="264">
        <v>533408.34</v>
      </c>
      <c r="F96" s="290">
        <v>250785.94</v>
      </c>
      <c r="G96" s="263">
        <f>SUM(E96:F96)</f>
        <v>784194.28</v>
      </c>
      <c r="L96" s="292" t="e">
        <f>-#REF!</f>
        <v>#REF!</v>
      </c>
      <c r="X96" s="252" t="e">
        <f>SUM(I96:W96)</f>
        <v>#REF!</v>
      </c>
      <c r="Y96" s="252" t="e">
        <f>+G96+X96</f>
        <v>#REF!</v>
      </c>
    </row>
    <row r="97" spans="1:25">
      <c r="A97" s="228">
        <v>90</v>
      </c>
      <c r="B97" s="246" t="s">
        <v>247</v>
      </c>
      <c r="C97" s="247" t="s">
        <v>248</v>
      </c>
      <c r="D97" s="248"/>
      <c r="E97" s="264">
        <v>9245.2199999999993</v>
      </c>
      <c r="F97" s="290">
        <v>30656.14</v>
      </c>
      <c r="G97" s="263">
        <f>SUM(E97:F97)</f>
        <v>39901.360000000001</v>
      </c>
      <c r="Y97" s="252">
        <f>+G97+X97</f>
        <v>39901.360000000001</v>
      </c>
    </row>
    <row r="98" spans="1:25">
      <c r="A98" s="16">
        <v>91</v>
      </c>
      <c r="B98" s="293" t="s">
        <v>249</v>
      </c>
      <c r="C98" s="247" t="s">
        <v>250</v>
      </c>
      <c r="D98" s="265"/>
      <c r="E98" s="264">
        <v>0</v>
      </c>
      <c r="F98" s="290" t="s">
        <v>955</v>
      </c>
      <c r="G98" s="266">
        <f>SUM(E98:F98)</f>
        <v>0</v>
      </c>
      <c r="Y98" s="252">
        <f>+G98+X98</f>
        <v>0</v>
      </c>
    </row>
    <row r="99" spans="1:25">
      <c r="A99" s="228">
        <v>92</v>
      </c>
      <c r="B99" s="259" t="s">
        <v>251</v>
      </c>
      <c r="C99" s="243"/>
      <c r="D99" s="253"/>
      <c r="E99" s="254">
        <f t="shared" ref="E99:S99" si="48">SUM(E95:E98)</f>
        <v>542653.55999999994</v>
      </c>
      <c r="F99" s="267">
        <f t="shared" si="48"/>
        <v>281442.08</v>
      </c>
      <c r="G99" s="256">
        <f t="shared" si="48"/>
        <v>824095.64</v>
      </c>
      <c r="I99" s="256">
        <f t="shared" si="48"/>
        <v>0</v>
      </c>
      <c r="J99" s="256">
        <f t="shared" si="48"/>
        <v>0</v>
      </c>
      <c r="K99" s="257">
        <f>SUM(K95:K98)</f>
        <v>0</v>
      </c>
      <c r="L99" s="256" t="e">
        <f t="shared" si="48"/>
        <v>#REF!</v>
      </c>
      <c r="M99" s="256">
        <f t="shared" si="48"/>
        <v>0</v>
      </c>
      <c r="N99" s="1002">
        <f t="shared" si="48"/>
        <v>0</v>
      </c>
      <c r="O99" s="256">
        <f t="shared" si="48"/>
        <v>0</v>
      </c>
      <c r="P99" s="256">
        <f t="shared" si="48"/>
        <v>0</v>
      </c>
      <c r="Q99" s="256">
        <f t="shared" ref="Q99" si="49">SUM(Q95:Q98)</f>
        <v>0</v>
      </c>
      <c r="R99" s="258">
        <f t="shared" si="48"/>
        <v>0</v>
      </c>
      <c r="S99" s="256">
        <f t="shared" si="48"/>
        <v>0</v>
      </c>
      <c r="T99" s="256">
        <f t="shared" ref="T99" si="50">SUM(T95:T98)</f>
        <v>0</v>
      </c>
      <c r="U99" s="256">
        <f>SUM(U95:U98)</f>
        <v>0</v>
      </c>
      <c r="V99" s="256">
        <f>SUM(V95:V98)</f>
        <v>0</v>
      </c>
      <c r="W99" s="256">
        <f>SUM(W95:W98)</f>
        <v>0</v>
      </c>
      <c r="X99" s="256" t="e">
        <f>SUM(X95:X98)</f>
        <v>#REF!</v>
      </c>
      <c r="Y99" s="256" t="e">
        <f>SUM(Y95:Y98)</f>
        <v>#REF!</v>
      </c>
    </row>
    <row r="100" spans="1:25">
      <c r="A100" s="16">
        <v>93</v>
      </c>
      <c r="B100" s="274"/>
      <c r="C100" s="243"/>
      <c r="D100" s="248"/>
      <c r="E100" s="249"/>
      <c r="F100" s="260"/>
      <c r="G100" s="251"/>
    </row>
    <row r="101" spans="1:25">
      <c r="A101" s="228">
        <v>94</v>
      </c>
      <c r="B101" s="242" t="s">
        <v>252</v>
      </c>
      <c r="C101" s="243"/>
      <c r="D101" s="248"/>
      <c r="E101" s="249"/>
      <c r="F101" s="260"/>
      <c r="G101" s="251"/>
    </row>
    <row r="102" spans="1:25">
      <c r="A102" s="16">
        <v>95</v>
      </c>
      <c r="B102" s="246" t="s">
        <v>253</v>
      </c>
      <c r="C102" s="247" t="s">
        <v>234</v>
      </c>
      <c r="D102" s="265"/>
      <c r="E102" s="264">
        <v>0</v>
      </c>
      <c r="F102" s="250">
        <v>0</v>
      </c>
      <c r="G102" s="266">
        <f>SUM(E102:F102)</f>
        <v>0</v>
      </c>
      <c r="X102" s="252">
        <f>SUM(I102:W102)</f>
        <v>0</v>
      </c>
      <c r="Y102" s="252">
        <f>+G102+X102</f>
        <v>0</v>
      </c>
    </row>
    <row r="103" spans="1:25">
      <c r="A103" s="228">
        <v>96</v>
      </c>
      <c r="B103" s="246" t="s">
        <v>254</v>
      </c>
      <c r="C103" s="247" t="s">
        <v>255</v>
      </c>
      <c r="D103" s="265"/>
      <c r="E103" s="264">
        <v>0</v>
      </c>
      <c r="F103" s="250">
        <v>0</v>
      </c>
      <c r="G103" s="266">
        <f>SUM(E103:F103)</f>
        <v>0</v>
      </c>
      <c r="X103" s="252">
        <f>SUM(I103:W103)</f>
        <v>0</v>
      </c>
      <c r="Y103" s="252">
        <f>+G103+X103</f>
        <v>0</v>
      </c>
    </row>
    <row r="104" spans="1:25">
      <c r="A104" s="16">
        <v>97</v>
      </c>
      <c r="B104" s="246" t="s">
        <v>256</v>
      </c>
      <c r="C104" s="247" t="s">
        <v>51</v>
      </c>
      <c r="D104" s="265"/>
      <c r="E104" s="264">
        <v>20.25</v>
      </c>
      <c r="F104" s="250">
        <v>4896.34</v>
      </c>
      <c r="G104" s="266">
        <f>SUM(E104:F104)</f>
        <v>4916.59</v>
      </c>
      <c r="J104" s="68" t="e">
        <f>-#REF!</f>
        <v>#REF!</v>
      </c>
      <c r="X104" s="252" t="e">
        <f>SUM(I104:W104)</f>
        <v>#REF!</v>
      </c>
      <c r="Y104" s="252" t="e">
        <f>+G104+X104</f>
        <v>#REF!</v>
      </c>
    </row>
    <row r="105" spans="1:25">
      <c r="A105" s="228">
        <v>98</v>
      </c>
      <c r="B105" s="246" t="s">
        <v>257</v>
      </c>
      <c r="C105" s="247" t="s">
        <v>258</v>
      </c>
      <c r="D105" s="265"/>
      <c r="E105" s="264">
        <v>0</v>
      </c>
      <c r="F105" s="250">
        <v>0</v>
      </c>
      <c r="G105" s="266">
        <f>SUM(E105:F105)</f>
        <v>0</v>
      </c>
      <c r="X105" s="252">
        <f>SUM(I105:W105)</f>
        <v>0</v>
      </c>
      <c r="Y105" s="252">
        <f>+G105+X105</f>
        <v>0</v>
      </c>
    </row>
    <row r="106" spans="1:25">
      <c r="A106" s="16">
        <v>99</v>
      </c>
      <c r="B106" s="242" t="s">
        <v>259</v>
      </c>
      <c r="C106" s="243"/>
      <c r="D106" s="277"/>
      <c r="E106" s="278">
        <f t="shared" ref="E106:S106" si="51">SUM(E102:E105)</f>
        <v>20.25</v>
      </c>
      <c r="F106" s="255">
        <f t="shared" si="51"/>
        <v>4896.34</v>
      </c>
      <c r="G106" s="257">
        <f t="shared" si="51"/>
        <v>4916.59</v>
      </c>
      <c r="I106" s="256">
        <f t="shared" si="51"/>
        <v>0</v>
      </c>
      <c r="J106" s="256" t="e">
        <f t="shared" si="51"/>
        <v>#REF!</v>
      </c>
      <c r="K106" s="257">
        <f>SUM(K102:K105)</f>
        <v>0</v>
      </c>
      <c r="L106" s="256">
        <f t="shared" si="51"/>
        <v>0</v>
      </c>
      <c r="M106" s="256">
        <f t="shared" si="51"/>
        <v>0</v>
      </c>
      <c r="N106" s="1002">
        <f t="shared" si="51"/>
        <v>0</v>
      </c>
      <c r="O106" s="256">
        <f t="shared" si="51"/>
        <v>0</v>
      </c>
      <c r="P106" s="256">
        <f t="shared" si="51"/>
        <v>0</v>
      </c>
      <c r="Q106" s="256">
        <f t="shared" ref="Q106" si="52">SUM(Q102:Q105)</f>
        <v>0</v>
      </c>
      <c r="R106" s="258">
        <f t="shared" si="51"/>
        <v>0</v>
      </c>
      <c r="S106" s="256">
        <f t="shared" si="51"/>
        <v>0</v>
      </c>
      <c r="T106" s="256">
        <f t="shared" ref="T106" si="53">SUM(T102:T105)</f>
        <v>0</v>
      </c>
      <c r="U106" s="256">
        <f>SUM(U102:U105)</f>
        <v>0</v>
      </c>
      <c r="V106" s="257">
        <f>SUM(V102:V105)</f>
        <v>0</v>
      </c>
      <c r="W106" s="257">
        <f>SUM(W102:W105)</f>
        <v>0</v>
      </c>
      <c r="X106" s="257" t="e">
        <f>SUM(X102:X105)</f>
        <v>#REF!</v>
      </c>
      <c r="Y106" s="257" t="e">
        <f>SUM(Y102:Y105)</f>
        <v>#REF!</v>
      </c>
    </row>
    <row r="107" spans="1:25">
      <c r="A107" s="228">
        <v>100</v>
      </c>
      <c r="B107" s="274"/>
      <c r="C107" s="243"/>
      <c r="D107" s="248"/>
      <c r="E107" s="249"/>
      <c r="F107" s="260"/>
      <c r="G107" s="251"/>
    </row>
    <row r="108" spans="1:25">
      <c r="A108" s="16">
        <v>101</v>
      </c>
      <c r="B108" s="242" t="s">
        <v>260</v>
      </c>
      <c r="C108" s="243"/>
      <c r="D108" s="248"/>
      <c r="E108" s="249"/>
      <c r="F108" s="260"/>
      <c r="G108" s="251"/>
    </row>
    <row r="109" spans="1:25">
      <c r="A109" s="228">
        <v>102</v>
      </c>
      <c r="B109" s="246" t="s">
        <v>261</v>
      </c>
      <c r="C109" s="247" t="s">
        <v>262</v>
      </c>
      <c r="D109" s="248"/>
      <c r="E109" s="262" t="s">
        <v>956</v>
      </c>
      <c r="F109" s="290">
        <v>5584155.7800000003</v>
      </c>
      <c r="G109" s="263">
        <f t="shared" ref="G109:G119" si="54">SUM(E109:F109)</f>
        <v>5584155.7800000003</v>
      </c>
      <c r="N109" s="1006">
        <f>+'Pro Forma Wage Adjustment'!P32+'Pro Forma Wage Adjustment'!P57+'Pro Forma Wage Adjustment'!P33+'Pro Forma Wage Adjustment'!P85</f>
        <v>219388.77287553734</v>
      </c>
      <c r="X109" s="252">
        <f t="shared" ref="X109:X119" si="55">SUM(I109:W109)</f>
        <v>219388.77287553734</v>
      </c>
      <c r="Y109" s="252">
        <f t="shared" ref="Y109:Y119" si="56">+G109+X109</f>
        <v>5803544.5528755374</v>
      </c>
    </row>
    <row r="110" spans="1:25">
      <c r="A110" s="16">
        <v>103</v>
      </c>
      <c r="B110" s="246" t="s">
        <v>263</v>
      </c>
      <c r="C110" s="247" t="s">
        <v>264</v>
      </c>
      <c r="D110" s="248"/>
      <c r="E110" s="262">
        <v>24131.68</v>
      </c>
      <c r="F110" s="290">
        <v>2433731.15</v>
      </c>
      <c r="G110" s="263">
        <f t="shared" si="54"/>
        <v>2457862.83</v>
      </c>
      <c r="N110" s="998">
        <f>+'Pro Forma Wage Adjustment'!P58</f>
        <v>12.015922152000002</v>
      </c>
      <c r="X110" s="252">
        <f t="shared" si="55"/>
        <v>12.015922152000002</v>
      </c>
      <c r="Y110" s="252">
        <f t="shared" si="56"/>
        <v>2457874.845922152</v>
      </c>
    </row>
    <row r="111" spans="1:25">
      <c r="A111" s="228">
        <v>104</v>
      </c>
      <c r="B111" s="246" t="s">
        <v>265</v>
      </c>
      <c r="C111" s="247" t="s">
        <v>266</v>
      </c>
      <c r="D111" s="248"/>
      <c r="E111" s="262">
        <v>162799.32999999999</v>
      </c>
      <c r="F111" s="290">
        <v>834905.63</v>
      </c>
      <c r="G111" s="263">
        <f t="shared" si="54"/>
        <v>997704.96</v>
      </c>
      <c r="P111" s="68">
        <f>+'Rate Case Costs'!G15</f>
        <v>0</v>
      </c>
      <c r="X111" s="252">
        <f t="shared" si="55"/>
        <v>0</v>
      </c>
      <c r="Y111" s="252">
        <f t="shared" si="56"/>
        <v>997704.96</v>
      </c>
    </row>
    <row r="112" spans="1:25">
      <c r="A112" s="16">
        <v>105</v>
      </c>
      <c r="B112" s="246" t="s">
        <v>267</v>
      </c>
      <c r="C112" s="247" t="s">
        <v>268</v>
      </c>
      <c r="D112" s="248"/>
      <c r="E112" s="264">
        <v>0</v>
      </c>
      <c r="F112" s="290">
        <v>60387.9</v>
      </c>
      <c r="G112" s="263">
        <f t="shared" si="54"/>
        <v>60387.9</v>
      </c>
      <c r="X112" s="252">
        <f t="shared" si="55"/>
        <v>0</v>
      </c>
      <c r="Y112" s="252">
        <f t="shared" si="56"/>
        <v>60387.9</v>
      </c>
    </row>
    <row r="113" spans="1:25">
      <c r="A113" s="228">
        <v>106</v>
      </c>
      <c r="B113" s="246" t="s">
        <v>269</v>
      </c>
      <c r="C113" s="247" t="s">
        <v>270</v>
      </c>
      <c r="D113" s="248"/>
      <c r="E113" s="262">
        <v>59991.79</v>
      </c>
      <c r="F113" s="290">
        <v>1013781.81</v>
      </c>
      <c r="G113" s="263">
        <f t="shared" si="54"/>
        <v>1073773.6000000001</v>
      </c>
      <c r="X113" s="252">
        <f t="shared" si="55"/>
        <v>0</v>
      </c>
      <c r="Y113" s="252">
        <f t="shared" si="56"/>
        <v>1073773.6000000001</v>
      </c>
    </row>
    <row r="114" spans="1:25">
      <c r="A114" s="16">
        <v>107</v>
      </c>
      <c r="B114" s="246" t="s">
        <v>271</v>
      </c>
      <c r="C114" s="247" t="s">
        <v>272</v>
      </c>
      <c r="D114" s="248"/>
      <c r="E114" s="262">
        <v>2462662.3199999998</v>
      </c>
      <c r="F114" s="290">
        <v>2012160.5</v>
      </c>
      <c r="G114" s="263">
        <f t="shared" si="54"/>
        <v>4474822.82</v>
      </c>
      <c r="N114" s="998">
        <f>+'Pro Forma Wage Adjustment'!P59+'Pro Forma Wage Adjustment'!P34</f>
        <v>1415.0708741129997</v>
      </c>
      <c r="Q114" s="68">
        <f>+'Pro Forma Compliance Department'!L16</f>
        <v>58726.560672</v>
      </c>
      <c r="X114" s="252">
        <f t="shared" si="55"/>
        <v>60141.631546113</v>
      </c>
      <c r="Y114" s="252">
        <f t="shared" si="56"/>
        <v>4534964.451546113</v>
      </c>
    </row>
    <row r="115" spans="1:25">
      <c r="A115" s="228">
        <v>108</v>
      </c>
      <c r="B115" s="246" t="s">
        <v>273</v>
      </c>
      <c r="C115" s="247" t="s">
        <v>274</v>
      </c>
      <c r="D115" s="265"/>
      <c r="E115" s="264">
        <v>0</v>
      </c>
      <c r="F115" s="290">
        <v>0</v>
      </c>
      <c r="G115" s="266">
        <f t="shared" si="54"/>
        <v>0</v>
      </c>
      <c r="X115" s="252">
        <f t="shared" si="55"/>
        <v>0</v>
      </c>
      <c r="Y115" s="252">
        <f t="shared" si="56"/>
        <v>0</v>
      </c>
    </row>
    <row r="116" spans="1:25">
      <c r="A116" s="16">
        <v>109</v>
      </c>
      <c r="B116" s="246" t="s">
        <v>275</v>
      </c>
      <c r="C116" s="247" t="s">
        <v>276</v>
      </c>
      <c r="D116" s="265"/>
      <c r="E116" s="262">
        <v>8395</v>
      </c>
      <c r="F116" s="290">
        <v>41405.449999999997</v>
      </c>
      <c r="G116" s="266">
        <f t="shared" si="54"/>
        <v>49800.45</v>
      </c>
      <c r="J116" s="68" t="e">
        <f>-#REF!</f>
        <v>#REF!</v>
      </c>
      <c r="X116" s="252" t="e">
        <f t="shared" si="55"/>
        <v>#REF!</v>
      </c>
      <c r="Y116" s="252" t="e">
        <f t="shared" si="56"/>
        <v>#REF!</v>
      </c>
    </row>
    <row r="117" spans="1:25">
      <c r="A117" s="228">
        <v>110</v>
      </c>
      <c r="B117" s="246" t="s">
        <v>277</v>
      </c>
      <c r="C117" s="247" t="s">
        <v>278</v>
      </c>
      <c r="D117" s="248"/>
      <c r="E117" s="264">
        <v>11518.5</v>
      </c>
      <c r="F117" s="290">
        <v>763380.09</v>
      </c>
      <c r="G117" s="263">
        <f t="shared" si="54"/>
        <v>774898.59</v>
      </c>
      <c r="X117" s="252">
        <f t="shared" si="55"/>
        <v>0</v>
      </c>
      <c r="Y117" s="252">
        <f t="shared" si="56"/>
        <v>774898.59</v>
      </c>
    </row>
    <row r="118" spans="1:25">
      <c r="A118" s="16">
        <v>111</v>
      </c>
      <c r="B118" s="246" t="s">
        <v>279</v>
      </c>
      <c r="C118" s="247" t="s">
        <v>209</v>
      </c>
      <c r="D118" s="248"/>
      <c r="E118" s="262">
        <v>494.56</v>
      </c>
      <c r="F118" s="290">
        <v>1238178.95</v>
      </c>
      <c r="G118" s="263">
        <f t="shared" si="54"/>
        <v>1238673.51</v>
      </c>
      <c r="X118" s="252">
        <f t="shared" si="55"/>
        <v>0</v>
      </c>
      <c r="Y118" s="252">
        <f t="shared" si="56"/>
        <v>1238673.51</v>
      </c>
    </row>
    <row r="119" spans="1:25">
      <c r="A119" s="228">
        <v>112</v>
      </c>
      <c r="B119" s="246" t="s">
        <v>280</v>
      </c>
      <c r="C119" s="247" t="s">
        <v>281</v>
      </c>
      <c r="D119" s="280"/>
      <c r="E119" s="294">
        <v>23669.53</v>
      </c>
      <c r="F119" s="295">
        <v>9173.67</v>
      </c>
      <c r="G119" s="296">
        <f t="shared" si="54"/>
        <v>32843.199999999997</v>
      </c>
      <c r="N119" s="998">
        <f>+'Pro Forma Wage Adjustment'!P60</f>
        <v>149.98542171</v>
      </c>
      <c r="X119" s="252">
        <f t="shared" si="55"/>
        <v>149.98542171</v>
      </c>
      <c r="Y119" s="252">
        <f t="shared" si="56"/>
        <v>32993.185421709997</v>
      </c>
    </row>
    <row r="120" spans="1:25">
      <c r="A120" s="16">
        <v>113</v>
      </c>
      <c r="B120" s="274"/>
      <c r="C120" s="243"/>
      <c r="D120" s="248"/>
      <c r="E120" s="249">
        <f t="shared" ref="E120:S120" si="57">SUM(E109:E119)</f>
        <v>2753662.7099999995</v>
      </c>
      <c r="F120" s="260">
        <f t="shared" si="57"/>
        <v>13991260.93</v>
      </c>
      <c r="G120" s="251">
        <f t="shared" si="57"/>
        <v>16744923.639999999</v>
      </c>
      <c r="I120" s="251">
        <f t="shared" si="57"/>
        <v>0</v>
      </c>
      <c r="J120" s="251" t="e">
        <f t="shared" si="57"/>
        <v>#REF!</v>
      </c>
      <c r="K120" s="266">
        <f>SUM(K109:K119)</f>
        <v>0</v>
      </c>
      <c r="L120" s="251">
        <f t="shared" si="57"/>
        <v>0</v>
      </c>
      <c r="M120" s="251">
        <f t="shared" si="57"/>
        <v>0</v>
      </c>
      <c r="N120" s="1004">
        <f t="shared" si="57"/>
        <v>220965.84509351235</v>
      </c>
      <c r="O120" s="251">
        <f t="shared" si="57"/>
        <v>0</v>
      </c>
      <c r="P120" s="251">
        <f t="shared" si="57"/>
        <v>0</v>
      </c>
      <c r="Q120" s="251">
        <f t="shared" ref="Q120" si="58">SUM(Q109:Q119)</f>
        <v>58726.560672</v>
      </c>
      <c r="R120" s="279"/>
      <c r="S120" s="251">
        <f t="shared" si="57"/>
        <v>0</v>
      </c>
      <c r="T120" s="251">
        <f t="shared" ref="T120" si="59">SUM(T109:T119)</f>
        <v>0</v>
      </c>
      <c r="U120" s="251">
        <f>SUM(U109:U119)</f>
        <v>0</v>
      </c>
      <c r="V120" s="251">
        <f>SUM(V109:V119)</f>
        <v>0</v>
      </c>
      <c r="W120" s="251">
        <f>SUM(W109:W119)</f>
        <v>0</v>
      </c>
      <c r="X120" s="251" t="e">
        <f>SUM(X109:X119)</f>
        <v>#REF!</v>
      </c>
      <c r="Y120" s="251" t="e">
        <f>SUM(Y109:Y119)</f>
        <v>#REF!</v>
      </c>
    </row>
    <row r="121" spans="1:25">
      <c r="A121" s="228">
        <v>114</v>
      </c>
      <c r="B121" s="246" t="s">
        <v>282</v>
      </c>
      <c r="C121" s="247" t="s">
        <v>283</v>
      </c>
      <c r="D121" s="248"/>
      <c r="E121" s="262">
        <v>-89655.76</v>
      </c>
      <c r="F121" s="290">
        <v>-195309.92</v>
      </c>
      <c r="G121" s="263">
        <f>SUM(E121:F121)</f>
        <v>-284965.68</v>
      </c>
      <c r="X121" s="252">
        <f>SUM(I121:W121)</f>
        <v>0</v>
      </c>
      <c r="Y121" s="252">
        <f>+G121+X121</f>
        <v>-284965.68</v>
      </c>
    </row>
    <row r="122" spans="1:25">
      <c r="A122" s="16">
        <v>115</v>
      </c>
      <c r="B122" s="242" t="s">
        <v>284</v>
      </c>
      <c r="C122" s="243"/>
      <c r="D122" s="253"/>
      <c r="E122" s="254">
        <f t="shared" ref="E122:S122" si="60">E120+E121</f>
        <v>2664006.9499999997</v>
      </c>
      <c r="F122" s="267">
        <f t="shared" si="60"/>
        <v>13795951.01</v>
      </c>
      <c r="G122" s="256">
        <f t="shared" si="60"/>
        <v>16459957.959999999</v>
      </c>
      <c r="I122" s="256">
        <f t="shared" si="60"/>
        <v>0</v>
      </c>
      <c r="J122" s="256" t="e">
        <f t="shared" si="60"/>
        <v>#REF!</v>
      </c>
      <c r="K122" s="257">
        <f>K120+K121</f>
        <v>0</v>
      </c>
      <c r="L122" s="256">
        <f t="shared" si="60"/>
        <v>0</v>
      </c>
      <c r="M122" s="256">
        <f t="shared" si="60"/>
        <v>0</v>
      </c>
      <c r="N122" s="1002">
        <f t="shared" si="60"/>
        <v>220965.84509351235</v>
      </c>
      <c r="O122" s="256">
        <f t="shared" si="60"/>
        <v>0</v>
      </c>
      <c r="P122" s="256">
        <f t="shared" si="60"/>
        <v>0</v>
      </c>
      <c r="Q122" s="256">
        <f t="shared" ref="Q122" si="61">Q120+Q121</f>
        <v>58726.560672</v>
      </c>
      <c r="R122" s="258"/>
      <c r="S122" s="256">
        <f t="shared" si="60"/>
        <v>0</v>
      </c>
      <c r="T122" s="256">
        <f t="shared" ref="T122" si="62">T120+T121</f>
        <v>0</v>
      </c>
      <c r="U122" s="256">
        <f>U120+U121</f>
        <v>0</v>
      </c>
      <c r="V122" s="256">
        <f>V120+V121</f>
        <v>0</v>
      </c>
      <c r="W122" s="256">
        <f>W120+W121</f>
        <v>0</v>
      </c>
      <c r="X122" s="256" t="e">
        <f>X120+X121</f>
        <v>#REF!</v>
      </c>
      <c r="Y122" s="256" t="e">
        <f>Y120+Y121</f>
        <v>#REF!</v>
      </c>
    </row>
    <row r="123" spans="1:25">
      <c r="A123" s="228">
        <v>116</v>
      </c>
      <c r="B123" s="274"/>
      <c r="C123" s="243"/>
      <c r="D123" s="248"/>
      <c r="E123" s="249"/>
      <c r="F123" s="260"/>
      <c r="G123" s="251"/>
    </row>
    <row r="124" spans="1:25" ht="16.2" thickBot="1">
      <c r="A124" s="16">
        <v>117</v>
      </c>
      <c r="B124" s="1218" t="s">
        <v>285</v>
      </c>
      <c r="C124" s="1219"/>
      <c r="D124" s="268">
        <f t="shared" ref="D124:G124" si="63">D84+D92+D99+D106+D122+D56</f>
        <v>0</v>
      </c>
      <c r="E124" s="269">
        <f t="shared" si="63"/>
        <v>18884474.25</v>
      </c>
      <c r="F124" s="270">
        <f t="shared" si="63"/>
        <v>21632870.359999999</v>
      </c>
      <c r="G124" s="271">
        <f t="shared" si="63"/>
        <v>40517344.609999999</v>
      </c>
    </row>
    <row r="125" spans="1:25" ht="16.2" thickTop="1">
      <c r="A125" s="228">
        <v>118</v>
      </c>
      <c r="B125" s="297"/>
      <c r="C125" s="298"/>
      <c r="D125" s="248"/>
      <c r="E125" s="262"/>
      <c r="F125" s="260"/>
      <c r="G125" s="251"/>
    </row>
    <row r="126" spans="1:25">
      <c r="A126" s="16">
        <v>119</v>
      </c>
      <c r="B126" s="242" t="s">
        <v>286</v>
      </c>
      <c r="C126" s="243"/>
      <c r="D126" s="248"/>
      <c r="E126" s="249"/>
      <c r="F126" s="260"/>
      <c r="G126" s="251"/>
    </row>
    <row r="127" spans="1:25">
      <c r="A127" s="228">
        <v>120</v>
      </c>
      <c r="B127" s="246" t="s">
        <v>287</v>
      </c>
      <c r="C127" s="247" t="s">
        <v>288</v>
      </c>
      <c r="D127" s="248"/>
      <c r="E127" s="262">
        <v>0</v>
      </c>
      <c r="F127" s="290">
        <v>19218442.350000001</v>
      </c>
      <c r="G127" s="263">
        <f t="shared" ref="G127:G133" si="64">SUM(E127:F127)</f>
        <v>19218442.350000001</v>
      </c>
      <c r="O127" s="68" t="e">
        <f>+#REF!</f>
        <v>#REF!</v>
      </c>
      <c r="T127" s="68">
        <f>+'CRM Adjustment (a)'!E16</f>
        <v>78010.890174750049</v>
      </c>
      <c r="X127" s="252" t="e">
        <f t="shared" ref="X127:X133" si="65">SUM(I127:W127)</f>
        <v>#REF!</v>
      </c>
      <c r="Y127" s="252" t="e">
        <f t="shared" ref="Y127:Y133" si="66">+G127+X127</f>
        <v>#REF!</v>
      </c>
    </row>
    <row r="128" spans="1:25">
      <c r="A128" s="16">
        <v>121</v>
      </c>
      <c r="B128" s="274"/>
      <c r="C128" s="247" t="s">
        <v>289</v>
      </c>
      <c r="D128" s="265"/>
      <c r="E128" s="262">
        <v>0</v>
      </c>
      <c r="F128" s="290">
        <v>0</v>
      </c>
      <c r="G128" s="299">
        <f t="shared" si="64"/>
        <v>0</v>
      </c>
      <c r="X128" s="252">
        <f t="shared" si="65"/>
        <v>0</v>
      </c>
      <c r="Y128" s="252">
        <f t="shared" si="66"/>
        <v>0</v>
      </c>
    </row>
    <row r="129" spans="1:25">
      <c r="A129" s="228">
        <v>122</v>
      </c>
      <c r="B129" s="274"/>
      <c r="C129" s="247" t="s">
        <v>290</v>
      </c>
      <c r="D129" s="265"/>
      <c r="E129" s="262">
        <v>0</v>
      </c>
      <c r="F129" s="290">
        <v>0</v>
      </c>
      <c r="G129" s="299">
        <f t="shared" si="64"/>
        <v>0</v>
      </c>
      <c r="X129" s="252">
        <f t="shared" si="65"/>
        <v>0</v>
      </c>
      <c r="Y129" s="252">
        <f t="shared" si="66"/>
        <v>0</v>
      </c>
    </row>
    <row r="130" spans="1:25">
      <c r="A130" s="16">
        <v>123</v>
      </c>
      <c r="B130" s="274"/>
      <c r="C130" s="247" t="s">
        <v>291</v>
      </c>
      <c r="D130" s="248"/>
      <c r="E130" s="300">
        <v>0</v>
      </c>
      <c r="F130" s="290">
        <v>0</v>
      </c>
      <c r="G130" s="263">
        <f t="shared" si="64"/>
        <v>0</v>
      </c>
      <c r="X130" s="252">
        <f t="shared" si="65"/>
        <v>0</v>
      </c>
      <c r="Y130" s="252">
        <f t="shared" si="66"/>
        <v>0</v>
      </c>
    </row>
    <row r="131" spans="1:25">
      <c r="A131" s="228">
        <v>124</v>
      </c>
      <c r="B131" s="274"/>
      <c r="C131" s="247" t="s">
        <v>292</v>
      </c>
      <c r="D131" s="265"/>
      <c r="E131" s="262">
        <v>0</v>
      </c>
      <c r="F131" s="290">
        <v>0</v>
      </c>
      <c r="G131" s="299">
        <f t="shared" si="64"/>
        <v>0</v>
      </c>
      <c r="X131" s="252">
        <f t="shared" si="65"/>
        <v>0</v>
      </c>
      <c r="Y131" s="252">
        <f t="shared" si="66"/>
        <v>0</v>
      </c>
    </row>
    <row r="132" spans="1:25">
      <c r="A132" s="16">
        <v>125</v>
      </c>
      <c r="B132" s="274"/>
      <c r="C132" s="247" t="s">
        <v>293</v>
      </c>
      <c r="D132" s="265"/>
      <c r="E132" s="262">
        <v>0</v>
      </c>
      <c r="F132" s="290">
        <v>0</v>
      </c>
      <c r="G132" s="299">
        <f t="shared" si="64"/>
        <v>0</v>
      </c>
      <c r="X132" s="252">
        <f t="shared" si="65"/>
        <v>0</v>
      </c>
      <c r="Y132" s="252">
        <f t="shared" si="66"/>
        <v>0</v>
      </c>
    </row>
    <row r="133" spans="1:25">
      <c r="A133" s="228">
        <v>126</v>
      </c>
      <c r="B133" s="246" t="s">
        <v>294</v>
      </c>
      <c r="C133" s="247" t="s">
        <v>295</v>
      </c>
      <c r="D133" s="265"/>
      <c r="E133" s="262">
        <v>0</v>
      </c>
      <c r="F133" s="290">
        <v>0</v>
      </c>
      <c r="G133" s="299">
        <f t="shared" si="64"/>
        <v>0</v>
      </c>
      <c r="X133" s="252">
        <f t="shared" si="65"/>
        <v>0</v>
      </c>
      <c r="Y133" s="252">
        <f t="shared" si="66"/>
        <v>0</v>
      </c>
    </row>
    <row r="134" spans="1:25">
      <c r="A134" s="16">
        <v>127</v>
      </c>
      <c r="B134" s="242" t="s">
        <v>296</v>
      </c>
      <c r="C134" s="243"/>
      <c r="D134" s="253"/>
      <c r="E134" s="254">
        <f t="shared" ref="E134:T134" si="67">SUM(E127:E133)</f>
        <v>0</v>
      </c>
      <c r="F134" s="267">
        <f t="shared" si="67"/>
        <v>19218442.350000001</v>
      </c>
      <c r="G134" s="256">
        <f t="shared" si="67"/>
        <v>19218442.350000001</v>
      </c>
      <c r="I134" s="256">
        <f t="shared" si="67"/>
        <v>0</v>
      </c>
      <c r="J134" s="256">
        <f t="shared" si="67"/>
        <v>0</v>
      </c>
      <c r="K134" s="257">
        <f>SUM(K127:K133)</f>
        <v>0</v>
      </c>
      <c r="L134" s="256">
        <f t="shared" si="67"/>
        <v>0</v>
      </c>
      <c r="M134" s="256">
        <f t="shared" si="67"/>
        <v>0</v>
      </c>
      <c r="N134" s="1002">
        <f t="shared" si="67"/>
        <v>0</v>
      </c>
      <c r="O134" s="256" t="e">
        <f t="shared" si="67"/>
        <v>#REF!</v>
      </c>
      <c r="P134" s="256">
        <f t="shared" si="67"/>
        <v>0</v>
      </c>
      <c r="Q134" s="256"/>
      <c r="R134" s="258">
        <f t="shared" si="67"/>
        <v>0</v>
      </c>
      <c r="S134" s="256">
        <f t="shared" si="67"/>
        <v>0</v>
      </c>
      <c r="T134" s="256">
        <f t="shared" si="67"/>
        <v>78010.890174750049</v>
      </c>
      <c r="U134" s="256">
        <f>SUM(U127:U133)</f>
        <v>0</v>
      </c>
      <c r="V134" s="256">
        <f>SUM(V127:V133)</f>
        <v>0</v>
      </c>
      <c r="W134" s="256">
        <f>SUM(W127:W133)</f>
        <v>0</v>
      </c>
      <c r="X134" s="256" t="e">
        <f>SUM(X127:X133)</f>
        <v>#REF!</v>
      </c>
      <c r="Y134" s="256" t="e">
        <f>SUM(Y127:Y133)</f>
        <v>#REF!</v>
      </c>
    </row>
    <row r="135" spans="1:25">
      <c r="A135" s="228">
        <v>128</v>
      </c>
      <c r="B135" s="274"/>
      <c r="C135" s="243"/>
      <c r="D135" s="248"/>
      <c r="E135" s="249"/>
      <c r="F135" s="260"/>
      <c r="G135" s="251"/>
    </row>
    <row r="136" spans="1:25">
      <c r="A136" s="16">
        <v>129</v>
      </c>
      <c r="B136" s="261" t="s">
        <v>297</v>
      </c>
      <c r="C136" s="243" t="s">
        <v>31</v>
      </c>
      <c r="D136" s="265"/>
      <c r="E136" s="264">
        <v>0</v>
      </c>
      <c r="F136" s="250">
        <v>0</v>
      </c>
      <c r="G136" s="266">
        <f>SUM(E136:F136)</f>
        <v>0</v>
      </c>
    </row>
    <row r="137" spans="1:25">
      <c r="A137" s="228">
        <v>130</v>
      </c>
      <c r="B137" s="274"/>
      <c r="C137" s="243"/>
      <c r="D137" s="248"/>
      <c r="E137" s="249"/>
      <c r="F137" s="260"/>
      <c r="G137" s="251"/>
      <c r="X137" s="252">
        <f>SUM(I137:W137)</f>
        <v>0</v>
      </c>
      <c r="Y137" s="252">
        <f>+G137+X137</f>
        <v>0</v>
      </c>
    </row>
    <row r="138" spans="1:25">
      <c r="A138" s="16">
        <v>131</v>
      </c>
      <c r="B138" s="242" t="s">
        <v>298</v>
      </c>
      <c r="C138" s="243"/>
      <c r="D138" s="248"/>
      <c r="E138" s="249"/>
      <c r="F138" s="260"/>
      <c r="G138" s="251"/>
    </row>
    <row r="139" spans="1:25">
      <c r="A139" s="228">
        <v>132</v>
      </c>
      <c r="B139" s="246" t="s">
        <v>299</v>
      </c>
      <c r="C139" s="247" t="s">
        <v>300</v>
      </c>
      <c r="D139" s="280"/>
      <c r="E139" s="281">
        <v>3209664.98</v>
      </c>
      <c r="F139" s="291">
        <v>885968.83</v>
      </c>
      <c r="G139" s="283">
        <f>SUM(E139:F139)</f>
        <v>4095633.81</v>
      </c>
      <c r="N139" s="998">
        <f>+'Pro Forma Wage Adjustment'!P17</f>
        <v>43534.709100615306</v>
      </c>
      <c r="O139" s="68" t="e">
        <f>+#REF!</f>
        <v>#REF!</v>
      </c>
      <c r="Q139" s="68">
        <f>+'Pro Forma Compliance Department'!L17</f>
        <v>9983.5153142399995</v>
      </c>
      <c r="X139" s="252" t="e">
        <f>SUM(I139:W139)</f>
        <v>#REF!</v>
      </c>
      <c r="Y139" s="252" t="e">
        <f>+G139+X139</f>
        <v>#REF!</v>
      </c>
    </row>
    <row r="140" spans="1:25">
      <c r="A140" s="16">
        <v>133</v>
      </c>
      <c r="B140" s="274"/>
      <c r="C140" s="243"/>
      <c r="D140" s="248"/>
      <c r="E140" s="249"/>
      <c r="F140" s="260"/>
      <c r="G140" s="251"/>
    </row>
    <row r="141" spans="1:25">
      <c r="A141" s="228">
        <v>134</v>
      </c>
      <c r="B141" s="242" t="s">
        <v>301</v>
      </c>
      <c r="C141" s="243"/>
      <c r="D141" s="248"/>
      <c r="E141" s="249"/>
      <c r="F141" s="260"/>
      <c r="G141" s="251"/>
    </row>
    <row r="142" spans="1:25">
      <c r="A142" s="16">
        <v>135</v>
      </c>
      <c r="B142" s="301" t="s">
        <v>302</v>
      </c>
      <c r="C142" s="302" t="s">
        <v>303</v>
      </c>
      <c r="D142" s="265"/>
      <c r="E142" s="264">
        <v>3159842.45</v>
      </c>
      <c r="F142" s="250">
        <v>0</v>
      </c>
      <c r="G142" s="1208">
        <f>SUM(E142:F142)/0.35*0.21</f>
        <v>1895905.4700000002</v>
      </c>
      <c r="I142" s="68">
        <f>+'Summary of Adjustments'!G33</f>
        <v>789843.45786502771</v>
      </c>
      <c r="J142" s="68">
        <f>+'Summary of Adjustments'!H33</f>
        <v>11491.078399999999</v>
      </c>
      <c r="K142" s="212">
        <f>+'Summary of Adjustments'!I33</f>
        <v>-503196.9179051317</v>
      </c>
      <c r="L142" s="68">
        <f>+'Summary of Adjustments'!J33</f>
        <v>112000.00559999999</v>
      </c>
      <c r="M142" s="68">
        <f>+'Summary of Adjustments'!R33</f>
        <v>211792.89214086364</v>
      </c>
      <c r="N142" s="998">
        <f>+'Summary of Adjustments'!S33</f>
        <v>-140366.46683048076</v>
      </c>
      <c r="O142" s="68">
        <f>+'Summary of Adjustments'!T33</f>
        <v>-10315.756299430575</v>
      </c>
      <c r="P142" s="68">
        <f>+'Summary of Adjustments'!U33</f>
        <v>-25830</v>
      </c>
      <c r="Q142" s="68">
        <f>+'Summary of Adjustments'!V33</f>
        <v>-41834.844270710404</v>
      </c>
      <c r="R142" s="211">
        <f>+'Summary of Adjustments'!W33</f>
        <v>-88978.697545296454</v>
      </c>
      <c r="S142" s="68">
        <f>+'Summary of Adjustments'!X33</f>
        <v>-20399.568331368449</v>
      </c>
      <c r="T142" s="68">
        <f>+'Summary of Adjustments'!Y33</f>
        <v>-16382.28693669751</v>
      </c>
      <c r="U142" s="68">
        <f>+'Summary of Adjustments'!Z33</f>
        <v>1465938.2747597776</v>
      </c>
      <c r="V142" s="126"/>
      <c r="X142" s="252">
        <f t="shared" ref="X142:X147" si="68">SUM(I142:W142)</f>
        <v>1743761.1706465532</v>
      </c>
      <c r="Y142" s="252">
        <f t="shared" ref="Y142:Y147" si="69">+G142+X142</f>
        <v>3639666.6406465536</v>
      </c>
    </row>
    <row r="143" spans="1:25">
      <c r="A143" s="228">
        <v>136</v>
      </c>
      <c r="B143" s="301" t="s">
        <v>302</v>
      </c>
      <c r="C143" s="302" t="s">
        <v>304</v>
      </c>
      <c r="D143" s="265"/>
      <c r="E143" s="264">
        <v>0</v>
      </c>
      <c r="F143" s="250">
        <v>0</v>
      </c>
      <c r="G143" s="266">
        <f t="shared" ref="G143:G147" si="70">SUM(E143:F143)</f>
        <v>0</v>
      </c>
      <c r="X143" s="252">
        <f t="shared" si="68"/>
        <v>0</v>
      </c>
      <c r="Y143" s="252">
        <f t="shared" si="69"/>
        <v>0</v>
      </c>
    </row>
    <row r="144" spans="1:25">
      <c r="A144" s="16">
        <v>137</v>
      </c>
      <c r="B144" s="301" t="s">
        <v>305</v>
      </c>
      <c r="C144" s="302" t="s">
        <v>306</v>
      </c>
      <c r="D144" s="265"/>
      <c r="E144" s="264">
        <v>1031914.19</v>
      </c>
      <c r="F144" s="250">
        <v>0</v>
      </c>
      <c r="G144" s="1208">
        <f>SUM(E144:F144)/0.35*0.21</f>
        <v>619148.51399999997</v>
      </c>
      <c r="X144" s="252">
        <f t="shared" si="68"/>
        <v>0</v>
      </c>
      <c r="Y144" s="252">
        <f t="shared" si="69"/>
        <v>619148.51399999997</v>
      </c>
    </row>
    <row r="145" spans="1:25">
      <c r="A145" s="228">
        <v>138</v>
      </c>
      <c r="B145" s="301" t="s">
        <v>305</v>
      </c>
      <c r="C145" s="302" t="s">
        <v>307</v>
      </c>
      <c r="D145" s="265"/>
      <c r="E145" s="264">
        <v>0</v>
      </c>
      <c r="F145" s="250">
        <v>0</v>
      </c>
      <c r="G145" s="266">
        <f t="shared" si="70"/>
        <v>0</v>
      </c>
      <c r="X145" s="252">
        <f t="shared" si="68"/>
        <v>0</v>
      </c>
      <c r="Y145" s="252">
        <f t="shared" si="69"/>
        <v>0</v>
      </c>
    </row>
    <row r="146" spans="1:25">
      <c r="A146" s="16">
        <v>139</v>
      </c>
      <c r="B146" s="301" t="s">
        <v>308</v>
      </c>
      <c r="C146" s="302" t="s">
        <v>309</v>
      </c>
      <c r="D146" s="265"/>
      <c r="E146" s="264">
        <v>0</v>
      </c>
      <c r="F146" s="250">
        <v>0</v>
      </c>
      <c r="G146" s="266">
        <f t="shared" si="70"/>
        <v>0</v>
      </c>
      <c r="X146" s="252">
        <f t="shared" si="68"/>
        <v>0</v>
      </c>
      <c r="Y146" s="252">
        <f t="shared" si="69"/>
        <v>0</v>
      </c>
    </row>
    <row r="147" spans="1:25">
      <c r="A147" s="228">
        <v>140</v>
      </c>
      <c r="B147" s="301" t="s">
        <v>310</v>
      </c>
      <c r="C147" s="302" t="s">
        <v>311</v>
      </c>
      <c r="D147" s="248"/>
      <c r="E147" s="264">
        <v>0</v>
      </c>
      <c r="F147" s="250">
        <v>-37382.410000000003</v>
      </c>
      <c r="G147" s="263">
        <f t="shared" si="70"/>
        <v>-37382.410000000003</v>
      </c>
      <c r="X147" s="252">
        <f t="shared" si="68"/>
        <v>0</v>
      </c>
      <c r="Y147" s="252">
        <f t="shared" si="69"/>
        <v>-37382.410000000003</v>
      </c>
    </row>
    <row r="148" spans="1:25">
      <c r="A148" s="16">
        <v>141</v>
      </c>
      <c r="B148" s="242" t="s">
        <v>312</v>
      </c>
      <c r="C148" s="243"/>
      <c r="D148" s="253"/>
      <c r="E148" s="254">
        <f t="shared" ref="E148:G148" si="71">SUM(E142:E147)</f>
        <v>4191756.64</v>
      </c>
      <c r="F148" s="267">
        <f t="shared" si="71"/>
        <v>-37382.410000000003</v>
      </c>
      <c r="G148" s="1209">
        <f t="shared" si="71"/>
        <v>2477671.574</v>
      </c>
      <c r="I148" s="256">
        <f t="shared" ref="I148:P148" si="72">SUM(I142:I147)</f>
        <v>789843.45786502771</v>
      </c>
      <c r="J148" s="256">
        <f t="shared" si="72"/>
        <v>11491.078399999999</v>
      </c>
      <c r="K148" s="257">
        <f>SUM(K142:K147)</f>
        <v>-503196.9179051317</v>
      </c>
      <c r="L148" s="256">
        <f>SUM(L142:L147)</f>
        <v>112000.00559999999</v>
      </c>
      <c r="M148" s="256">
        <f t="shared" si="72"/>
        <v>211792.89214086364</v>
      </c>
      <c r="N148" s="1002">
        <f t="shared" si="72"/>
        <v>-140366.46683048076</v>
      </c>
      <c r="O148" s="256">
        <f t="shared" si="72"/>
        <v>-10315.756299430575</v>
      </c>
      <c r="P148" s="256">
        <f t="shared" si="72"/>
        <v>-25830</v>
      </c>
      <c r="Q148" s="256">
        <f t="shared" ref="Q148" si="73">SUM(Q142:Q147)</f>
        <v>-41834.844270710404</v>
      </c>
      <c r="R148" s="258">
        <f t="shared" ref="R148:Y148" si="74">SUM(R142:R147)</f>
        <v>-88978.697545296454</v>
      </c>
      <c r="S148" s="256">
        <f t="shared" si="74"/>
        <v>-20399.568331368449</v>
      </c>
      <c r="T148" s="256">
        <f t="shared" ref="T148" si="75">SUM(T142:T147)</f>
        <v>-16382.28693669751</v>
      </c>
      <c r="U148" s="256">
        <f t="shared" si="74"/>
        <v>1465938.2747597776</v>
      </c>
      <c r="V148" s="256">
        <f t="shared" si="74"/>
        <v>0</v>
      </c>
      <c r="W148" s="256">
        <f t="shared" si="74"/>
        <v>0</v>
      </c>
      <c r="X148" s="256">
        <f t="shared" si="74"/>
        <v>1743761.1706465532</v>
      </c>
      <c r="Y148" s="256">
        <f t="shared" si="74"/>
        <v>4221432.744646553</v>
      </c>
    </row>
    <row r="149" spans="1:25">
      <c r="A149" s="228">
        <v>142</v>
      </c>
      <c r="B149" s="242" t="s">
        <v>313</v>
      </c>
      <c r="C149" s="243"/>
      <c r="D149" s="248"/>
      <c r="E149" s="249">
        <f t="shared" ref="E149:G149" si="76">E84+E92+E99+E106+E122+E134+E136+E139+E148+E56</f>
        <v>26285895.870000001</v>
      </c>
      <c r="F149" s="260">
        <f t="shared" si="76"/>
        <v>41699899.130000003</v>
      </c>
      <c r="G149" s="251">
        <f t="shared" si="76"/>
        <v>66309092.344000004</v>
      </c>
      <c r="I149" s="251">
        <f t="shared" ref="I149:P149" si="77">I84+I92+I99+I106+I122+I134+I136+I139+I148+I56</f>
        <v>837117.77824343019</v>
      </c>
      <c r="J149" s="251" t="e">
        <f t="shared" si="77"/>
        <v>#REF!</v>
      </c>
      <c r="K149" s="266">
        <f>K84+K92+K99+K106+K122+K134+K136+K139+K148+K56</f>
        <v>-525284.30320747721</v>
      </c>
      <c r="L149" s="251" t="e">
        <f>L84+L92+L99+L106+L122+L134+L136+L139+L148+L56</f>
        <v>#REF!</v>
      </c>
      <c r="M149" s="251">
        <f t="shared" si="77"/>
        <v>211792.89214086364</v>
      </c>
      <c r="N149" s="1004">
        <f t="shared" si="77"/>
        <v>605072.73178406036</v>
      </c>
      <c r="O149" s="251" t="e">
        <f t="shared" si="77"/>
        <v>#REF!</v>
      </c>
      <c r="P149" s="251">
        <f t="shared" si="77"/>
        <v>-25830</v>
      </c>
      <c r="Q149" s="251">
        <f t="shared" ref="Q149" si="78">Q84+Q92+Q99+Q106+Q122+Q134+Q136+Q139+Q148+Q56</f>
        <v>157378.69987552962</v>
      </c>
      <c r="R149" s="279" t="e">
        <f t="shared" ref="R149:Y149" si="79">R84+R92+R99+R106+R122+R134+R136+R139+R148+R56</f>
        <v>#REF!</v>
      </c>
      <c r="S149" s="251">
        <f t="shared" si="79"/>
        <v>-20785.111353423461</v>
      </c>
      <c r="T149" s="251">
        <f t="shared" ref="T149" si="80">T84+T92+T99+T106+T122+T134+T136+T139+T148+T56</f>
        <v>61628.603238052543</v>
      </c>
      <c r="U149" s="251">
        <f t="shared" si="79"/>
        <v>1493643.8743791536</v>
      </c>
      <c r="V149" s="251">
        <f t="shared" si="79"/>
        <v>0</v>
      </c>
      <c r="W149" s="251">
        <f t="shared" si="79"/>
        <v>0</v>
      </c>
      <c r="X149" s="251" t="e">
        <f t="shared" si="79"/>
        <v>#REF!</v>
      </c>
      <c r="Y149" s="251" t="e">
        <f t="shared" si="79"/>
        <v>#REF!</v>
      </c>
    </row>
    <row r="150" spans="1:25" ht="16.2" thickBot="1">
      <c r="A150" s="16">
        <v>143</v>
      </c>
      <c r="B150" s="242" t="s">
        <v>314</v>
      </c>
      <c r="C150" s="243"/>
      <c r="D150" s="303">
        <f t="shared" ref="D150:G150" si="81">D53-D149</f>
        <v>0</v>
      </c>
      <c r="E150" s="304">
        <f t="shared" si="81"/>
        <v>58213090.219999999</v>
      </c>
      <c r="F150" s="305">
        <f t="shared" si="81"/>
        <v>-41608428.039999999</v>
      </c>
      <c r="G150" s="306">
        <f t="shared" si="81"/>
        <v>18281364.836000003</v>
      </c>
      <c r="I150" s="306" t="e">
        <f t="shared" ref="I150:P150" si="82">I53-I149</f>
        <v>#REF!</v>
      </c>
      <c r="J150" s="306" t="e">
        <f t="shared" si="82"/>
        <v>#REF!</v>
      </c>
      <c r="K150" s="307" t="e">
        <f>K53-K149</f>
        <v>#REF!</v>
      </c>
      <c r="L150" s="306" t="e">
        <f>L53-L149</f>
        <v>#REF!</v>
      </c>
      <c r="M150" s="306">
        <f t="shared" si="82"/>
        <v>-211792.89214086364</v>
      </c>
      <c r="N150" s="1007">
        <f t="shared" si="82"/>
        <v>-605072.73178406036</v>
      </c>
      <c r="O150" s="306" t="e">
        <f t="shared" si="82"/>
        <v>#REF!</v>
      </c>
      <c r="P150" s="306">
        <f t="shared" si="82"/>
        <v>25830</v>
      </c>
      <c r="Q150" s="306">
        <f t="shared" ref="Q150" si="83">Q53-Q149</f>
        <v>-157378.69987552962</v>
      </c>
      <c r="R150" s="308" t="e">
        <f t="shared" ref="R150:Y150" si="84">R53-R149</f>
        <v>#REF!</v>
      </c>
      <c r="S150" s="306">
        <f t="shared" si="84"/>
        <v>-76741.233246576536</v>
      </c>
      <c r="T150" s="306">
        <f t="shared" ref="T150" si="85">T53-T149</f>
        <v>-61628.603238052543</v>
      </c>
      <c r="U150" s="306">
        <f t="shared" si="84"/>
        <v>3430475.4416454621</v>
      </c>
      <c r="V150" s="306">
        <f t="shared" si="84"/>
        <v>0</v>
      </c>
      <c r="W150" s="306">
        <f t="shared" si="84"/>
        <v>0</v>
      </c>
      <c r="X150" s="306" t="e">
        <f t="shared" si="84"/>
        <v>#REF!</v>
      </c>
      <c r="Y150" s="306" t="e">
        <f t="shared" si="84"/>
        <v>#REF!</v>
      </c>
    </row>
    <row r="151" spans="1:25" ht="16.2" thickTop="1">
      <c r="A151" s="228">
        <v>144</v>
      </c>
      <c r="B151" s="274"/>
      <c r="C151" s="243"/>
      <c r="D151" s="248"/>
      <c r="E151" s="249"/>
      <c r="F151" s="260"/>
      <c r="G151" s="251"/>
      <c r="Y151" s="309"/>
    </row>
    <row r="152" spans="1:25">
      <c r="A152" s="16">
        <v>145</v>
      </c>
      <c r="B152" s="242" t="s">
        <v>315</v>
      </c>
      <c r="C152" s="243"/>
      <c r="D152" s="248"/>
      <c r="E152" s="249"/>
      <c r="F152" s="260"/>
      <c r="G152" s="251"/>
    </row>
    <row r="153" spans="1:25">
      <c r="A153" s="228">
        <v>146</v>
      </c>
      <c r="B153" s="246" t="s">
        <v>80</v>
      </c>
      <c r="C153" s="247" t="s">
        <v>316</v>
      </c>
      <c r="D153" s="248"/>
      <c r="E153" s="300">
        <v>0</v>
      </c>
      <c r="F153" s="290">
        <v>8531170.2699999996</v>
      </c>
      <c r="G153" s="263">
        <f t="shared" ref="G153:G158" si="86">SUM(E153:F153)</f>
        <v>8531170.2699999996</v>
      </c>
    </row>
    <row r="154" spans="1:25">
      <c r="A154" s="16">
        <v>147</v>
      </c>
      <c r="B154" s="246" t="s">
        <v>81</v>
      </c>
      <c r="C154" s="247" t="s">
        <v>82</v>
      </c>
      <c r="D154" s="248"/>
      <c r="E154" s="300">
        <v>0</v>
      </c>
      <c r="F154" s="290">
        <v>131614.6</v>
      </c>
      <c r="G154" s="263">
        <f t="shared" si="86"/>
        <v>131614.6</v>
      </c>
    </row>
    <row r="155" spans="1:25">
      <c r="A155" s="228">
        <v>148</v>
      </c>
      <c r="B155" s="246" t="s">
        <v>83</v>
      </c>
      <c r="C155" s="247" t="s">
        <v>84</v>
      </c>
      <c r="D155" s="248"/>
      <c r="E155" s="300">
        <v>0</v>
      </c>
      <c r="F155" s="290">
        <v>31363.08</v>
      </c>
      <c r="G155" s="263">
        <f t="shared" si="86"/>
        <v>31363.08</v>
      </c>
    </row>
    <row r="156" spans="1:25">
      <c r="A156" s="16">
        <v>149</v>
      </c>
      <c r="B156" s="246" t="s">
        <v>317</v>
      </c>
      <c r="C156" s="247" t="s">
        <v>318</v>
      </c>
      <c r="D156" s="248"/>
      <c r="E156" s="262">
        <v>228343.44</v>
      </c>
      <c r="F156" s="310">
        <v>0</v>
      </c>
      <c r="G156" s="263">
        <f t="shared" si="86"/>
        <v>228343.44</v>
      </c>
    </row>
    <row r="157" spans="1:25">
      <c r="A157" s="228">
        <v>150</v>
      </c>
      <c r="B157" s="246" t="s">
        <v>319</v>
      </c>
      <c r="C157" s="247" t="s">
        <v>320</v>
      </c>
      <c r="D157" s="248"/>
      <c r="E157" s="300">
        <v>0</v>
      </c>
      <c r="F157" s="290">
        <v>48641.16</v>
      </c>
      <c r="G157" s="263">
        <f t="shared" si="86"/>
        <v>48641.16</v>
      </c>
    </row>
    <row r="158" spans="1:25">
      <c r="A158" s="16">
        <v>151</v>
      </c>
      <c r="B158" s="246" t="s">
        <v>321</v>
      </c>
      <c r="C158" s="247" t="s">
        <v>322</v>
      </c>
      <c r="D158" s="248"/>
      <c r="E158" s="262">
        <v>-170469.52</v>
      </c>
      <c r="F158" s="310">
        <v>-48651.29</v>
      </c>
      <c r="G158" s="263">
        <f t="shared" si="86"/>
        <v>-219120.81</v>
      </c>
    </row>
    <row r="159" spans="1:25">
      <c r="A159" s="228">
        <v>152</v>
      </c>
      <c r="B159" s="242" t="s">
        <v>323</v>
      </c>
      <c r="C159" s="243"/>
      <c r="D159" s="253"/>
      <c r="E159" s="254">
        <f t="shared" ref="E159:G159" si="87">SUM(E153:E158)</f>
        <v>57873.920000000013</v>
      </c>
      <c r="F159" s="267">
        <f t="shared" si="87"/>
        <v>8694137.8200000003</v>
      </c>
      <c r="G159" s="256">
        <f t="shared" si="87"/>
        <v>8752011.7399999984</v>
      </c>
    </row>
    <row r="160" spans="1:25">
      <c r="A160" s="16">
        <v>153</v>
      </c>
      <c r="B160" s="274"/>
      <c r="C160" s="243"/>
      <c r="D160" s="248"/>
      <c r="E160" s="249"/>
      <c r="F160" s="260"/>
      <c r="G160" s="251"/>
    </row>
    <row r="161" spans="1:7">
      <c r="A161" s="228">
        <v>154</v>
      </c>
      <c r="B161" s="242" t="s">
        <v>324</v>
      </c>
      <c r="C161" s="243"/>
      <c r="D161" s="248"/>
      <c r="E161" s="249"/>
      <c r="F161" s="260"/>
      <c r="G161" s="251"/>
    </row>
    <row r="162" spans="1:7">
      <c r="A162" s="16">
        <v>155</v>
      </c>
      <c r="B162" s="246" t="s">
        <v>325</v>
      </c>
      <c r="C162" s="247" t="s">
        <v>326</v>
      </c>
      <c r="D162" s="265"/>
      <c r="E162" s="264">
        <v>0</v>
      </c>
      <c r="F162" s="250">
        <v>0</v>
      </c>
      <c r="G162" s="266">
        <f t="shared" ref="G162:G171" si="88">SUM(E162:F162)</f>
        <v>0</v>
      </c>
    </row>
    <row r="163" spans="1:7">
      <c r="A163" s="228">
        <v>156</v>
      </c>
      <c r="B163" s="246" t="s">
        <v>327</v>
      </c>
      <c r="C163" s="247" t="s">
        <v>328</v>
      </c>
      <c r="D163" s="265"/>
      <c r="E163" s="264">
        <v>0</v>
      </c>
      <c r="F163" s="250">
        <v>0</v>
      </c>
      <c r="G163" s="266">
        <f t="shared" si="88"/>
        <v>0</v>
      </c>
    </row>
    <row r="164" spans="1:7">
      <c r="A164" s="16">
        <v>157</v>
      </c>
      <c r="B164" s="246" t="s">
        <v>329</v>
      </c>
      <c r="C164" s="247" t="s">
        <v>330</v>
      </c>
      <c r="D164" s="248"/>
      <c r="E164" s="264">
        <v>0</v>
      </c>
      <c r="F164" s="250">
        <v>4723.75</v>
      </c>
      <c r="G164" s="263">
        <f t="shared" si="88"/>
        <v>4723.75</v>
      </c>
    </row>
    <row r="165" spans="1:7">
      <c r="A165" s="228">
        <v>158</v>
      </c>
      <c r="B165" s="246" t="s">
        <v>331</v>
      </c>
      <c r="C165" s="247" t="s">
        <v>332</v>
      </c>
      <c r="D165" s="265"/>
      <c r="E165" s="264">
        <v>0</v>
      </c>
      <c r="F165" s="250">
        <v>0</v>
      </c>
      <c r="G165" s="299">
        <f t="shared" si="88"/>
        <v>0</v>
      </c>
    </row>
    <row r="166" spans="1:7">
      <c r="A166" s="16">
        <v>159</v>
      </c>
      <c r="B166" s="246" t="s">
        <v>333</v>
      </c>
      <c r="C166" s="247" t="s">
        <v>334</v>
      </c>
      <c r="D166" s="265"/>
      <c r="E166" s="264">
        <v>0</v>
      </c>
      <c r="F166" s="250">
        <v>0</v>
      </c>
      <c r="G166" s="299">
        <f t="shared" si="88"/>
        <v>0</v>
      </c>
    </row>
    <row r="167" spans="1:7">
      <c r="A167" s="228">
        <v>160</v>
      </c>
      <c r="B167" s="246" t="s">
        <v>335</v>
      </c>
      <c r="C167" s="247" t="s">
        <v>336</v>
      </c>
      <c r="D167" s="248"/>
      <c r="E167" s="264">
        <v>410490.43</v>
      </c>
      <c r="F167" s="250">
        <v>64724.44</v>
      </c>
      <c r="G167" s="263">
        <f t="shared" si="88"/>
        <v>475214.87</v>
      </c>
    </row>
    <row r="168" spans="1:7">
      <c r="A168" s="16">
        <v>161</v>
      </c>
      <c r="B168" s="246" t="s">
        <v>337</v>
      </c>
      <c r="C168" s="247" t="s">
        <v>338</v>
      </c>
      <c r="D168" s="265"/>
      <c r="E168" s="264">
        <v>215722.3</v>
      </c>
      <c r="F168" s="250">
        <v>61602.75</v>
      </c>
      <c r="G168" s="299">
        <f t="shared" si="88"/>
        <v>277325.05</v>
      </c>
    </row>
    <row r="169" spans="1:7">
      <c r="A169" s="228">
        <v>162</v>
      </c>
      <c r="B169" s="311">
        <v>408.2</v>
      </c>
      <c r="C169" s="247" t="s">
        <v>339</v>
      </c>
      <c r="D169" s="265"/>
      <c r="E169" s="264">
        <v>-3164.36</v>
      </c>
      <c r="F169" s="250">
        <v>0</v>
      </c>
      <c r="G169" s="299">
        <f t="shared" si="88"/>
        <v>-3164.36</v>
      </c>
    </row>
    <row r="170" spans="1:7">
      <c r="A170" s="16">
        <v>163</v>
      </c>
      <c r="B170" s="246" t="s">
        <v>340</v>
      </c>
      <c r="C170" s="247" t="s">
        <v>341</v>
      </c>
      <c r="D170" s="248"/>
      <c r="E170" s="264">
        <v>0</v>
      </c>
      <c r="F170" s="250">
        <v>13297.52</v>
      </c>
      <c r="G170" s="263">
        <f t="shared" si="88"/>
        <v>13297.52</v>
      </c>
    </row>
    <row r="171" spans="1:7">
      <c r="A171" s="228">
        <v>164</v>
      </c>
      <c r="B171" s="246" t="s">
        <v>342</v>
      </c>
      <c r="C171" s="247" t="s">
        <v>647</v>
      </c>
      <c r="D171" s="248"/>
      <c r="E171" s="264">
        <v>0</v>
      </c>
      <c r="F171" s="250">
        <v>0</v>
      </c>
      <c r="G171" s="263">
        <f t="shared" si="88"/>
        <v>0</v>
      </c>
    </row>
    <row r="172" spans="1:7">
      <c r="A172" s="16">
        <v>165</v>
      </c>
      <c r="B172" s="242" t="s">
        <v>343</v>
      </c>
      <c r="C172" s="243"/>
      <c r="D172" s="253"/>
      <c r="E172" s="254">
        <f t="shared" ref="E172:G172" si="89">SUM(E162:E171)</f>
        <v>623048.37</v>
      </c>
      <c r="F172" s="267">
        <f t="shared" si="89"/>
        <v>144348.46</v>
      </c>
      <c r="G172" s="256">
        <f t="shared" si="89"/>
        <v>767396.83</v>
      </c>
    </row>
    <row r="173" spans="1:7">
      <c r="A173" s="228">
        <v>166</v>
      </c>
      <c r="B173" s="274"/>
      <c r="C173" s="243"/>
      <c r="D173" s="248"/>
      <c r="E173" s="249"/>
      <c r="F173" s="260"/>
      <c r="G173" s="251"/>
    </row>
    <row r="174" spans="1:7">
      <c r="A174" s="16">
        <v>167</v>
      </c>
      <c r="B174" s="312" t="s">
        <v>344</v>
      </c>
      <c r="C174" s="298"/>
      <c r="D174" s="248"/>
      <c r="E174" s="249"/>
      <c r="F174" s="260"/>
      <c r="G174" s="251"/>
    </row>
    <row r="175" spans="1:7">
      <c r="A175" s="228">
        <v>168</v>
      </c>
      <c r="B175" s="313" t="s">
        <v>345</v>
      </c>
      <c r="C175" s="314" t="s">
        <v>346</v>
      </c>
      <c r="D175" s="248"/>
      <c r="E175" s="262">
        <v>0</v>
      </c>
      <c r="F175" s="290">
        <v>-142375.35</v>
      </c>
      <c r="G175" s="263">
        <f t="shared" ref="G175:G184" si="90">SUM(E175:F175)</f>
        <v>-142375.35</v>
      </c>
    </row>
    <row r="176" spans="1:7">
      <c r="A176" s="16">
        <v>169</v>
      </c>
      <c r="B176" s="313" t="s">
        <v>345</v>
      </c>
      <c r="C176" s="314" t="s">
        <v>347</v>
      </c>
      <c r="D176" s="265"/>
      <c r="E176" s="264">
        <v>0</v>
      </c>
      <c r="F176" s="290">
        <v>0</v>
      </c>
      <c r="G176" s="266">
        <f t="shared" si="90"/>
        <v>0</v>
      </c>
    </row>
    <row r="177" spans="1:7">
      <c r="A177" s="228">
        <v>170</v>
      </c>
      <c r="B177" s="313" t="s">
        <v>348</v>
      </c>
      <c r="C177" s="314" t="s">
        <v>349</v>
      </c>
      <c r="D177" s="265"/>
      <c r="E177" s="264">
        <v>0</v>
      </c>
      <c r="F177" s="290">
        <v>0</v>
      </c>
      <c r="G177" s="266">
        <f t="shared" si="90"/>
        <v>0</v>
      </c>
    </row>
    <row r="178" spans="1:7">
      <c r="A178" s="16">
        <v>171</v>
      </c>
      <c r="B178" s="313" t="s">
        <v>350</v>
      </c>
      <c r="C178" s="314" t="s">
        <v>351</v>
      </c>
      <c r="D178" s="265"/>
      <c r="E178" s="264">
        <v>0</v>
      </c>
      <c r="F178" s="290">
        <v>0</v>
      </c>
      <c r="G178" s="266">
        <f t="shared" si="90"/>
        <v>0</v>
      </c>
    </row>
    <row r="179" spans="1:7">
      <c r="A179" s="228">
        <v>172</v>
      </c>
      <c r="B179" s="246" t="s">
        <v>352</v>
      </c>
      <c r="C179" s="247" t="s">
        <v>353</v>
      </c>
      <c r="D179" s="265"/>
      <c r="E179" s="264">
        <v>0</v>
      </c>
      <c r="F179" s="290">
        <v>0</v>
      </c>
      <c r="G179" s="266">
        <f t="shared" si="90"/>
        <v>0</v>
      </c>
    </row>
    <row r="180" spans="1:7">
      <c r="A180" s="16">
        <v>173</v>
      </c>
      <c r="B180" s="246" t="s">
        <v>354</v>
      </c>
      <c r="C180" s="247" t="s">
        <v>355</v>
      </c>
      <c r="D180" s="248"/>
      <c r="E180" s="262">
        <v>20309.150000000001</v>
      </c>
      <c r="F180" s="290">
        <v>146508.03</v>
      </c>
      <c r="G180" s="263">
        <f t="shared" si="90"/>
        <v>166817.18</v>
      </c>
    </row>
    <row r="181" spans="1:7">
      <c r="A181" s="228">
        <v>174</v>
      </c>
      <c r="B181" s="246" t="s">
        <v>356</v>
      </c>
      <c r="C181" s="247" t="s">
        <v>357</v>
      </c>
      <c r="D181" s="265"/>
      <c r="E181" s="264">
        <v>0</v>
      </c>
      <c r="F181" s="290">
        <v>0</v>
      </c>
      <c r="G181" s="266">
        <f t="shared" si="90"/>
        <v>0</v>
      </c>
    </row>
    <row r="182" spans="1:7">
      <c r="A182" s="16">
        <v>175</v>
      </c>
      <c r="B182" s="246" t="s">
        <v>358</v>
      </c>
      <c r="C182" s="247" t="s">
        <v>359</v>
      </c>
      <c r="D182" s="265"/>
      <c r="E182" s="264">
        <v>1000000</v>
      </c>
      <c r="F182" s="290">
        <v>891.05</v>
      </c>
      <c r="G182" s="266">
        <f t="shared" si="90"/>
        <v>1000891.05</v>
      </c>
    </row>
    <row r="183" spans="1:7">
      <c r="A183" s="228">
        <v>176</v>
      </c>
      <c r="B183" s="246" t="s">
        <v>360</v>
      </c>
      <c r="C183" s="247" t="s">
        <v>361</v>
      </c>
      <c r="D183" s="248"/>
      <c r="E183" s="262">
        <v>0</v>
      </c>
      <c r="F183" s="290">
        <v>96498.880000000005</v>
      </c>
      <c r="G183" s="263">
        <f t="shared" si="90"/>
        <v>96498.880000000005</v>
      </c>
    </row>
    <row r="184" spans="1:7">
      <c r="A184" s="16">
        <v>177</v>
      </c>
      <c r="B184" s="246" t="s">
        <v>362</v>
      </c>
      <c r="C184" s="247" t="s">
        <v>363</v>
      </c>
      <c r="D184" s="265"/>
      <c r="E184" s="264">
        <v>805</v>
      </c>
      <c r="F184" s="290">
        <v>475.5</v>
      </c>
      <c r="G184" s="266">
        <f t="shared" si="90"/>
        <v>1280.5</v>
      </c>
    </row>
    <row r="185" spans="1:7">
      <c r="A185" s="228">
        <v>178</v>
      </c>
      <c r="B185" s="242" t="s">
        <v>364</v>
      </c>
      <c r="C185" s="243"/>
      <c r="D185" s="253"/>
      <c r="E185" s="254">
        <f t="shared" ref="E185:G185" si="91">SUM(E175:E184)</f>
        <v>1021114.15</v>
      </c>
      <c r="F185" s="267">
        <f t="shared" si="91"/>
        <v>101998.11</v>
      </c>
      <c r="G185" s="256">
        <f t="shared" si="91"/>
        <v>1123112.26</v>
      </c>
    </row>
    <row r="186" spans="1:7" ht="16.2" thickBot="1">
      <c r="A186" s="16">
        <v>179</v>
      </c>
      <c r="B186" s="315" t="s">
        <v>365</v>
      </c>
      <c r="C186" s="316"/>
      <c r="D186" s="303">
        <f>D150-D159-D172-D185</f>
        <v>0</v>
      </c>
      <c r="E186" s="304">
        <f>E150-E159+E172-E185</f>
        <v>57757150.519999996</v>
      </c>
      <c r="F186" s="305">
        <f t="shared" ref="F186:G186" si="92">F150-F159+F172-F185</f>
        <v>-50260215.509999998</v>
      </c>
      <c r="G186" s="306">
        <f t="shared" si="92"/>
        <v>9173637.6660000049</v>
      </c>
    </row>
    <row r="187" spans="1:7" ht="16.2"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2" right="0.2"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view="pageLayout" zoomScaleNormal="100" workbookViewId="0">
      <selection activeCell="B14" sqref="B14"/>
    </sheetView>
  </sheetViews>
  <sheetFormatPr defaultColWidth="9.109375" defaultRowHeight="15.6"/>
  <cols>
    <col min="1" max="1" width="34" style="3" bestFit="1" customWidth="1"/>
    <col min="2" max="2" width="9.109375" style="3"/>
    <col min="3" max="3" width="21.33203125" style="109" customWidth="1"/>
    <col min="4" max="16384" width="9.109375" style="3"/>
  </cols>
  <sheetData>
    <row r="1" spans="1:7">
      <c r="A1" s="1214" t="s">
        <v>111</v>
      </c>
      <c r="B1" s="1214"/>
      <c r="C1" s="1214"/>
    </row>
    <row r="2" spans="1:7">
      <c r="A2" s="1214" t="s">
        <v>1260</v>
      </c>
      <c r="B2" s="1214"/>
      <c r="C2" s="1214"/>
    </row>
    <row r="3" spans="1:7">
      <c r="A3" s="1233" t="s">
        <v>953</v>
      </c>
      <c r="B3" s="1233"/>
      <c r="C3" s="1233"/>
    </row>
    <row r="4" spans="1:7">
      <c r="A4" s="1230" t="s">
        <v>14</v>
      </c>
      <c r="B4" s="1231"/>
      <c r="C4" s="1232"/>
    </row>
    <row r="5" spans="1:7">
      <c r="A5" s="102"/>
      <c r="B5" s="103"/>
      <c r="C5" s="104"/>
    </row>
    <row r="6" spans="1:7">
      <c r="A6" s="102" t="s">
        <v>15</v>
      </c>
      <c r="B6" s="103"/>
      <c r="C6" s="104">
        <v>1</v>
      </c>
    </row>
    <row r="7" spans="1:7">
      <c r="A7" s="105" t="s">
        <v>16</v>
      </c>
      <c r="B7" s="103"/>
      <c r="C7" s="104"/>
    </row>
    <row r="8" spans="1:7">
      <c r="A8" s="106" t="s">
        <v>17</v>
      </c>
      <c r="B8" s="103"/>
      <c r="C8" s="107">
        <f>+'Operating Report'!G90/'Operating Report'!G27</f>
        <v>3.7930347981210235E-3</v>
      </c>
    </row>
    <row r="9" spans="1:7">
      <c r="A9" s="106" t="s">
        <v>891</v>
      </c>
      <c r="B9" s="103"/>
      <c r="C9" s="108">
        <v>3.8519999999999999E-2</v>
      </c>
    </row>
    <row r="10" spans="1:7">
      <c r="A10" s="106" t="s">
        <v>890</v>
      </c>
      <c r="B10" s="103"/>
      <c r="C10" s="107">
        <v>2E-3</v>
      </c>
      <c r="D10" s="109">
        <f>+C8+C9+C10</f>
        <v>4.4313034798121022E-2</v>
      </c>
    </row>
    <row r="11" spans="1:7">
      <c r="A11" s="105" t="s">
        <v>18</v>
      </c>
      <c r="B11" s="103"/>
      <c r="C11" s="110"/>
      <c r="G11" s="11"/>
    </row>
    <row r="12" spans="1:7" ht="16.2" thickBot="1">
      <c r="A12" s="105" t="s">
        <v>19</v>
      </c>
      <c r="B12" s="103"/>
      <c r="C12" s="111">
        <f>+C6-SUM(C8:C11)</f>
        <v>0.95568696520187901</v>
      </c>
    </row>
    <row r="13" spans="1:7">
      <c r="A13" s="112"/>
      <c r="B13" s="103"/>
      <c r="C13" s="104"/>
    </row>
    <row r="14" spans="1:7" ht="16.2" thickBot="1">
      <c r="A14" s="105" t="s">
        <v>20</v>
      </c>
      <c r="B14" s="103"/>
      <c r="C14" s="113">
        <v>0</v>
      </c>
    </row>
    <row r="15" spans="1:7">
      <c r="A15" s="112"/>
      <c r="B15" s="103"/>
      <c r="C15" s="104"/>
    </row>
    <row r="16" spans="1:7" ht="16.2" thickBot="1">
      <c r="A16" s="112" t="s">
        <v>21</v>
      </c>
      <c r="B16" s="103"/>
      <c r="C16" s="113">
        <f>+C12-C14</f>
        <v>0.95568696520187901</v>
      </c>
    </row>
    <row r="17" spans="1:3">
      <c r="A17" s="112"/>
      <c r="B17" s="103"/>
      <c r="C17" s="104"/>
    </row>
    <row r="18" spans="1:3" ht="16.2" thickBot="1">
      <c r="A18" s="112" t="s">
        <v>1850</v>
      </c>
      <c r="B18" s="103"/>
      <c r="C18" s="1210">
        <f>+C16*C31</f>
        <v>0.2006942626923946</v>
      </c>
    </row>
    <row r="19" spans="1:3">
      <c r="A19" s="112"/>
      <c r="B19" s="103"/>
      <c r="C19" s="110"/>
    </row>
    <row r="20" spans="1:3" ht="16.2" thickBot="1">
      <c r="A20" s="112" t="s">
        <v>62</v>
      </c>
      <c r="B20" s="103"/>
      <c r="C20" s="111">
        <f>+C14+C18</f>
        <v>0.2006942626923946</v>
      </c>
    </row>
    <row r="21" spans="1:3">
      <c r="A21" s="112"/>
      <c r="B21" s="103"/>
      <c r="C21" s="104"/>
    </row>
    <row r="22" spans="1:3" ht="16.2" thickBot="1">
      <c r="A22" s="112" t="s">
        <v>22</v>
      </c>
      <c r="B22" s="103"/>
      <c r="C22" s="113">
        <f>SUM(C8:C11)+C20</f>
        <v>0.24500729749051561</v>
      </c>
    </row>
    <row r="23" spans="1:3">
      <c r="A23" s="112"/>
      <c r="B23" s="103"/>
      <c r="C23" s="104"/>
    </row>
    <row r="24" spans="1:3">
      <c r="A24" s="112" t="s">
        <v>1259</v>
      </c>
      <c r="B24" s="103"/>
      <c r="C24" s="104"/>
    </row>
    <row r="25" spans="1:3" ht="16.2" thickBot="1">
      <c r="A25" s="112" t="s">
        <v>23</v>
      </c>
      <c r="B25" s="103"/>
      <c r="C25" s="114">
        <f>+C6-C22</f>
        <v>0.75499270250948436</v>
      </c>
    </row>
    <row r="26" spans="1:3">
      <c r="A26" s="115"/>
      <c r="B26" s="116"/>
      <c r="C26" s="110"/>
    </row>
    <row r="27" spans="1:3">
      <c r="A27" s="102"/>
      <c r="B27" s="103"/>
      <c r="C27" s="104"/>
    </row>
    <row r="28" spans="1:3">
      <c r="A28" s="102"/>
      <c r="B28" s="103"/>
      <c r="C28" s="104"/>
    </row>
    <row r="29" spans="1:3">
      <c r="A29" s="117" t="s">
        <v>94</v>
      </c>
      <c r="B29" s="118"/>
      <c r="C29" s="119"/>
    </row>
    <row r="30" spans="1:3">
      <c r="A30" s="117" t="s">
        <v>95</v>
      </c>
      <c r="B30" s="118"/>
      <c r="C30" s="119">
        <v>0</v>
      </c>
    </row>
    <row r="31" spans="1:3">
      <c r="A31" s="117" t="s">
        <v>96</v>
      </c>
      <c r="B31" s="118"/>
      <c r="C31" s="1211">
        <v>0.21</v>
      </c>
    </row>
    <row r="32" spans="1:3">
      <c r="A32" s="120"/>
      <c r="B32" s="118"/>
      <c r="C32" s="121"/>
    </row>
    <row r="33" spans="1:3">
      <c r="A33" s="122" t="s">
        <v>97</v>
      </c>
      <c r="B33" s="123"/>
      <c r="C33" s="1212">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O66"/>
  <sheetViews>
    <sheetView view="pageLayout" zoomScaleNormal="80" workbookViewId="0">
      <selection activeCell="B7" sqref="B7:S7"/>
    </sheetView>
  </sheetViews>
  <sheetFormatPr defaultColWidth="9.109375" defaultRowHeight="15.6"/>
  <cols>
    <col min="1" max="1" width="3.33203125" style="3" bestFit="1" customWidth="1"/>
    <col min="2" max="2" width="2.88671875" style="3" customWidth="1"/>
    <col min="3" max="3" width="31.109375" style="3" customWidth="1"/>
    <col min="4" max="4" width="1.6640625" style="3" customWidth="1"/>
    <col min="5" max="5" width="1.44140625" style="3" customWidth="1"/>
    <col min="6" max="6" width="1.109375" style="3" customWidth="1"/>
    <col min="7" max="7" width="13.33203125" style="3" bestFit="1" customWidth="1"/>
    <col min="8" max="8" width="11.44140625" style="3" bestFit="1" customWidth="1"/>
    <col min="9" max="9" width="12.6640625" style="3" bestFit="1" customWidth="1"/>
    <col min="10" max="10" width="12.44140625" style="3" customWidth="1"/>
    <col min="11" max="12" width="15.6640625" style="3" bestFit="1" customWidth="1"/>
    <col min="13" max="13" width="14.5546875" style="3" bestFit="1" customWidth="1"/>
    <col min="14" max="14" width="0.44140625" style="3" customWidth="1"/>
    <col min="15" max="16" width="16.109375" style="3" customWidth="1"/>
    <col min="17" max="17" width="6" style="3" customWidth="1"/>
    <col min="18" max="18" width="11.44140625" style="3" bestFit="1" customWidth="1"/>
    <col min="19" max="19" width="12" style="126" bestFit="1" customWidth="1"/>
    <col min="20" max="20" width="13.33203125" style="3" bestFit="1" customWidth="1"/>
    <col min="21" max="22" width="11" style="3" bestFit="1" customWidth="1"/>
    <col min="23" max="23" width="12" style="3" bestFit="1" customWidth="1"/>
    <col min="24" max="24" width="12.6640625" style="3" bestFit="1" customWidth="1"/>
    <col min="25" max="25" width="12.5546875" style="3" customWidth="1"/>
    <col min="26" max="26" width="12.6640625" style="3" bestFit="1" customWidth="1"/>
    <col min="27" max="27" width="12.33203125" style="3" hidden="1" customWidth="1"/>
    <col min="28" max="31" width="9.33203125" style="3" hidden="1" customWidth="1"/>
    <col min="32" max="32" width="2.109375" style="3" customWidth="1"/>
    <col min="33" max="33" width="13.6640625" style="3" bestFit="1" customWidth="1"/>
    <col min="34" max="16384" width="9.109375" style="3"/>
  </cols>
  <sheetData>
    <row r="1" spans="1:34">
      <c r="A1" s="94"/>
      <c r="B1" s="94"/>
      <c r="C1" s="94"/>
      <c r="D1" s="94"/>
      <c r="E1" s="94"/>
      <c r="F1" s="94"/>
      <c r="G1" s="94"/>
      <c r="H1" s="94"/>
      <c r="I1" s="94"/>
      <c r="J1" s="94"/>
      <c r="K1" s="94"/>
      <c r="L1" s="94"/>
      <c r="M1" s="94"/>
      <c r="N1" s="94"/>
      <c r="O1" s="94"/>
      <c r="P1" s="94"/>
      <c r="Q1" s="94"/>
      <c r="R1" s="94"/>
      <c r="S1" s="125"/>
      <c r="T1" s="94"/>
      <c r="U1" s="94"/>
      <c r="V1" s="94"/>
      <c r="W1" s="94"/>
      <c r="X1" s="94"/>
      <c r="Y1" s="94"/>
      <c r="Z1" s="94"/>
      <c r="AA1" s="94"/>
      <c r="AB1" s="94"/>
      <c r="AC1" s="94"/>
      <c r="AD1" s="94"/>
      <c r="AE1" s="94"/>
      <c r="AF1" s="94"/>
      <c r="AG1" s="94"/>
    </row>
    <row r="2" spans="1:34">
      <c r="A2" s="3" t="s">
        <v>50</v>
      </c>
    </row>
    <row r="3" spans="1:34">
      <c r="T3" s="1229"/>
      <c r="U3" s="1229"/>
      <c r="V3" s="1229"/>
      <c r="W3" s="1229"/>
      <c r="X3" s="1229"/>
      <c r="Y3" s="1229"/>
      <c r="Z3" s="1229"/>
      <c r="AA3" s="1229"/>
      <c r="AB3" s="1229"/>
      <c r="AC3" s="1229"/>
      <c r="AD3" s="1229"/>
      <c r="AE3" s="1229"/>
      <c r="AF3" s="1229"/>
      <c r="AG3" s="1229"/>
      <c r="AH3" s="1229"/>
    </row>
    <row r="4" spans="1:34">
      <c r="T4" s="1229"/>
      <c r="U4" s="1229"/>
      <c r="V4" s="1229"/>
      <c r="W4" s="1229"/>
      <c r="X4" s="1229"/>
      <c r="Y4" s="1229"/>
      <c r="Z4" s="1229"/>
      <c r="AA4" s="1229"/>
      <c r="AB4" s="1229"/>
      <c r="AC4" s="1229"/>
      <c r="AD4" s="1229"/>
      <c r="AE4" s="1229"/>
      <c r="AF4" s="1229"/>
      <c r="AG4" s="1229"/>
      <c r="AH4" s="1229"/>
    </row>
    <row r="5" spans="1:34">
      <c r="B5" s="1234" t="s">
        <v>112</v>
      </c>
      <c r="C5" s="1234"/>
      <c r="D5" s="1234"/>
      <c r="E5" s="1234"/>
      <c r="F5" s="1234"/>
      <c r="G5" s="1234"/>
      <c r="H5" s="1234"/>
      <c r="I5" s="1234"/>
      <c r="J5" s="1234"/>
      <c r="K5" s="1234"/>
      <c r="L5" s="1234"/>
      <c r="M5" s="1234"/>
      <c r="N5" s="1234"/>
      <c r="O5" s="1234"/>
      <c r="P5" s="1234"/>
      <c r="Q5" s="1234"/>
      <c r="R5" s="1234"/>
      <c r="S5" s="1234"/>
      <c r="T5" s="1235"/>
      <c r="U5" s="1235"/>
      <c r="V5" s="1235"/>
      <c r="W5" s="1235"/>
      <c r="X5" s="1235"/>
      <c r="Y5" s="1235"/>
      <c r="Z5" s="1235"/>
      <c r="AA5" s="1235"/>
      <c r="AB5" s="1235"/>
      <c r="AC5" s="1235"/>
      <c r="AD5" s="1235"/>
      <c r="AE5" s="1235"/>
      <c r="AF5" s="1235"/>
      <c r="AG5" s="1235"/>
    </row>
    <row r="6" spans="1:34">
      <c r="A6" s="11"/>
      <c r="B6" s="1234" t="s">
        <v>892</v>
      </c>
      <c r="C6" s="1234"/>
      <c r="D6" s="1234"/>
      <c r="E6" s="1234"/>
      <c r="F6" s="1234"/>
      <c r="G6" s="1234"/>
      <c r="H6" s="1234"/>
      <c r="I6" s="1234"/>
      <c r="J6" s="1234"/>
      <c r="K6" s="1234"/>
      <c r="L6" s="1234"/>
      <c r="M6" s="1234"/>
      <c r="N6" s="1234"/>
      <c r="O6" s="1234"/>
      <c r="P6" s="1234"/>
      <c r="Q6" s="1234"/>
      <c r="R6" s="1234"/>
      <c r="S6" s="1234"/>
      <c r="T6" s="1229"/>
      <c r="U6" s="1229"/>
      <c r="V6" s="1229"/>
      <c r="W6" s="1229"/>
      <c r="X6" s="1229"/>
      <c r="Y6" s="1229"/>
      <c r="Z6" s="1229"/>
      <c r="AA6" s="1229"/>
      <c r="AB6" s="1229"/>
      <c r="AC6" s="1229"/>
      <c r="AD6" s="1229"/>
      <c r="AE6" s="1229"/>
      <c r="AF6" s="1229"/>
      <c r="AG6" s="1229"/>
    </row>
    <row r="7" spans="1:34">
      <c r="A7" s="127" t="s">
        <v>50</v>
      </c>
      <c r="B7" s="1234" t="s">
        <v>953</v>
      </c>
      <c r="C7" s="1234"/>
      <c r="D7" s="1234"/>
      <c r="E7" s="1234"/>
      <c r="F7" s="1234"/>
      <c r="G7" s="1234"/>
      <c r="H7" s="1234"/>
      <c r="I7" s="1234"/>
      <c r="J7" s="1234"/>
      <c r="K7" s="1234"/>
      <c r="L7" s="1234"/>
      <c r="M7" s="1234"/>
      <c r="N7" s="1234"/>
      <c r="O7" s="1234"/>
      <c r="P7" s="1234"/>
      <c r="Q7" s="1234"/>
      <c r="R7" s="1234"/>
      <c r="S7" s="1234"/>
      <c r="T7" s="2"/>
      <c r="U7" s="2"/>
      <c r="V7" s="2"/>
      <c r="W7" s="2"/>
      <c r="X7" s="2"/>
      <c r="Y7" s="2"/>
      <c r="Z7" s="2"/>
      <c r="AA7" s="2"/>
      <c r="AB7" s="2"/>
      <c r="AC7" s="2"/>
      <c r="AD7" s="128"/>
      <c r="AE7" s="128"/>
      <c r="AF7" s="128"/>
      <c r="AG7" s="128"/>
    </row>
    <row r="8" spans="1:34">
      <c r="A8" s="127"/>
      <c r="B8" s="129"/>
      <c r="C8" s="129"/>
      <c r="D8" s="129"/>
      <c r="E8" s="129"/>
      <c r="F8" s="129"/>
      <c r="G8" s="129"/>
      <c r="H8" s="129"/>
      <c r="I8" s="129"/>
      <c r="J8" s="129"/>
      <c r="K8" s="129"/>
      <c r="L8" s="129"/>
      <c r="M8" s="129"/>
      <c r="N8" s="129"/>
      <c r="O8" s="129"/>
      <c r="P8" s="129"/>
      <c r="Q8" s="129"/>
      <c r="R8" s="129"/>
      <c r="S8" s="129"/>
      <c r="T8" s="2"/>
      <c r="U8" s="2"/>
      <c r="V8" s="2"/>
      <c r="W8" s="2"/>
      <c r="X8" s="2"/>
      <c r="Y8" s="2"/>
      <c r="Z8" s="2"/>
      <c r="AA8" s="2"/>
      <c r="AB8" s="2"/>
      <c r="AC8" s="2"/>
      <c r="AD8" s="128"/>
      <c r="AE8" s="128"/>
      <c r="AF8" s="128"/>
      <c r="AG8" s="128"/>
    </row>
    <row r="9" spans="1:34" ht="16.2" thickBot="1">
      <c r="A9" s="95"/>
      <c r="B9" s="95"/>
      <c r="C9" s="95"/>
      <c r="D9" s="95"/>
      <c r="E9" s="95"/>
      <c r="F9" s="94"/>
      <c r="G9" s="130"/>
      <c r="H9" s="94"/>
      <c r="I9" s="94"/>
      <c r="J9" s="94"/>
      <c r="K9" s="94"/>
      <c r="L9" s="94"/>
      <c r="M9" s="94"/>
      <c r="N9" s="94"/>
      <c r="O9" s="94"/>
      <c r="P9" s="94"/>
      <c r="Q9" s="94"/>
      <c r="R9" s="94"/>
      <c r="S9" s="125"/>
      <c r="T9" s="94"/>
      <c r="U9" s="94"/>
      <c r="V9" s="94"/>
      <c r="W9" s="94"/>
      <c r="X9" s="94"/>
      <c r="Y9" s="94"/>
      <c r="Z9" s="94"/>
      <c r="AA9" s="94"/>
      <c r="AB9" s="94"/>
      <c r="AC9" s="94"/>
      <c r="AD9" s="94"/>
      <c r="AE9" s="94"/>
      <c r="AF9" s="94"/>
      <c r="AG9" s="94"/>
    </row>
    <row r="10" spans="1:34">
      <c r="A10" s="131"/>
      <c r="B10" s="132"/>
      <c r="C10" s="133"/>
      <c r="D10" s="134"/>
      <c r="E10" s="135"/>
      <c r="F10" s="94"/>
      <c r="G10" s="843" t="s">
        <v>881</v>
      </c>
      <c r="H10" s="136" t="s">
        <v>55</v>
      </c>
      <c r="I10" s="843" t="s">
        <v>943</v>
      </c>
      <c r="J10" s="136" t="s">
        <v>1012</v>
      </c>
      <c r="K10" s="861" t="s">
        <v>1644</v>
      </c>
      <c r="L10" s="861" t="s">
        <v>1644</v>
      </c>
      <c r="M10" s="862" t="s">
        <v>1645</v>
      </c>
      <c r="N10" s="862"/>
      <c r="O10" s="863" t="s">
        <v>1644</v>
      </c>
      <c r="P10" s="861" t="s">
        <v>943</v>
      </c>
      <c r="Q10" s="136"/>
      <c r="R10" s="136" t="s">
        <v>57</v>
      </c>
      <c r="S10" s="906" t="s">
        <v>901</v>
      </c>
      <c r="T10" s="915" t="s">
        <v>901</v>
      </c>
      <c r="U10" s="941" t="s">
        <v>60</v>
      </c>
      <c r="V10" s="941" t="s">
        <v>901</v>
      </c>
      <c r="W10" s="934" t="s">
        <v>989</v>
      </c>
      <c r="X10" s="136" t="s">
        <v>1007</v>
      </c>
      <c r="Y10" s="136" t="s">
        <v>1027</v>
      </c>
      <c r="Z10" s="136" t="s">
        <v>901</v>
      </c>
      <c r="AA10" s="137"/>
      <c r="AB10" s="137"/>
      <c r="AC10" s="137"/>
      <c r="AD10" s="137"/>
      <c r="AE10" s="137"/>
      <c r="AF10" s="130"/>
      <c r="AG10" s="138" t="s">
        <v>52</v>
      </c>
    </row>
    <row r="11" spans="1:34">
      <c r="A11" s="131"/>
      <c r="B11" s="139"/>
      <c r="C11" s="140"/>
      <c r="D11" s="131"/>
      <c r="E11" s="135"/>
      <c r="F11" s="94"/>
      <c r="G11" s="844" t="s">
        <v>882</v>
      </c>
      <c r="H11" s="141" t="s">
        <v>51</v>
      </c>
      <c r="I11" s="845" t="s">
        <v>940</v>
      </c>
      <c r="J11" s="142" t="s">
        <v>1013</v>
      </c>
      <c r="K11" s="864" t="s">
        <v>1646</v>
      </c>
      <c r="L11" s="864" t="s">
        <v>1646</v>
      </c>
      <c r="M11" s="865" t="s">
        <v>1647</v>
      </c>
      <c r="N11" s="865"/>
      <c r="O11" s="866" t="s">
        <v>1648</v>
      </c>
      <c r="P11" s="864" t="s">
        <v>1677</v>
      </c>
      <c r="Q11" s="142"/>
      <c r="R11" s="142" t="s">
        <v>58</v>
      </c>
      <c r="S11" s="907" t="s">
        <v>905</v>
      </c>
      <c r="T11" s="916" t="s">
        <v>944</v>
      </c>
      <c r="U11" s="942" t="s">
        <v>61</v>
      </c>
      <c r="V11" s="942" t="s">
        <v>1025</v>
      </c>
      <c r="W11" s="935" t="s">
        <v>990</v>
      </c>
      <c r="X11" s="142" t="s">
        <v>1008</v>
      </c>
      <c r="Y11" s="142" t="s">
        <v>56</v>
      </c>
      <c r="Z11" s="142" t="s">
        <v>940</v>
      </c>
      <c r="AA11" s="143"/>
      <c r="AB11" s="143"/>
      <c r="AC11" s="143"/>
      <c r="AD11" s="143"/>
      <c r="AE11" s="143"/>
      <c r="AF11" s="130"/>
      <c r="AG11" s="144" t="s">
        <v>1</v>
      </c>
    </row>
    <row r="12" spans="1:34">
      <c r="A12" s="131"/>
      <c r="B12" s="139"/>
      <c r="C12" s="135"/>
      <c r="D12" s="131"/>
      <c r="E12" s="135"/>
      <c r="F12" s="94"/>
      <c r="G12" s="845" t="s">
        <v>56</v>
      </c>
      <c r="H12" s="142" t="s">
        <v>56</v>
      </c>
      <c r="I12" s="845" t="s">
        <v>56</v>
      </c>
      <c r="J12" s="142" t="s">
        <v>1014</v>
      </c>
      <c r="K12" s="864" t="s">
        <v>1649</v>
      </c>
      <c r="L12" s="864" t="s">
        <v>1650</v>
      </c>
      <c r="M12" s="865" t="s">
        <v>1651</v>
      </c>
      <c r="N12" s="865"/>
      <c r="O12" s="866" t="s">
        <v>1652</v>
      </c>
      <c r="P12" s="864" t="s">
        <v>1678</v>
      </c>
      <c r="Q12" s="142"/>
      <c r="R12" s="142" t="s">
        <v>56</v>
      </c>
      <c r="S12" s="907" t="s">
        <v>56</v>
      </c>
      <c r="T12" s="916" t="s">
        <v>59</v>
      </c>
      <c r="U12" s="942"/>
      <c r="V12" s="942" t="s">
        <v>1026</v>
      </c>
      <c r="W12" s="935" t="s">
        <v>991</v>
      </c>
      <c r="X12" s="142" t="s">
        <v>1009</v>
      </c>
      <c r="Y12" s="142"/>
      <c r="Z12" s="142"/>
      <c r="AA12" s="143"/>
      <c r="AB12" s="143"/>
      <c r="AC12" s="143"/>
      <c r="AD12" s="143"/>
      <c r="AE12" s="143"/>
      <c r="AF12" s="130"/>
      <c r="AG12" s="144"/>
    </row>
    <row r="13" spans="1:34">
      <c r="A13" s="131"/>
      <c r="B13" s="139"/>
      <c r="C13" s="135"/>
      <c r="D13" s="131"/>
      <c r="E13" s="135"/>
      <c r="F13" s="94"/>
      <c r="G13" s="845" t="s">
        <v>893</v>
      </c>
      <c r="H13" s="142" t="s">
        <v>894</v>
      </c>
      <c r="I13" s="845" t="s">
        <v>942</v>
      </c>
      <c r="J13" s="142" t="s">
        <v>1024</v>
      </c>
      <c r="K13" s="864" t="s">
        <v>1252</v>
      </c>
      <c r="L13" s="864" t="s">
        <v>1252</v>
      </c>
      <c r="M13" s="865" t="s">
        <v>1653</v>
      </c>
      <c r="N13" s="865"/>
      <c r="O13" s="866" t="s">
        <v>1252</v>
      </c>
      <c r="P13" s="864"/>
      <c r="Q13" s="142"/>
      <c r="R13" s="142" t="s">
        <v>895</v>
      </c>
      <c r="S13" s="907" t="s">
        <v>896</v>
      </c>
      <c r="T13" s="916" t="s">
        <v>1028</v>
      </c>
      <c r="U13" s="942" t="s">
        <v>897</v>
      </c>
      <c r="V13" s="942" t="s">
        <v>898</v>
      </c>
      <c r="W13" s="935" t="s">
        <v>899</v>
      </c>
      <c r="X13" s="142" t="s">
        <v>900</v>
      </c>
      <c r="Y13" s="142" t="s">
        <v>1029</v>
      </c>
      <c r="Z13" s="142" t="s">
        <v>1030</v>
      </c>
      <c r="AA13" s="143"/>
      <c r="AB13" s="143"/>
      <c r="AC13" s="143"/>
      <c r="AD13" s="143"/>
      <c r="AE13" s="143"/>
      <c r="AF13" s="130"/>
      <c r="AG13" s="144"/>
    </row>
    <row r="14" spans="1:34">
      <c r="A14" s="131"/>
      <c r="B14" s="145"/>
      <c r="C14" s="146"/>
      <c r="D14" s="147"/>
      <c r="E14" s="135"/>
      <c r="F14" s="94"/>
      <c r="G14" s="846" t="s">
        <v>1664</v>
      </c>
      <c r="H14" s="149" t="s">
        <v>1658</v>
      </c>
      <c r="I14" s="846" t="s">
        <v>1664</v>
      </c>
      <c r="J14" s="149" t="s">
        <v>1664</v>
      </c>
      <c r="K14" s="867" t="s">
        <v>1654</v>
      </c>
      <c r="L14" s="867" t="s">
        <v>1655</v>
      </c>
      <c r="M14" s="868" t="s">
        <v>1656</v>
      </c>
      <c r="N14" s="868"/>
      <c r="O14" s="869" t="s">
        <v>1663</v>
      </c>
      <c r="P14" s="867" t="s">
        <v>1838</v>
      </c>
      <c r="Q14" s="149"/>
      <c r="R14" s="149" t="s">
        <v>1658</v>
      </c>
      <c r="S14" s="908" t="s">
        <v>1658</v>
      </c>
      <c r="T14" s="917" t="s">
        <v>1659</v>
      </c>
      <c r="U14" s="943" t="s">
        <v>1661</v>
      </c>
      <c r="V14" s="943" t="s">
        <v>1661</v>
      </c>
      <c r="W14" s="936" t="s">
        <v>1662</v>
      </c>
      <c r="X14" s="149" t="s">
        <v>1661</v>
      </c>
      <c r="Y14" s="149" t="s">
        <v>1662</v>
      </c>
      <c r="Z14" s="149" t="s">
        <v>1664</v>
      </c>
      <c r="AA14" s="148"/>
      <c r="AB14" s="148"/>
      <c r="AC14" s="148"/>
      <c r="AD14" s="148"/>
      <c r="AE14" s="148"/>
      <c r="AF14" s="150"/>
      <c r="AG14" s="151"/>
    </row>
    <row r="15" spans="1:34">
      <c r="A15" s="131">
        <v>1</v>
      </c>
      <c r="B15" s="135"/>
      <c r="C15" s="18" t="s">
        <v>6</v>
      </c>
      <c r="D15" s="131"/>
      <c r="E15" s="135"/>
      <c r="F15" s="94"/>
      <c r="G15" s="847"/>
      <c r="H15" s="927"/>
      <c r="I15" s="860"/>
      <c r="J15" s="153"/>
      <c r="K15" s="870"/>
      <c r="L15" s="870"/>
      <c r="M15" s="871"/>
      <c r="N15" s="871"/>
      <c r="O15" s="872"/>
      <c r="P15" s="870"/>
      <c r="Q15" s="153"/>
      <c r="R15" s="932"/>
      <c r="S15" s="909"/>
      <c r="T15" s="918"/>
      <c r="U15" s="944"/>
      <c r="V15" s="944"/>
      <c r="W15" s="937"/>
      <c r="X15" s="927"/>
      <c r="Y15" s="153"/>
      <c r="Z15" s="932"/>
      <c r="AA15" s="150"/>
      <c r="AB15" s="152"/>
      <c r="AC15" s="150"/>
      <c r="AD15" s="152"/>
      <c r="AE15" s="150"/>
      <c r="AF15" s="150"/>
      <c r="AG15" s="154"/>
    </row>
    <row r="16" spans="1:34">
      <c r="A16" s="155">
        <v>2</v>
      </c>
      <c r="B16" s="95"/>
      <c r="C16" s="46" t="s">
        <v>24</v>
      </c>
      <c r="D16" s="155"/>
      <c r="E16" s="95"/>
      <c r="F16" s="156"/>
      <c r="G16" s="848">
        <v>12463455.49</v>
      </c>
      <c r="H16" s="157"/>
      <c r="I16" s="984">
        <v>-5477134.5345370322</v>
      </c>
      <c r="J16" s="157"/>
      <c r="K16" s="873"/>
      <c r="L16" s="873"/>
      <c r="M16" s="874"/>
      <c r="N16" s="874"/>
      <c r="O16" s="875"/>
      <c r="P16" s="873"/>
      <c r="Q16" s="157"/>
      <c r="R16" s="157"/>
      <c r="S16" s="910"/>
      <c r="T16" s="173"/>
      <c r="U16" s="945">
        <v>0</v>
      </c>
      <c r="V16" s="945"/>
      <c r="W16" s="875"/>
      <c r="X16" s="157">
        <v>0</v>
      </c>
      <c r="Y16" s="157"/>
      <c r="Z16" s="985">
        <v>5181807.734831797</v>
      </c>
      <c r="AA16" s="157">
        <v>0</v>
      </c>
      <c r="AB16" s="157">
        <v>0</v>
      </c>
      <c r="AC16" s="157">
        <v>0</v>
      </c>
      <c r="AD16" s="157">
        <v>0</v>
      </c>
      <c r="AE16" s="157">
        <v>0</v>
      </c>
      <c r="AF16" s="157"/>
      <c r="AG16" s="158">
        <f>SUM(G16:AF16)</f>
        <v>12168128.690294765</v>
      </c>
    </row>
    <row r="17" spans="1:34">
      <c r="A17" s="155">
        <v>3</v>
      </c>
      <c r="B17" s="95"/>
      <c r="C17" s="46" t="s">
        <v>25</v>
      </c>
      <c r="D17" s="155"/>
      <c r="E17" s="95"/>
      <c r="F17" s="156"/>
      <c r="G17" s="849"/>
      <c r="H17" s="160"/>
      <c r="I17" s="849">
        <v>-346008.79999999795</v>
      </c>
      <c r="J17" s="160"/>
      <c r="K17" s="876"/>
      <c r="L17" s="876"/>
      <c r="M17" s="877"/>
      <c r="N17" s="877"/>
      <c r="O17" s="878"/>
      <c r="P17" s="876"/>
      <c r="Q17" s="160"/>
      <c r="R17" s="160"/>
      <c r="S17" s="849"/>
      <c r="T17" s="161">
        <v>199943.9</v>
      </c>
      <c r="U17" s="946">
        <v>0</v>
      </c>
      <c r="V17" s="946"/>
      <c r="W17" s="878"/>
      <c r="X17" s="160">
        <v>0</v>
      </c>
      <c r="Y17" s="160"/>
      <c r="Z17" s="986">
        <v>1933517</v>
      </c>
      <c r="AA17" s="159">
        <v>0</v>
      </c>
      <c r="AB17" s="159">
        <v>0</v>
      </c>
      <c r="AC17" s="159">
        <v>0</v>
      </c>
      <c r="AD17" s="159">
        <v>0</v>
      </c>
      <c r="AE17" s="159">
        <v>0</v>
      </c>
      <c r="AF17" s="160"/>
      <c r="AG17" s="160">
        <f>SUM(G17:AF17)</f>
        <v>1787452.100000002</v>
      </c>
    </row>
    <row r="18" spans="1:34">
      <c r="A18" s="155">
        <v>4</v>
      </c>
      <c r="B18" s="95"/>
      <c r="C18" s="46" t="s">
        <v>26</v>
      </c>
      <c r="D18" s="155"/>
      <c r="E18" s="95"/>
      <c r="F18" s="156"/>
      <c r="G18" s="849"/>
      <c r="H18" s="160"/>
      <c r="I18" s="849"/>
      <c r="J18" s="160"/>
      <c r="K18" s="876"/>
      <c r="L18" s="876"/>
      <c r="M18" s="877"/>
      <c r="N18" s="877"/>
      <c r="O18" s="878"/>
      <c r="P18" s="876"/>
      <c r="Q18" s="160"/>
      <c r="R18" s="160"/>
      <c r="S18" s="849"/>
      <c r="T18" s="161"/>
      <c r="U18" s="946">
        <v>0</v>
      </c>
      <c r="V18" s="946"/>
      <c r="W18" s="878"/>
      <c r="X18" s="160">
        <v>-101645</v>
      </c>
      <c r="Y18" s="160"/>
      <c r="Z18" s="986">
        <v>189011</v>
      </c>
      <c r="AA18" s="159">
        <v>0</v>
      </c>
      <c r="AB18" s="159">
        <v>0</v>
      </c>
      <c r="AC18" s="159">
        <v>0</v>
      </c>
      <c r="AD18" s="159">
        <v>0</v>
      </c>
      <c r="AE18" s="159">
        <v>0</v>
      </c>
      <c r="AF18" s="160"/>
      <c r="AG18" s="160">
        <f>SUM(G18:AF18)</f>
        <v>87366</v>
      </c>
    </row>
    <row r="19" spans="1:34" ht="16.2" thickBot="1">
      <c r="A19" s="155">
        <v>5</v>
      </c>
      <c r="B19" s="162"/>
      <c r="C19" s="59" t="s">
        <v>1248</v>
      </c>
      <c r="D19" s="163"/>
      <c r="E19" s="162"/>
      <c r="F19" s="164"/>
      <c r="G19" s="850">
        <f t="shared" ref="G19:AE19" si="0">+G16+G17+G18</f>
        <v>12463455.49</v>
      </c>
      <c r="H19" s="166">
        <f t="shared" si="0"/>
        <v>0</v>
      </c>
      <c r="I19" s="850">
        <f>+I16+I17+I18</f>
        <v>-5823143.3345370302</v>
      </c>
      <c r="J19" s="166"/>
      <c r="K19" s="879"/>
      <c r="L19" s="879"/>
      <c r="M19" s="880"/>
      <c r="N19" s="880"/>
      <c r="O19" s="881"/>
      <c r="P19" s="879"/>
      <c r="Q19" s="166"/>
      <c r="R19" s="166">
        <f t="shared" si="0"/>
        <v>0</v>
      </c>
      <c r="S19" s="850">
        <f t="shared" si="0"/>
        <v>0</v>
      </c>
      <c r="T19" s="919">
        <f t="shared" si="0"/>
        <v>199943.9</v>
      </c>
      <c r="U19" s="947">
        <f t="shared" si="0"/>
        <v>0</v>
      </c>
      <c r="V19" s="947"/>
      <c r="W19" s="881"/>
      <c r="X19" s="166">
        <f t="shared" si="0"/>
        <v>-101645</v>
      </c>
      <c r="Y19" s="166"/>
      <c r="Z19" s="987">
        <f t="shared" si="0"/>
        <v>7304335.734831797</v>
      </c>
      <c r="AA19" s="165">
        <f t="shared" si="0"/>
        <v>0</v>
      </c>
      <c r="AB19" s="165">
        <f t="shared" si="0"/>
        <v>0</v>
      </c>
      <c r="AC19" s="165">
        <f t="shared" si="0"/>
        <v>0</v>
      </c>
      <c r="AD19" s="165">
        <f t="shared" si="0"/>
        <v>0</v>
      </c>
      <c r="AE19" s="165">
        <f t="shared" si="0"/>
        <v>0</v>
      </c>
      <c r="AF19" s="165"/>
      <c r="AG19" s="165">
        <f>+AG18+AG17+AG16</f>
        <v>14042946.790294766</v>
      </c>
    </row>
    <row r="20" spans="1:34">
      <c r="A20" s="155"/>
      <c r="B20" s="162"/>
      <c r="C20" s="59"/>
      <c r="D20" s="163"/>
      <c r="E20" s="162"/>
      <c r="F20" s="164"/>
      <c r="G20" s="851">
        <f>G16-G22</f>
        <v>4313452.8600000013</v>
      </c>
      <c r="H20" s="168"/>
      <c r="I20" s="851"/>
      <c r="J20" s="168"/>
      <c r="K20" s="882"/>
      <c r="L20" s="882"/>
      <c r="M20" s="883"/>
      <c r="N20" s="883"/>
      <c r="O20" s="884"/>
      <c r="P20" s="882"/>
      <c r="Q20" s="168"/>
      <c r="R20" s="168"/>
      <c r="S20" s="851"/>
      <c r="T20" s="920"/>
      <c r="U20" s="948"/>
      <c r="V20" s="948"/>
      <c r="W20" s="884"/>
      <c r="X20" s="168"/>
      <c r="Y20" s="168"/>
      <c r="Z20" s="988"/>
      <c r="AA20" s="167"/>
      <c r="AB20" s="167"/>
      <c r="AC20" s="167"/>
      <c r="AD20" s="167"/>
      <c r="AE20" s="167"/>
      <c r="AF20" s="169"/>
      <c r="AG20" s="169"/>
    </row>
    <row r="21" spans="1:34">
      <c r="A21" s="155"/>
      <c r="B21" s="162"/>
      <c r="C21" s="59" t="s">
        <v>7</v>
      </c>
      <c r="D21" s="163"/>
      <c r="E21" s="162"/>
      <c r="F21" s="164"/>
      <c r="G21" s="851"/>
      <c r="H21" s="168"/>
      <c r="I21" s="851"/>
      <c r="J21" s="168"/>
      <c r="K21" s="882"/>
      <c r="L21" s="882"/>
      <c r="M21" s="883"/>
      <c r="N21" s="883"/>
      <c r="O21" s="884"/>
      <c r="P21" s="882"/>
      <c r="Q21" s="168"/>
      <c r="R21" s="168"/>
      <c r="S21" s="851"/>
      <c r="T21" s="920"/>
      <c r="U21" s="948"/>
      <c r="V21" s="948"/>
      <c r="W21" s="884"/>
      <c r="X21" s="168"/>
      <c r="Y21" s="168"/>
      <c r="Z21" s="988"/>
      <c r="AA21" s="167"/>
      <c r="AB21" s="167"/>
      <c r="AC21" s="167"/>
      <c r="AD21" s="167"/>
      <c r="AE21" s="167"/>
      <c r="AF21" s="169"/>
      <c r="AG21" s="169"/>
    </row>
    <row r="22" spans="1:34">
      <c r="A22" s="155">
        <v>6</v>
      </c>
      <c r="B22" s="135"/>
      <c r="C22" s="46" t="s">
        <v>1246</v>
      </c>
      <c r="D22" s="131"/>
      <c r="E22" s="135"/>
      <c r="F22" s="94"/>
      <c r="G22" s="849">
        <v>8150002.629999999</v>
      </c>
      <c r="H22" s="160"/>
      <c r="I22" s="849">
        <v>-3168926.3817709982</v>
      </c>
      <c r="J22" s="160"/>
      <c r="K22" s="876"/>
      <c r="L22" s="876"/>
      <c r="M22" s="877"/>
      <c r="N22" s="877"/>
      <c r="O22" s="878"/>
      <c r="P22" s="876"/>
      <c r="Q22" s="160"/>
      <c r="R22" s="160"/>
      <c r="S22" s="849"/>
      <c r="T22" s="161"/>
      <c r="U22" s="946"/>
      <c r="V22" s="946"/>
      <c r="W22" s="878"/>
      <c r="X22" s="160"/>
      <c r="Y22" s="160"/>
      <c r="Z22" s="986"/>
      <c r="AA22" s="159"/>
      <c r="AB22" s="159"/>
      <c r="AC22" s="159"/>
      <c r="AD22" s="159"/>
      <c r="AE22" s="159"/>
      <c r="AF22" s="170"/>
      <c r="AG22" s="171">
        <f t="shared" ref="AG22:AG34" si="1">SUM(G22:AF22)</f>
        <v>4981076.2482290007</v>
      </c>
    </row>
    <row r="23" spans="1:34">
      <c r="A23" s="155">
        <v>7</v>
      </c>
      <c r="B23" s="135"/>
      <c r="C23" s="46" t="s">
        <v>1247</v>
      </c>
      <c r="D23" s="131"/>
      <c r="E23" s="135"/>
      <c r="F23" s="94"/>
      <c r="G23" s="849">
        <f>+G16*('Conversion Factor using 21%'!C9+'Conversion Factor using 21%'!C10)</f>
        <v>505019.21645480004</v>
      </c>
      <c r="H23" s="160"/>
      <c r="I23" s="849">
        <f>+I19*('Conversion Factor using 21%'!C9+'Conversion Factor using 21%'!C10)</f>
        <v>-235953.76791544046</v>
      </c>
      <c r="J23" s="160"/>
      <c r="K23" s="876"/>
      <c r="L23" s="876"/>
      <c r="M23" s="877"/>
      <c r="N23" s="877"/>
      <c r="O23" s="878"/>
      <c r="P23" s="876"/>
      <c r="Q23" s="160"/>
      <c r="R23" s="160"/>
      <c r="S23" s="849"/>
      <c r="T23" s="161">
        <f>+T19*('Conversion Factor using 21%'!C9+'Conversion Factor using 21%'!C10)</f>
        <v>8101.7268279999998</v>
      </c>
      <c r="U23" s="946"/>
      <c r="V23" s="946"/>
      <c r="W23" s="878"/>
      <c r="X23" s="160">
        <f>+X19*('Conversion Factor using 21%'!C9+'Conversion Factor using 21%'!C10)</f>
        <v>-4118.6553999999996</v>
      </c>
      <c r="Y23" s="160"/>
      <c r="Z23" s="986">
        <f>+Z19*('Conversion Factor using 21%'!C9+'Conversion Factor using 21%'!C10)</f>
        <v>295971.6839753844</v>
      </c>
      <c r="AA23" s="159"/>
      <c r="AB23" s="159"/>
      <c r="AC23" s="159"/>
      <c r="AD23" s="159"/>
      <c r="AE23" s="159"/>
      <c r="AF23" s="170"/>
      <c r="AG23" s="171">
        <f t="shared" si="1"/>
        <v>569020.20394274406</v>
      </c>
    </row>
    <row r="24" spans="1:34">
      <c r="A24" s="155">
        <v>8</v>
      </c>
      <c r="B24" s="135"/>
      <c r="C24" s="65" t="s">
        <v>28</v>
      </c>
      <c r="D24" s="131"/>
      <c r="E24" s="135"/>
      <c r="F24" s="94"/>
      <c r="G24" s="849"/>
      <c r="H24" s="160"/>
      <c r="I24" s="849"/>
      <c r="J24" s="160"/>
      <c r="K24" s="876"/>
      <c r="L24" s="876"/>
      <c r="M24" s="877"/>
      <c r="N24" s="877"/>
      <c r="O24" s="878"/>
      <c r="P24" s="876"/>
      <c r="Q24" s="160"/>
      <c r="R24" s="160"/>
      <c r="S24" s="849">
        <v>7924.4900311199854</v>
      </c>
      <c r="T24" s="161"/>
      <c r="U24" s="946"/>
      <c r="V24" s="946"/>
      <c r="W24" s="878"/>
      <c r="X24" s="160"/>
      <c r="Y24" s="160"/>
      <c r="Z24" s="986"/>
      <c r="AA24" s="159"/>
      <c r="AB24" s="159"/>
      <c r="AC24" s="159"/>
      <c r="AD24" s="159"/>
      <c r="AE24" s="159"/>
      <c r="AF24" s="170"/>
      <c r="AG24" s="157">
        <f t="shared" si="1"/>
        <v>7924.4900311199854</v>
      </c>
    </row>
    <row r="25" spans="1:34">
      <c r="A25" s="155">
        <v>9</v>
      </c>
      <c r="B25" s="135"/>
      <c r="C25" s="65" t="s">
        <v>8</v>
      </c>
      <c r="D25" s="131"/>
      <c r="E25" s="135"/>
      <c r="F25" s="94"/>
      <c r="G25" s="849"/>
      <c r="H25" s="160"/>
      <c r="I25" s="849"/>
      <c r="J25" s="160"/>
      <c r="K25" s="876"/>
      <c r="L25" s="876"/>
      <c r="M25" s="877"/>
      <c r="N25" s="877"/>
      <c r="O25" s="878"/>
      <c r="P25" s="876">
        <v>67686.843944628941</v>
      </c>
      <c r="Q25" s="160"/>
      <c r="R25" s="160"/>
      <c r="S25" s="849">
        <v>360633.30644631851</v>
      </c>
      <c r="T25" s="161"/>
      <c r="U25" s="946"/>
      <c r="V25" s="946">
        <v>130503.46816</v>
      </c>
      <c r="W25" s="878">
        <v>423708.08354903077</v>
      </c>
      <c r="X25" s="160"/>
      <c r="Y25" s="160"/>
      <c r="Z25" s="986"/>
      <c r="AA25" s="159"/>
      <c r="AB25" s="159"/>
      <c r="AC25" s="159"/>
      <c r="AD25" s="159"/>
      <c r="AE25" s="159"/>
      <c r="AF25" s="170"/>
      <c r="AG25" s="157">
        <f t="shared" si="1"/>
        <v>982531.70209997823</v>
      </c>
    </row>
    <row r="26" spans="1:34">
      <c r="A26" s="155">
        <v>10</v>
      </c>
      <c r="B26" s="135"/>
      <c r="C26" s="65" t="s">
        <v>29</v>
      </c>
      <c r="D26" s="131"/>
      <c r="E26" s="135"/>
      <c r="F26" s="94"/>
      <c r="G26" s="848">
        <f>+G19*'Conversion Factor using 21%'!C8</f>
        <v>47274.32037840251</v>
      </c>
      <c r="H26" s="928"/>
      <c r="I26" s="848">
        <f>+I19*'Conversion Factor using 21%'!C8</f>
        <v>-22087.385302345447</v>
      </c>
      <c r="J26" s="931"/>
      <c r="K26" s="885"/>
      <c r="L26" s="885"/>
      <c r="M26" s="886"/>
      <c r="N26" s="886"/>
      <c r="O26" s="887"/>
      <c r="P26" s="873">
        <v>3803.5586400000011</v>
      </c>
      <c r="Q26" s="928"/>
      <c r="R26" s="157"/>
      <c r="S26" s="910">
        <v>40890.445358345853</v>
      </c>
      <c r="T26" s="173">
        <f>+T19*'Conversion Factor using 21%'!C8</f>
        <v>758.39417037203009</v>
      </c>
      <c r="U26" s="945"/>
      <c r="V26" s="945"/>
      <c r="W26" s="875"/>
      <c r="X26" s="157">
        <f>+X19*'Conversion Factor using 21%'!C8</f>
        <v>-385.54302205501142</v>
      </c>
      <c r="Y26" s="157">
        <f>+Y19*'Conversion Factor using 21%'!D8</f>
        <v>0</v>
      </c>
      <c r="Z26" s="985">
        <f>+Z19*'Conversion Factor using 21%'!C8</f>
        <v>27705.599619375902</v>
      </c>
      <c r="AA26" s="172"/>
      <c r="AB26" s="172"/>
      <c r="AC26" s="172"/>
      <c r="AD26" s="172"/>
      <c r="AE26" s="172"/>
      <c r="AF26" s="174"/>
      <c r="AG26" s="157">
        <f t="shared" si="1"/>
        <v>97959.389842095843</v>
      </c>
    </row>
    <row r="27" spans="1:34">
      <c r="A27" s="155">
        <v>11</v>
      </c>
      <c r="B27" s="135"/>
      <c r="C27" s="65" t="s">
        <v>9</v>
      </c>
      <c r="D27" s="131"/>
      <c r="E27" s="135"/>
      <c r="F27" s="94"/>
      <c r="G27" s="852"/>
      <c r="H27" s="160"/>
      <c r="I27" s="849"/>
      <c r="J27" s="160">
        <v>-533333.36</v>
      </c>
      <c r="K27" s="876"/>
      <c r="L27" s="876"/>
      <c r="M27" s="877"/>
      <c r="N27" s="877"/>
      <c r="O27" s="878"/>
      <c r="P27" s="876"/>
      <c r="Q27" s="160"/>
      <c r="R27" s="160"/>
      <c r="S27" s="849"/>
      <c r="T27" s="161"/>
      <c r="U27" s="946"/>
      <c r="V27" s="946"/>
      <c r="W27" s="878"/>
      <c r="X27" s="160"/>
      <c r="Y27" s="160"/>
      <c r="Z27" s="986"/>
      <c r="AA27" s="159"/>
      <c r="AB27" s="159"/>
      <c r="AC27" s="159"/>
      <c r="AD27" s="159"/>
      <c r="AE27" s="159"/>
      <c r="AF27" s="175"/>
      <c r="AG27" s="157">
        <f t="shared" si="1"/>
        <v>-533333.36</v>
      </c>
    </row>
    <row r="28" spans="1:34">
      <c r="A28" s="155">
        <v>12</v>
      </c>
      <c r="B28" s="135"/>
      <c r="C28" s="65" t="s">
        <v>10</v>
      </c>
      <c r="D28" s="131"/>
      <c r="E28" s="135"/>
      <c r="F28" s="94"/>
      <c r="G28" s="849"/>
      <c r="H28" s="160">
        <v>-4916.5899999999992</v>
      </c>
      <c r="I28" s="849"/>
      <c r="J28" s="160"/>
      <c r="K28" s="876"/>
      <c r="L28" s="876"/>
      <c r="M28" s="877"/>
      <c r="N28" s="877"/>
      <c r="O28" s="878"/>
      <c r="P28" s="876"/>
      <c r="Q28" s="160"/>
      <c r="R28" s="160"/>
      <c r="S28" s="849"/>
      <c r="T28" s="161"/>
      <c r="U28" s="946"/>
      <c r="V28" s="946"/>
      <c r="W28" s="878"/>
      <c r="X28" s="160"/>
      <c r="Y28" s="160"/>
      <c r="Z28" s="986"/>
      <c r="AA28" s="159"/>
      <c r="AB28" s="159"/>
      <c r="AC28" s="159"/>
      <c r="AD28" s="159"/>
      <c r="AE28" s="159"/>
      <c r="AF28" s="175"/>
      <c r="AG28" s="157">
        <f t="shared" si="1"/>
        <v>-4916.5899999999992</v>
      </c>
    </row>
    <row r="29" spans="1:34" ht="16.2" thickBot="1">
      <c r="A29" s="155">
        <v>13</v>
      </c>
      <c r="B29" s="162"/>
      <c r="C29" s="65" t="s">
        <v>11</v>
      </c>
      <c r="D29" s="163"/>
      <c r="E29" s="162"/>
      <c r="F29" s="164"/>
      <c r="G29" s="849"/>
      <c r="H29" s="160">
        <v>-49800.45</v>
      </c>
      <c r="I29" s="849"/>
      <c r="J29" s="160"/>
      <c r="K29" s="876">
        <v>-1417093</v>
      </c>
      <c r="L29" s="876">
        <v>-127508</v>
      </c>
      <c r="M29" s="877"/>
      <c r="N29" s="877"/>
      <c r="O29" s="878">
        <v>-210756</v>
      </c>
      <c r="P29" s="876">
        <v>63.198718416000006</v>
      </c>
      <c r="Q29" s="160"/>
      <c r="R29" s="160"/>
      <c r="S29" s="849">
        <v>220902.64637509634</v>
      </c>
      <c r="T29" s="161"/>
      <c r="U29" s="946">
        <v>123000</v>
      </c>
      <c r="V29" s="946">
        <v>58726.560672</v>
      </c>
      <c r="W29" s="878"/>
      <c r="X29" s="160"/>
      <c r="Y29" s="160"/>
      <c r="Z29" s="986"/>
      <c r="AA29" s="159"/>
      <c r="AB29" s="159"/>
      <c r="AC29" s="159"/>
      <c r="AD29" s="159"/>
      <c r="AE29" s="159"/>
      <c r="AF29" s="176"/>
      <c r="AG29" s="157">
        <f t="shared" si="1"/>
        <v>-1402465.0442344875</v>
      </c>
    </row>
    <row r="30" spans="1:34">
      <c r="A30" s="155">
        <v>14</v>
      </c>
      <c r="B30" s="135"/>
      <c r="C30" s="65" t="s">
        <v>30</v>
      </c>
      <c r="D30" s="131"/>
      <c r="E30" s="135"/>
      <c r="F30" s="94"/>
      <c r="G30" s="853"/>
      <c r="H30" s="929"/>
      <c r="I30" s="853"/>
      <c r="J30" s="929"/>
      <c r="K30" s="888"/>
      <c r="L30" s="888"/>
      <c r="M30" s="889"/>
      <c r="N30" s="889"/>
      <c r="O30" s="890"/>
      <c r="P30" s="888"/>
      <c r="Q30" s="929"/>
      <c r="R30" s="929"/>
      <c r="S30" s="849"/>
      <c r="T30" s="161">
        <v>152302.92635584201</v>
      </c>
      <c r="U30" s="946"/>
      <c r="V30" s="946"/>
      <c r="W30" s="878"/>
      <c r="X30" s="160"/>
      <c r="Y30" s="160">
        <v>78010.890174750049</v>
      </c>
      <c r="Z30" s="986"/>
      <c r="AA30" s="159"/>
      <c r="AB30" s="159"/>
      <c r="AC30" s="159"/>
      <c r="AD30" s="159"/>
      <c r="AE30" s="159"/>
      <c r="AF30" s="177"/>
      <c r="AG30" s="157">
        <f t="shared" si="1"/>
        <v>230313.81653059204</v>
      </c>
    </row>
    <row r="31" spans="1:34">
      <c r="A31" s="155">
        <v>15</v>
      </c>
      <c r="B31" s="135"/>
      <c r="C31" s="65" t="s">
        <v>31</v>
      </c>
      <c r="D31" s="131"/>
      <c r="E31" s="135"/>
      <c r="F31" s="94"/>
      <c r="G31" s="849"/>
      <c r="H31" s="160"/>
      <c r="I31" s="849"/>
      <c r="J31" s="160"/>
      <c r="K31" s="876"/>
      <c r="L31" s="876"/>
      <c r="M31" s="877"/>
      <c r="N31" s="877"/>
      <c r="O31" s="878"/>
      <c r="P31" s="876"/>
      <c r="Q31" s="160"/>
      <c r="R31" s="160"/>
      <c r="S31" s="849"/>
      <c r="T31" s="161"/>
      <c r="U31" s="946"/>
      <c r="V31" s="946"/>
      <c r="W31" s="878"/>
      <c r="X31" s="160"/>
      <c r="Y31" s="160"/>
      <c r="Z31" s="986"/>
      <c r="AA31" s="159"/>
      <c r="AB31" s="159"/>
      <c r="AC31" s="159"/>
      <c r="AD31" s="159"/>
      <c r="AE31" s="159"/>
      <c r="AF31" s="175"/>
      <c r="AG31" s="157">
        <f t="shared" si="1"/>
        <v>0</v>
      </c>
    </row>
    <row r="32" spans="1:34">
      <c r="A32" s="155">
        <v>16</v>
      </c>
      <c r="B32" s="135"/>
      <c r="C32" s="65" t="s">
        <v>32</v>
      </c>
      <c r="D32" s="131"/>
      <c r="E32" s="135"/>
      <c r="F32" s="94"/>
      <c r="G32" s="849"/>
      <c r="H32" s="160"/>
      <c r="I32" s="849"/>
      <c r="J32" s="160"/>
      <c r="K32" s="876"/>
      <c r="L32" s="876"/>
      <c r="M32" s="877"/>
      <c r="N32" s="877"/>
      <c r="O32" s="878"/>
      <c r="P32" s="876">
        <v>5473.850499682937</v>
      </c>
      <c r="Q32" s="160"/>
      <c r="R32" s="160"/>
      <c r="S32" s="849">
        <v>38060.85860093237</v>
      </c>
      <c r="T32" s="161">
        <v>87903.501690693462</v>
      </c>
      <c r="U32" s="946"/>
      <c r="V32" s="946">
        <f>+'Pro Forma Compliance Department'!L17</f>
        <v>9983.5153142399995</v>
      </c>
      <c r="W32" s="878"/>
      <c r="X32" s="160"/>
      <c r="Y32" s="160"/>
      <c r="Z32" s="986"/>
      <c r="AA32" s="159"/>
      <c r="AB32" s="159"/>
      <c r="AC32" s="159"/>
      <c r="AD32" s="159"/>
      <c r="AE32" s="159"/>
      <c r="AF32" s="175"/>
      <c r="AG32" s="157">
        <f t="shared" si="1"/>
        <v>141421.72610554879</v>
      </c>
      <c r="AH32" s="94"/>
    </row>
    <row r="33" spans="1:145">
      <c r="A33" s="155">
        <v>17</v>
      </c>
      <c r="B33" s="135"/>
      <c r="C33" s="65" t="s">
        <v>33</v>
      </c>
      <c r="D33" s="131"/>
      <c r="E33" s="135"/>
      <c r="F33" s="94"/>
      <c r="G33" s="849">
        <f>(+G19-SUM(G22:G32))*'Conversion Factor using 21%'!$C$33</f>
        <v>789843.45786502771</v>
      </c>
      <c r="H33" s="160">
        <f>(+H19-SUM(H22:H32))*'Conversion Factor using 21%'!$C$33+0.5</f>
        <v>11491.078399999999</v>
      </c>
      <c r="I33" s="849">
        <f>(+I19-SUM(I22:I32))*'Conversion Factor using 21%'!$C$33</f>
        <v>-503196.9179051317</v>
      </c>
      <c r="J33" s="160">
        <f>(+J19-SUM(J22:J32))*'Conversion Factor using 21%'!$C$33</f>
        <v>112000.00559999999</v>
      </c>
      <c r="K33" s="876">
        <f>(+K19-SUM(K22:K32))*'Conversion Factor using 21%'!$C$33</f>
        <v>297589.52999999997</v>
      </c>
      <c r="L33" s="876">
        <f>(+L19-SUM(L22:L32))*'Conversion Factor using 21%'!$C$33</f>
        <v>26776.68</v>
      </c>
      <c r="M33" s="877">
        <f>(+M19-SUM(M22:M32))*'Conversion Factor using 21%'!$C$33</f>
        <v>0</v>
      </c>
      <c r="N33" s="877"/>
      <c r="O33" s="878">
        <f>(+O19-SUM(O22:O32))*'Conversion Factor using 21%'!$C$33</f>
        <v>44258.759999999995</v>
      </c>
      <c r="P33" s="876">
        <f>(+P19-SUM(P22:P32))*'Conversion Factor using 21%'!$C$33</f>
        <v>-16175.764878572854</v>
      </c>
      <c r="Q33" s="160"/>
      <c r="R33" s="160">
        <f>+'Interest Coord. Adj.'!H16</f>
        <v>211792.89214086364</v>
      </c>
      <c r="S33" s="849">
        <f>(+S19-SUM(S22:S32))*'Conversion Factor using 21%'!$C$33</f>
        <v>-140366.46683048076</v>
      </c>
      <c r="T33" s="161">
        <f>(+T19-SUM(T22:T32))*'Conversion Factor using 21%'!$C$33</f>
        <v>-10315.756299430575</v>
      </c>
      <c r="U33" s="946">
        <f>(+U19-SUM(U22:U32))*'Conversion Factor using 21%'!$C$33</f>
        <v>-25830</v>
      </c>
      <c r="V33" s="946">
        <f>(+V19-SUM(V22:V32))*'Conversion Factor using 21%'!$C$33</f>
        <v>-41834.844270710404</v>
      </c>
      <c r="W33" s="878">
        <f>(+W19-SUM(W22:W32))*'Conversion Factor using 21%'!$C$33</f>
        <v>-88978.697545296454</v>
      </c>
      <c r="X33" s="160">
        <f>(+X19-SUM(X22:X32))*'Conversion Factor using 21%'!$C$33</f>
        <v>-20399.568331368449</v>
      </c>
      <c r="Y33" s="160">
        <f>(+Y19-SUM(Y22:Y32))*'Conversion Factor using 21%'!$C$33</f>
        <v>-16382.28693669751</v>
      </c>
      <c r="Z33" s="986">
        <f>(+Z19-SUM(Z22:Z32))*'Conversion Factor using 21%'!$C$33</f>
        <v>1465938.2747597776</v>
      </c>
      <c r="AA33" s="161">
        <f>(+AA19-SUM(AA24:AA32))*'Conversion Factor using 21%'!$C$33</f>
        <v>0</v>
      </c>
      <c r="AB33" s="161">
        <f>(+AB19-SUM(AB24:AB32))*'Conversion Factor using 21%'!$C$33</f>
        <v>0</v>
      </c>
      <c r="AC33" s="161">
        <f>(+AC19-SUM(AC24:AC32))*'Conversion Factor using 21%'!$C$33</f>
        <v>0</v>
      </c>
      <c r="AD33" s="161">
        <f>(+AD19-SUM(AD24:AD32))*'Conversion Factor using 21%'!$C$33</f>
        <v>0</v>
      </c>
      <c r="AE33" s="161">
        <f>(+AE19-SUM(AE24:AE32))*'Conversion Factor using 21%'!$C$33</f>
        <v>0</v>
      </c>
      <c r="AF33" s="175"/>
      <c r="AG33" s="157">
        <f t="shared" si="1"/>
        <v>2096210.37576798</v>
      </c>
      <c r="AH33" s="94"/>
    </row>
    <row r="34" spans="1:145">
      <c r="A34" s="155">
        <v>18</v>
      </c>
      <c r="B34" s="135"/>
      <c r="C34" s="71" t="s">
        <v>34</v>
      </c>
      <c r="D34" s="131"/>
      <c r="E34" s="135"/>
      <c r="F34" s="94"/>
      <c r="G34" s="849">
        <f>SUM(G22:G33)</f>
        <v>9492139.6246982291</v>
      </c>
      <c r="H34" s="160">
        <f t="shared" ref="H34:J34" si="2">SUM(H22:H33)</f>
        <v>-43225.961599999995</v>
      </c>
      <c r="I34" s="849">
        <f t="shared" si="2"/>
        <v>-3930164.4528939156</v>
      </c>
      <c r="J34" s="160">
        <f t="shared" si="2"/>
        <v>-421333.35440000001</v>
      </c>
      <c r="K34" s="876">
        <f t="shared" ref="K34:O34" si="3">SUM(K22:K33)</f>
        <v>-1119503.47</v>
      </c>
      <c r="L34" s="876">
        <f t="shared" si="3"/>
        <v>-100731.32</v>
      </c>
      <c r="M34" s="877">
        <f t="shared" si="3"/>
        <v>0</v>
      </c>
      <c r="N34" s="877"/>
      <c r="O34" s="878">
        <f t="shared" si="3"/>
        <v>-166497.24</v>
      </c>
      <c r="P34" s="876">
        <f t="shared" ref="P34" si="4">SUM(P22:P33)</f>
        <v>60851.68692415503</v>
      </c>
      <c r="Q34" s="160"/>
      <c r="R34" s="160">
        <f>SUM(R24:R33)</f>
        <v>211792.89214086364</v>
      </c>
      <c r="S34" s="849">
        <f t="shared" ref="S34:Z34" si="5">SUM(S22:S33)</f>
        <v>528045.27998133237</v>
      </c>
      <c r="T34" s="161">
        <f t="shared" si="5"/>
        <v>238750.79274547694</v>
      </c>
      <c r="U34" s="946">
        <f t="shared" si="5"/>
        <v>97170</v>
      </c>
      <c r="V34" s="946">
        <f t="shared" si="5"/>
        <v>157378.69987552962</v>
      </c>
      <c r="W34" s="878">
        <f t="shared" si="5"/>
        <v>334729.38600373431</v>
      </c>
      <c r="X34" s="160">
        <f t="shared" si="5"/>
        <v>-24903.766753423461</v>
      </c>
      <c r="Y34" s="160">
        <f>SUM(Y22:Y33)</f>
        <v>61628.603238052543</v>
      </c>
      <c r="Z34" s="986">
        <f t="shared" si="5"/>
        <v>1789615.5583545379</v>
      </c>
      <c r="AA34" s="160">
        <f t="shared" ref="AA34:AE34" si="6">SUM(AA24:AA33)</f>
        <v>0</v>
      </c>
      <c r="AB34" s="160">
        <f t="shared" si="6"/>
        <v>0</v>
      </c>
      <c r="AC34" s="160">
        <f t="shared" si="6"/>
        <v>0</v>
      </c>
      <c r="AD34" s="160">
        <f t="shared" si="6"/>
        <v>0</v>
      </c>
      <c r="AE34" s="160">
        <f t="shared" si="6"/>
        <v>0</v>
      </c>
      <c r="AF34" s="175"/>
      <c r="AG34" s="157">
        <f t="shared" si="1"/>
        <v>7165742.9583145734</v>
      </c>
      <c r="AH34" s="94"/>
    </row>
    <row r="35" spans="1:145" ht="16.2" thickBot="1">
      <c r="A35" s="155">
        <v>19</v>
      </c>
      <c r="B35" s="135"/>
      <c r="C35" s="71" t="s">
        <v>1849</v>
      </c>
      <c r="D35" s="131"/>
      <c r="E35" s="135"/>
      <c r="F35" s="94"/>
      <c r="G35" s="854">
        <f>+G19-G34</f>
        <v>2971315.8653017711</v>
      </c>
      <c r="H35" s="930">
        <f t="shared" ref="H35:J35" si="7">+H19-H34</f>
        <v>43225.961599999995</v>
      </c>
      <c r="I35" s="854">
        <f t="shared" si="7"/>
        <v>-1892978.8816431146</v>
      </c>
      <c r="J35" s="930">
        <f t="shared" si="7"/>
        <v>421333.35440000001</v>
      </c>
      <c r="K35" s="960">
        <f t="shared" ref="K35:O35" si="8">+K19-K34</f>
        <v>1119503.47</v>
      </c>
      <c r="L35" s="960">
        <f t="shared" si="8"/>
        <v>100731.32</v>
      </c>
      <c r="M35" s="961">
        <f t="shared" si="8"/>
        <v>0</v>
      </c>
      <c r="N35" s="961"/>
      <c r="O35" s="891">
        <f t="shared" si="8"/>
        <v>166497.24</v>
      </c>
      <c r="P35" s="960">
        <f t="shared" ref="P35" si="9">+P19-P34</f>
        <v>-60851.68692415503</v>
      </c>
      <c r="Q35" s="930"/>
      <c r="R35" s="930">
        <f t="shared" ref="R35:Z35" si="10">+R19-R34</f>
        <v>-211792.89214086364</v>
      </c>
      <c r="S35" s="854">
        <f t="shared" si="10"/>
        <v>-528045.27998133237</v>
      </c>
      <c r="T35" s="921">
        <f t="shared" si="10"/>
        <v>-38806.892745476944</v>
      </c>
      <c r="U35" s="949">
        <f t="shared" si="10"/>
        <v>-97170</v>
      </c>
      <c r="V35" s="949">
        <f t="shared" si="10"/>
        <v>-157378.69987552962</v>
      </c>
      <c r="W35" s="891">
        <f t="shared" si="10"/>
        <v>-334729.38600373431</v>
      </c>
      <c r="X35" s="930">
        <f t="shared" si="10"/>
        <v>-76741.233246576536</v>
      </c>
      <c r="Y35" s="930">
        <f t="shared" si="10"/>
        <v>-61628.603238052543</v>
      </c>
      <c r="Z35" s="989">
        <f t="shared" si="10"/>
        <v>5514720.176477259</v>
      </c>
      <c r="AA35" s="178">
        <f t="shared" ref="AA35" si="11">+AA19-AA34</f>
        <v>0</v>
      </c>
      <c r="AB35" s="178">
        <f t="shared" ref="AB35" si="12">+AB19-AB34</f>
        <v>0</v>
      </c>
      <c r="AC35" s="178">
        <f t="shared" ref="AC35" si="13">+AC19-AC34</f>
        <v>0</v>
      </c>
      <c r="AD35" s="178">
        <f t="shared" ref="AD35" si="14">+AD19-AD34</f>
        <v>0</v>
      </c>
      <c r="AE35" s="178">
        <f t="shared" ref="AE35" si="15">+AE19-AE34</f>
        <v>0</v>
      </c>
      <c r="AF35" s="178"/>
      <c r="AG35" s="178">
        <f>+AG19-AG34</f>
        <v>6877203.831980193</v>
      </c>
      <c r="AH35" s="94"/>
    </row>
    <row r="36" spans="1:145" ht="16.2" thickBot="1">
      <c r="A36" s="155"/>
      <c r="B36" s="135"/>
      <c r="C36" s="71"/>
      <c r="D36" s="131"/>
      <c r="E36" s="135"/>
      <c r="F36" s="94"/>
      <c r="G36" s="855"/>
      <c r="H36" s="180"/>
      <c r="I36" s="855"/>
      <c r="J36" s="180"/>
      <c r="K36" s="892"/>
      <c r="L36" s="892"/>
      <c r="M36" s="893"/>
      <c r="N36" s="893"/>
      <c r="O36" s="894"/>
      <c r="P36" s="892"/>
      <c r="Q36" s="180"/>
      <c r="R36" s="180"/>
      <c r="S36" s="911"/>
      <c r="T36" s="922"/>
      <c r="U36" s="950"/>
      <c r="V36" s="950"/>
      <c r="W36" s="894"/>
      <c r="X36" s="180"/>
      <c r="Y36" s="180"/>
      <c r="Z36" s="990"/>
      <c r="AA36" s="179"/>
      <c r="AB36" s="179"/>
      <c r="AC36" s="179"/>
      <c r="AD36" s="179"/>
      <c r="AE36" s="179"/>
      <c r="AF36" s="181"/>
      <c r="AG36" s="179"/>
      <c r="AH36" s="182"/>
    </row>
    <row r="37" spans="1:145" ht="16.2" thickTop="1">
      <c r="A37" s="155">
        <v>20</v>
      </c>
      <c r="B37" s="135"/>
      <c r="C37" s="71" t="s">
        <v>35</v>
      </c>
      <c r="D37" s="131"/>
      <c r="E37" s="135"/>
      <c r="F37" s="94"/>
      <c r="G37" s="856"/>
      <c r="H37" s="183"/>
      <c r="I37" s="856"/>
      <c r="J37" s="183"/>
      <c r="K37" s="895"/>
      <c r="L37" s="895"/>
      <c r="M37" s="896"/>
      <c r="N37" s="896"/>
      <c r="O37" s="897"/>
      <c r="P37" s="895"/>
      <c r="Q37" s="183"/>
      <c r="R37" s="183"/>
      <c r="S37" s="857"/>
      <c r="T37" s="923"/>
      <c r="U37" s="951"/>
      <c r="V37" s="951"/>
      <c r="W37" s="938"/>
      <c r="X37" s="183"/>
      <c r="Y37" s="183"/>
      <c r="Z37" s="991"/>
      <c r="AA37" s="170"/>
      <c r="AB37" s="170"/>
      <c r="AC37" s="170"/>
      <c r="AD37" s="170"/>
      <c r="AE37" s="170"/>
      <c r="AF37" s="170"/>
      <c r="AG37" s="184"/>
      <c r="AH37" s="94"/>
    </row>
    <row r="38" spans="1:145">
      <c r="A38" s="155">
        <v>21</v>
      </c>
      <c r="B38" s="135"/>
      <c r="C38" s="46" t="s">
        <v>37</v>
      </c>
      <c r="D38" s="131"/>
      <c r="E38" s="135"/>
      <c r="F38" s="94"/>
      <c r="G38" s="853"/>
      <c r="H38" s="929"/>
      <c r="I38" s="853"/>
      <c r="J38" s="929"/>
      <c r="K38" s="888"/>
      <c r="L38" s="888"/>
      <c r="M38" s="889"/>
      <c r="N38" s="889"/>
      <c r="O38" s="890"/>
      <c r="P38" s="888"/>
      <c r="Q38" s="929"/>
      <c r="R38" s="929"/>
      <c r="S38" s="849"/>
      <c r="T38" s="161">
        <v>7524903.3634040002</v>
      </c>
      <c r="U38" s="946"/>
      <c r="V38" s="946"/>
      <c r="W38" s="878"/>
      <c r="X38" s="160"/>
      <c r="Y38" s="160">
        <v>3023677.9137500022</v>
      </c>
      <c r="Z38" s="986"/>
      <c r="AA38" s="159"/>
      <c r="AB38" s="159"/>
      <c r="AC38" s="159"/>
      <c r="AD38" s="159"/>
      <c r="AE38" s="159"/>
      <c r="AF38" s="174"/>
      <c r="AG38" s="185">
        <f>SUM(G38:AF38)</f>
        <v>10548581.277154002</v>
      </c>
      <c r="AH38" s="94"/>
    </row>
    <row r="39" spans="1:145">
      <c r="A39" s="155">
        <v>22</v>
      </c>
      <c r="B39" s="135"/>
      <c r="C39" s="46" t="s">
        <v>38</v>
      </c>
      <c r="D39" s="131"/>
      <c r="E39" s="135"/>
      <c r="F39" s="94"/>
      <c r="G39" s="857"/>
      <c r="H39" s="158"/>
      <c r="I39" s="857"/>
      <c r="J39" s="158"/>
      <c r="K39" s="898"/>
      <c r="L39" s="898"/>
      <c r="M39" s="899"/>
      <c r="N39" s="899"/>
      <c r="O39" s="900"/>
      <c r="P39" s="898"/>
      <c r="Q39" s="158"/>
      <c r="R39" s="158"/>
      <c r="S39" s="857"/>
      <c r="T39" s="187">
        <v>-76151.463177921003</v>
      </c>
      <c r="U39" s="952"/>
      <c r="V39" s="952"/>
      <c r="W39" s="939"/>
      <c r="X39" s="158"/>
      <c r="Y39" s="158">
        <v>-39005.445087375025</v>
      </c>
      <c r="Z39" s="992"/>
      <c r="AA39" s="159"/>
      <c r="AB39" s="159"/>
      <c r="AC39" s="186"/>
      <c r="AD39" s="186"/>
      <c r="AE39" s="186"/>
      <c r="AF39" s="175"/>
      <c r="AG39" s="185">
        <f>SUM(G39:AF39)</f>
        <v>-115156.90826529602</v>
      </c>
      <c r="AH39" s="94"/>
    </row>
    <row r="40" spans="1:145">
      <c r="A40" s="155">
        <v>23</v>
      </c>
      <c r="B40" s="135"/>
      <c r="C40" s="57" t="s">
        <v>12</v>
      </c>
      <c r="D40" s="131"/>
      <c r="E40" s="135"/>
      <c r="F40" s="94"/>
      <c r="G40" s="857"/>
      <c r="H40" s="158"/>
      <c r="I40" s="857"/>
      <c r="J40" s="158"/>
      <c r="K40" s="898"/>
      <c r="L40" s="898"/>
      <c r="M40" s="899"/>
      <c r="N40" s="899"/>
      <c r="O40" s="900"/>
      <c r="P40" s="898"/>
      <c r="Q40" s="158"/>
      <c r="R40" s="158"/>
      <c r="S40" s="857"/>
      <c r="T40" s="187"/>
      <c r="U40" s="952"/>
      <c r="V40" s="952"/>
      <c r="W40" s="939"/>
      <c r="X40" s="158"/>
      <c r="Y40" s="158"/>
      <c r="Z40" s="992"/>
      <c r="AA40" s="186"/>
      <c r="AB40" s="186"/>
      <c r="AC40" s="186"/>
      <c r="AD40" s="186"/>
      <c r="AE40" s="186"/>
      <c r="AF40" s="175"/>
      <c r="AG40" s="185">
        <f>SUM(G40:AF40)</f>
        <v>0</v>
      </c>
      <c r="AH40" s="94"/>
    </row>
    <row r="41" spans="1:145" ht="16.2" thickBot="1">
      <c r="A41" s="155">
        <v>24</v>
      </c>
      <c r="B41" s="135"/>
      <c r="C41" s="57" t="s">
        <v>39</v>
      </c>
      <c r="D41" s="131"/>
      <c r="E41" s="135"/>
      <c r="F41" s="94"/>
      <c r="G41" s="857"/>
      <c r="H41" s="158"/>
      <c r="I41" s="857"/>
      <c r="J41" s="158"/>
      <c r="K41" s="898"/>
      <c r="L41" s="898"/>
      <c r="M41" s="899"/>
      <c r="N41" s="899"/>
      <c r="O41" s="900"/>
      <c r="P41" s="898"/>
      <c r="Q41" s="158"/>
      <c r="R41" s="158"/>
      <c r="S41" s="857"/>
      <c r="T41" s="187">
        <v>-22729.166210066393</v>
      </c>
      <c r="U41" s="952"/>
      <c r="V41" s="952"/>
      <c r="W41" s="939"/>
      <c r="X41" s="158"/>
      <c r="Y41" s="158">
        <v>-6190.9805284031308</v>
      </c>
      <c r="Z41" s="992"/>
      <c r="AA41" s="186"/>
      <c r="AB41" s="186"/>
      <c r="AC41" s="186"/>
      <c r="AD41" s="186"/>
      <c r="AE41" s="186"/>
      <c r="AF41" s="188"/>
      <c r="AG41" s="185">
        <f>SUM(G41:AF41)</f>
        <v>-28920.146738469524</v>
      </c>
      <c r="AH41" s="94"/>
    </row>
    <row r="42" spans="1:145">
      <c r="A42" s="155">
        <v>25</v>
      </c>
      <c r="B42" s="135"/>
      <c r="C42" s="57" t="s">
        <v>40</v>
      </c>
      <c r="D42" s="131"/>
      <c r="E42" s="135"/>
      <c r="F42" s="94"/>
      <c r="G42" s="857"/>
      <c r="H42" s="158"/>
      <c r="I42" s="857"/>
      <c r="J42" s="158"/>
      <c r="K42" s="898"/>
      <c r="L42" s="898"/>
      <c r="M42" s="899">
        <v>-12922679</v>
      </c>
      <c r="N42" s="899"/>
      <c r="O42" s="900"/>
      <c r="P42" s="898"/>
      <c r="Q42" s="158"/>
      <c r="R42" s="158"/>
      <c r="S42" s="857"/>
      <c r="T42" s="187"/>
      <c r="U42" s="952"/>
      <c r="V42" s="952"/>
      <c r="W42" s="939"/>
      <c r="X42" s="158"/>
      <c r="Y42" s="158"/>
      <c r="Z42" s="992"/>
      <c r="AA42" s="186"/>
      <c r="AB42" s="186"/>
      <c r="AC42" s="186"/>
      <c r="AD42" s="186"/>
      <c r="AE42" s="186"/>
      <c r="AF42" s="175"/>
      <c r="AG42" s="185">
        <f>SUM(G42:AF42)</f>
        <v>-12922679</v>
      </c>
      <c r="AH42" s="94"/>
    </row>
    <row r="43" spans="1:145" ht="16.2" thickBot="1">
      <c r="A43" s="155">
        <v>26</v>
      </c>
      <c r="B43" s="135"/>
      <c r="C43" s="71" t="s">
        <v>36</v>
      </c>
      <c r="D43" s="131"/>
      <c r="E43" s="135"/>
      <c r="F43" s="94"/>
      <c r="G43" s="858">
        <f>SUM(G38:G42)</f>
        <v>0</v>
      </c>
      <c r="H43" s="189">
        <f>SUM(H38:H42)</f>
        <v>0</v>
      </c>
      <c r="I43" s="858">
        <f>SUM(I38:I42)</f>
        <v>0</v>
      </c>
      <c r="J43" s="189">
        <f>SUM(J38:J42)</f>
        <v>0</v>
      </c>
      <c r="K43" s="901">
        <f t="shared" ref="K43:O43" si="16">SUM(K38:K42)</f>
        <v>0</v>
      </c>
      <c r="L43" s="901">
        <f t="shared" si="16"/>
        <v>0</v>
      </c>
      <c r="M43" s="902">
        <f t="shared" si="16"/>
        <v>-12922679</v>
      </c>
      <c r="N43" s="902"/>
      <c r="O43" s="903">
        <f t="shared" si="16"/>
        <v>0</v>
      </c>
      <c r="P43" s="901">
        <f>SUM(P38:P42)</f>
        <v>0</v>
      </c>
      <c r="Q43" s="189"/>
      <c r="R43" s="189">
        <f>SUM(R38:R42)</f>
        <v>0</v>
      </c>
      <c r="S43" s="858">
        <f>SUM(S38:S42)</f>
        <v>0</v>
      </c>
      <c r="T43" s="924">
        <f>SUM(T38:T42)</f>
        <v>7426022.7340160124</v>
      </c>
      <c r="U43" s="953">
        <f>SUM(U38:U42)</f>
        <v>0</v>
      </c>
      <c r="V43" s="953"/>
      <c r="W43" s="903"/>
      <c r="X43" s="189">
        <f t="shared" ref="X43:AE43" si="17">SUM(X38:X42)</f>
        <v>0</v>
      </c>
      <c r="Y43" s="189">
        <f t="shared" si="17"/>
        <v>2978481.488134224</v>
      </c>
      <c r="Z43" s="993">
        <f t="shared" si="17"/>
        <v>0</v>
      </c>
      <c r="AA43" s="189">
        <f t="shared" si="17"/>
        <v>0</v>
      </c>
      <c r="AB43" s="189">
        <f t="shared" si="17"/>
        <v>0</v>
      </c>
      <c r="AC43" s="189">
        <f t="shared" si="17"/>
        <v>0</v>
      </c>
      <c r="AD43" s="189">
        <f t="shared" si="17"/>
        <v>0</v>
      </c>
      <c r="AE43" s="189">
        <f t="shared" si="17"/>
        <v>0</v>
      </c>
      <c r="AF43" s="188"/>
      <c r="AG43" s="189">
        <f>SUM(AG38:AG42)</f>
        <v>-2518174.7778497636</v>
      </c>
      <c r="AH43" s="94"/>
    </row>
    <row r="44" spans="1:145" ht="16.2" thickBot="1">
      <c r="A44" s="155"/>
      <c r="B44" s="162"/>
      <c r="C44" s="190"/>
      <c r="D44" s="163"/>
      <c r="E44" s="162"/>
      <c r="F44" s="164"/>
      <c r="G44" s="850"/>
      <c r="H44" s="166"/>
      <c r="I44" s="850"/>
      <c r="J44" s="166"/>
      <c r="K44" s="879"/>
      <c r="L44" s="879"/>
      <c r="M44" s="880"/>
      <c r="N44" s="880"/>
      <c r="O44" s="881"/>
      <c r="P44" s="879"/>
      <c r="Q44" s="166"/>
      <c r="R44" s="166"/>
      <c r="S44" s="912"/>
      <c r="T44" s="925"/>
      <c r="U44" s="947"/>
      <c r="V44" s="947"/>
      <c r="W44" s="881"/>
      <c r="X44" s="166"/>
      <c r="Y44" s="191"/>
      <c r="Z44" s="987"/>
      <c r="AA44" s="165"/>
      <c r="AB44" s="165"/>
      <c r="AC44" s="165"/>
      <c r="AD44" s="165"/>
      <c r="AE44" s="165"/>
      <c r="AF44" s="176"/>
      <c r="AG44" s="191"/>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row>
    <row r="45" spans="1:145">
      <c r="A45" s="155">
        <v>27</v>
      </c>
      <c r="B45" s="193"/>
      <c r="C45" s="194" t="s">
        <v>53</v>
      </c>
      <c r="D45" s="195"/>
      <c r="E45" s="162"/>
      <c r="F45" s="164"/>
      <c r="G45" s="859">
        <f>((+G43*'Capital Structure Calculation'!$J$14)-'Summary of Adjustments'!G35)/'Conversion Factor using 21%'!$C$25</f>
        <v>-3935555.7416986357</v>
      </c>
      <c r="H45" s="197">
        <f>((+H43*'Capital Structure Calculation'!$J$14)-'Summary of Adjustments'!H35)/'Conversion Factor using 21%'!$C$25</f>
        <v>-57253.482657942623</v>
      </c>
      <c r="I45" s="859">
        <f>((+I43*'Capital Structure Calculation'!$J$14)-'Summary of Adjustments'!I35)/'Conversion Factor using 21%'!$C$25</f>
        <v>2507281.03112935</v>
      </c>
      <c r="J45" s="197">
        <f>((+J43*'Capital Structure Calculation'!$J$14)-'Summary of Adjustments'!J35)/'Conversion Factor using 21%'!$C$25</f>
        <v>-558062.81703061517</v>
      </c>
      <c r="K45" s="962">
        <f>((+K43*'Capital Structure Calculation'!$J$14)-'Summary of Adjustments'!K35)/'Conversion Factor using 21%'!$C$25</f>
        <v>-1482800.385061916</v>
      </c>
      <c r="L45" s="962">
        <f>((+L43*'Capital Structure Calculation'!$J$14)-'Summary of Adjustments'!L35)/'Conversion Factor using 21%'!$C$25</f>
        <v>-133420.25646762407</v>
      </c>
      <c r="M45" s="963">
        <f>((+M43*'Capital Structure Calculation'!$J$14)-'Summary of Adjustments'!M35)/'Conversion Factor using 21%'!$C$25</f>
        <v>-1234598.4711796476</v>
      </c>
      <c r="N45" s="964"/>
      <c r="O45" s="940">
        <f>((+O43*'Capital Structure Calculation'!$J$14)-'Summary of Adjustments'!O35)/'Conversion Factor using 21%'!$C$25</f>
        <v>-220528.27722253173</v>
      </c>
      <c r="P45" s="962">
        <f>((+P43*'Capital Structure Calculation'!$J$14)-'Summary of Adjustments'!P35)/'Conversion Factor using 21%'!$C$25</f>
        <v>80599.039860773482</v>
      </c>
      <c r="Q45" s="197"/>
      <c r="R45" s="197">
        <f>((+R43*'Capital Structure Calculation'!$J$14)-'Summary of Adjustments'!R35)/'Conversion Factor using 21%'!$C$25</f>
        <v>280523.09835167322</v>
      </c>
      <c r="S45" s="859">
        <f>((+S43*'Capital Structure Calculation'!$J$14)-'Summary of Adjustments'!S35)/'Conversion Factor using 21%'!$C$25</f>
        <v>699404.48195881594</v>
      </c>
      <c r="T45" s="926">
        <f>((+T43*'Capital Structure Calculation'!$J$14)-'Summary of Adjustments'!T35)/'Conversion Factor using 21%'!$C$25</f>
        <v>760862.86746968341</v>
      </c>
      <c r="U45" s="954">
        <f>((+U43*'Capital Structure Calculation'!$J$14)-'Summary of Adjustments'!U35)/'Conversion Factor using 21%'!$C$25</f>
        <v>128703.23074252407</v>
      </c>
      <c r="V45" s="954">
        <f>((+V43*'Capital Structure Calculation'!$J$14)-'Summary of Adjustments'!V35)/'Conversion Factor using 21%'!$C$25</f>
        <v>208450.6238966629</v>
      </c>
      <c r="W45" s="940">
        <f>((+W43*'Capital Structure Calculation'!$J$14)-'Summary of Adjustments'!W35)/'Conversion Factor using 21%'!$C$25</f>
        <v>443354.46540230548</v>
      </c>
      <c r="X45" s="197">
        <f>((+X43*'Capital Structure Calculation'!$J$14)-'Summary of Adjustments'!X35)/'Conversion Factor using 21%'!$C$25</f>
        <v>101645</v>
      </c>
      <c r="Y45" s="197">
        <f>((+Y43*'Capital Structure Calculation'!$J$14)-'Summary of Adjustments'!Y35)/'Conversion Factor using 21%'!$C$25</f>
        <v>366184.2982829375</v>
      </c>
      <c r="Z45" s="994">
        <f>((+Z43*'Capital Structure Calculation'!$J$14)-'Summary of Adjustments'!Z35)/'Conversion Factor using 21%'!$C$25</f>
        <v>-7304335.734831797</v>
      </c>
      <c r="AA45" s="196">
        <f>((+AA43*'Capital Structure Calculation'!$J$14)-'Summary of Adjustments'!AA35)/'Conversion Factor using 21%'!$C$25</f>
        <v>0</v>
      </c>
      <c r="AB45" s="196">
        <f>((+AB43*'Capital Structure Calculation'!$J$14)-'Summary of Adjustments'!AB35)/'Conversion Factor using 21%'!$C$25</f>
        <v>0</v>
      </c>
      <c r="AC45" s="196">
        <f>((+AC43*'Capital Structure Calculation'!$J$14)-'Summary of Adjustments'!AC35)/'Conversion Factor using 21%'!$C$25</f>
        <v>0</v>
      </c>
      <c r="AD45" s="196">
        <f>((+AD43*'Capital Structure Calculation'!$J$14)-'Summary of Adjustments'!AD35)/'Conversion Factor using 21%'!$C$25</f>
        <v>0</v>
      </c>
      <c r="AE45" s="196">
        <f>((+AE43*'Capital Structure Calculation'!$J$14)-'Summary of Adjustments'!AE35)/'Conversion Factor using 21%'!$C$25</f>
        <v>0</v>
      </c>
      <c r="AF45" s="196"/>
      <c r="AG45" s="196">
        <f>((+AG43*'Capital Structure Calculation'!$J$14)-'Summary of Adjustments'!AG35)/'Conversion Factor using 21%'!$C$25</f>
        <v>-9349547.0290559828</v>
      </c>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row>
    <row r="46" spans="1:145">
      <c r="A46" s="94"/>
      <c r="B46" s="94"/>
      <c r="C46" s="94"/>
      <c r="D46" s="94"/>
      <c r="E46" s="94"/>
      <c r="F46" s="94"/>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row>
    <row r="47" spans="1:145">
      <c r="A47" s="94"/>
      <c r="B47" s="94"/>
      <c r="C47" s="94"/>
      <c r="D47" s="94"/>
      <c r="E47" s="94"/>
      <c r="F47" s="94"/>
      <c r="G47" s="200"/>
      <c r="H47" s="200"/>
      <c r="I47" s="200"/>
      <c r="J47" s="200"/>
      <c r="K47" s="200"/>
      <c r="L47" s="200"/>
      <c r="M47" s="200"/>
      <c r="N47" s="200"/>
      <c r="O47" s="200"/>
      <c r="P47" s="200"/>
      <c r="Q47" s="200"/>
      <c r="R47" s="200"/>
      <c r="S47" s="200"/>
      <c r="T47" s="200"/>
      <c r="U47" s="200"/>
      <c r="V47" s="200"/>
      <c r="W47" s="200"/>
      <c r="X47" s="200"/>
      <c r="Y47" s="200"/>
      <c r="Z47" s="200"/>
      <c r="AA47" s="201"/>
      <c r="AB47" s="201"/>
      <c r="AC47" s="201"/>
      <c r="AD47" s="201"/>
      <c r="AE47" s="201"/>
      <c r="AF47" s="201"/>
      <c r="AG47" s="95"/>
      <c r="AH47" s="95"/>
      <c r="AI47" s="95"/>
      <c r="AJ47" s="95"/>
      <c r="AK47" s="95"/>
      <c r="AL47" s="95"/>
      <c r="AM47" s="95"/>
      <c r="AN47" s="95"/>
      <c r="AO47" s="95"/>
      <c r="AP47" s="95"/>
      <c r="AQ47" s="95"/>
      <c r="AR47" s="95"/>
      <c r="AS47" s="95"/>
      <c r="AT47" s="95"/>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row>
    <row r="48" spans="1:145">
      <c r="A48" s="94"/>
      <c r="B48" s="94"/>
      <c r="C48" s="94"/>
      <c r="D48" s="94"/>
      <c r="E48" s="94"/>
      <c r="F48" s="94"/>
      <c r="G48" s="95"/>
      <c r="H48" s="95"/>
      <c r="I48" s="95"/>
      <c r="J48" s="95"/>
      <c r="K48" s="95"/>
      <c r="L48" s="95"/>
      <c r="M48" s="95"/>
      <c r="N48" s="95"/>
      <c r="O48" s="95"/>
      <c r="P48" s="95"/>
      <c r="Q48" s="95"/>
      <c r="R48" s="95"/>
      <c r="S48" s="202"/>
      <c r="T48" s="95"/>
      <c r="U48" s="95"/>
      <c r="V48" s="95"/>
      <c r="W48" s="95"/>
      <c r="X48" s="95"/>
      <c r="Y48" s="95"/>
      <c r="Z48" s="95"/>
      <c r="AA48" s="95"/>
      <c r="AB48" s="95"/>
      <c r="AC48" s="95"/>
      <c r="AD48" s="95"/>
      <c r="AE48" s="95"/>
      <c r="AF48" s="95"/>
      <c r="AG48" s="203"/>
      <c r="AH48" s="95"/>
      <c r="AI48" s="95"/>
      <c r="AJ48" s="95"/>
      <c r="AK48" s="95"/>
      <c r="AL48" s="95"/>
      <c r="AM48" s="95"/>
      <c r="AN48" s="95"/>
      <c r="AO48" s="95"/>
      <c r="AP48" s="95"/>
      <c r="AQ48" s="95"/>
      <c r="AR48" s="95"/>
      <c r="AS48" s="95"/>
      <c r="AT48" s="95"/>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row>
    <row r="49" spans="1:145">
      <c r="A49" s="94"/>
      <c r="B49" s="94"/>
      <c r="C49" s="94"/>
      <c r="D49" s="94"/>
      <c r="E49" s="94"/>
      <c r="F49" s="94"/>
      <c r="G49" s="95"/>
      <c r="H49" s="95"/>
      <c r="I49" s="95"/>
      <c r="J49" s="95"/>
      <c r="K49" s="95"/>
      <c r="L49" s="95"/>
      <c r="M49" s="95"/>
      <c r="N49" s="95"/>
      <c r="O49" s="95"/>
      <c r="P49" s="95"/>
      <c r="Q49" s="95"/>
      <c r="R49" s="95"/>
      <c r="S49" s="204"/>
      <c r="T49" s="95"/>
      <c r="U49" s="95"/>
      <c r="V49" s="95"/>
      <c r="W49" s="95"/>
      <c r="X49" s="95"/>
      <c r="Y49" s="95"/>
      <c r="Z49" s="95"/>
      <c r="AA49" s="95"/>
      <c r="AB49" s="95"/>
      <c r="AC49" s="95"/>
      <c r="AD49" s="95"/>
      <c r="AE49" s="95"/>
      <c r="AF49" s="95"/>
      <c r="AG49" s="205"/>
      <c r="AH49" s="95"/>
      <c r="AI49" s="95"/>
      <c r="AJ49" s="95"/>
      <c r="AK49" s="95"/>
      <c r="AL49" s="95"/>
      <c r="AM49" s="95"/>
      <c r="AN49" s="95"/>
      <c r="AO49" s="95"/>
      <c r="AP49" s="95"/>
      <c r="AQ49" s="95"/>
      <c r="AR49" s="95"/>
      <c r="AS49" s="95"/>
      <c r="AT49" s="95"/>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row>
    <row r="50" spans="1:145">
      <c r="A50" s="94"/>
      <c r="B50" s="94"/>
      <c r="C50" s="94"/>
      <c r="D50" s="94"/>
      <c r="E50" s="94"/>
      <c r="F50" s="94"/>
      <c r="G50" s="95"/>
      <c r="H50" s="206"/>
      <c r="I50" s="206"/>
      <c r="J50" s="206"/>
      <c r="K50" s="206"/>
      <c r="L50" s="206"/>
      <c r="M50" s="206"/>
      <c r="N50" s="206"/>
      <c r="O50" s="206"/>
      <c r="P50" s="206"/>
      <c r="Q50" s="206"/>
      <c r="R50" s="206"/>
      <c r="S50" s="204"/>
      <c r="T50" s="206"/>
      <c r="U50" s="206"/>
      <c r="V50" s="206"/>
      <c r="W50" s="206"/>
      <c r="X50" s="206"/>
      <c r="Y50" s="206"/>
      <c r="Z50" s="206"/>
      <c r="AA50" s="206"/>
      <c r="AB50" s="206"/>
      <c r="AC50" s="206"/>
      <c r="AD50" s="206"/>
      <c r="AE50" s="206"/>
      <c r="AF50" s="95"/>
      <c r="AG50" s="95"/>
      <c r="AH50" s="95"/>
      <c r="AI50" s="95"/>
      <c r="AJ50" s="95"/>
      <c r="AK50" s="95"/>
      <c r="AL50" s="95"/>
      <c r="AM50" s="95"/>
      <c r="AN50" s="95"/>
      <c r="AO50" s="95"/>
      <c r="AP50" s="95"/>
      <c r="AQ50" s="95"/>
      <c r="AR50" s="95"/>
      <c r="AS50" s="95"/>
      <c r="AT50" s="95"/>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row>
    <row r="51" spans="1:145">
      <c r="A51" s="94"/>
      <c r="B51" s="94"/>
      <c r="C51" s="94"/>
      <c r="D51" s="94"/>
      <c r="E51" s="94"/>
      <c r="F51" s="94"/>
      <c r="G51" s="95"/>
      <c r="H51" s="95"/>
      <c r="I51" s="95"/>
      <c r="J51" s="95"/>
      <c r="K51" s="95"/>
      <c r="L51" s="95"/>
      <c r="M51" s="95"/>
      <c r="N51" s="95"/>
      <c r="O51" s="95"/>
      <c r="P51" s="95"/>
      <c r="Q51" s="95"/>
      <c r="R51" s="95"/>
      <c r="S51" s="204"/>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row>
    <row r="52" spans="1:145">
      <c r="A52" s="94"/>
      <c r="B52" s="94"/>
      <c r="C52" s="94"/>
      <c r="D52" s="94"/>
      <c r="E52" s="94"/>
      <c r="F52" s="94"/>
      <c r="G52" s="95"/>
      <c r="H52" s="206"/>
      <c r="I52" s="206"/>
      <c r="J52" s="206"/>
      <c r="K52" s="206"/>
      <c r="L52" s="206"/>
      <c r="M52" s="206"/>
      <c r="N52" s="206"/>
      <c r="O52" s="206"/>
      <c r="P52" s="206"/>
      <c r="Q52" s="206"/>
      <c r="R52" s="206"/>
      <c r="S52" s="204"/>
      <c r="T52" s="206"/>
      <c r="U52" s="206"/>
      <c r="V52" s="206"/>
      <c r="W52" s="206"/>
      <c r="X52" s="206"/>
      <c r="Y52" s="206"/>
      <c r="Z52" s="206"/>
      <c r="AA52" s="206"/>
      <c r="AB52" s="206"/>
      <c r="AC52" s="206"/>
      <c r="AD52" s="206"/>
      <c r="AE52" s="206"/>
      <c r="AF52" s="95"/>
      <c r="AG52" s="95"/>
      <c r="AH52" s="95"/>
      <c r="AI52" s="95"/>
      <c r="AJ52" s="95"/>
      <c r="AK52" s="95"/>
      <c r="AL52" s="95"/>
      <c r="AM52" s="95"/>
      <c r="AN52" s="95"/>
      <c r="AO52" s="95"/>
      <c r="AP52" s="95"/>
      <c r="AQ52" s="95"/>
      <c r="AR52" s="95"/>
      <c r="AS52" s="95"/>
      <c r="AT52" s="95"/>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row>
    <row r="53" spans="1:145">
      <c r="A53" s="94"/>
      <c r="B53" s="94"/>
      <c r="C53" s="94"/>
      <c r="D53" s="94"/>
      <c r="E53" s="94"/>
      <c r="F53" s="94"/>
      <c r="G53" s="95"/>
      <c r="H53" s="207"/>
      <c r="I53" s="207"/>
      <c r="J53" s="207"/>
      <c r="K53" s="207"/>
      <c r="L53" s="207"/>
      <c r="M53" s="207"/>
      <c r="N53" s="207"/>
      <c r="O53" s="207"/>
      <c r="P53" s="207"/>
      <c r="Q53" s="207"/>
      <c r="R53" s="207"/>
      <c r="S53" s="204"/>
      <c r="T53" s="207"/>
      <c r="U53" s="207"/>
      <c r="V53" s="207"/>
      <c r="W53" s="207"/>
      <c r="X53" s="207"/>
      <c r="Y53" s="207"/>
      <c r="Z53" s="207"/>
      <c r="AA53" s="207"/>
      <c r="AB53" s="207"/>
      <c r="AC53" s="207"/>
      <c r="AD53" s="207"/>
      <c r="AE53" s="207"/>
      <c r="AF53" s="95"/>
      <c r="AG53" s="95"/>
      <c r="AH53" s="95"/>
      <c r="AI53" s="95"/>
      <c r="AJ53" s="95"/>
      <c r="AK53" s="95"/>
      <c r="AL53" s="95"/>
      <c r="AM53" s="95"/>
      <c r="AN53" s="95"/>
      <c r="AO53" s="95"/>
      <c r="AP53" s="95"/>
      <c r="AQ53" s="95"/>
      <c r="AR53" s="95"/>
      <c r="AS53" s="95"/>
      <c r="AT53" s="95"/>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row>
    <row r="54" spans="1:145">
      <c r="A54" s="94"/>
      <c r="B54" s="94"/>
      <c r="C54" s="94"/>
      <c r="D54" s="94"/>
      <c r="E54" s="94"/>
      <c r="F54" s="94"/>
      <c r="G54" s="95"/>
      <c r="H54" s="207"/>
      <c r="I54" s="207"/>
      <c r="J54" s="207"/>
      <c r="K54" s="207"/>
      <c r="L54" s="207"/>
      <c r="M54" s="207"/>
      <c r="N54" s="207"/>
      <c r="O54" s="207"/>
      <c r="P54" s="207"/>
      <c r="Q54" s="207"/>
      <c r="R54" s="207"/>
      <c r="S54" s="204"/>
      <c r="T54" s="207"/>
      <c r="U54" s="207"/>
      <c r="V54" s="207"/>
      <c r="W54" s="207"/>
      <c r="X54" s="207"/>
      <c r="Y54" s="207"/>
      <c r="Z54" s="207"/>
      <c r="AA54" s="207"/>
      <c r="AB54" s="207"/>
      <c r="AC54" s="207"/>
      <c r="AD54" s="207"/>
      <c r="AE54" s="207"/>
      <c r="AF54" s="95"/>
      <c r="AG54" s="95"/>
      <c r="AH54" s="95"/>
      <c r="AI54" s="95"/>
      <c r="AJ54" s="95"/>
      <c r="AK54" s="95"/>
      <c r="AL54" s="95"/>
      <c r="AM54" s="95"/>
      <c r="AN54" s="95"/>
      <c r="AO54" s="95"/>
      <c r="AP54" s="95"/>
      <c r="AQ54" s="95"/>
      <c r="AR54" s="95"/>
      <c r="AS54" s="95"/>
      <c r="AT54" s="95"/>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row>
    <row r="55" spans="1:145">
      <c r="A55" s="94"/>
      <c r="B55" s="94"/>
      <c r="C55" s="94"/>
      <c r="D55" s="94"/>
      <c r="E55" s="94"/>
      <c r="F55" s="94"/>
      <c r="G55" s="95"/>
      <c r="H55" s="207"/>
      <c r="I55" s="207"/>
      <c r="J55" s="207"/>
      <c r="K55" s="207"/>
      <c r="L55" s="207"/>
      <c r="M55" s="207"/>
      <c r="N55" s="207"/>
      <c r="O55" s="207"/>
      <c r="P55" s="207"/>
      <c r="Q55" s="207"/>
      <c r="R55" s="207"/>
      <c r="S55" s="204"/>
      <c r="T55" s="207"/>
      <c r="U55" s="207"/>
      <c r="V55" s="207"/>
      <c r="W55" s="207"/>
      <c r="X55" s="207"/>
      <c r="Y55" s="207"/>
      <c r="Z55" s="207"/>
      <c r="AA55" s="207"/>
      <c r="AB55" s="207"/>
      <c r="AC55" s="207"/>
      <c r="AD55" s="207"/>
      <c r="AE55" s="207"/>
      <c r="AF55" s="95"/>
      <c r="AG55" s="95"/>
      <c r="AH55" s="95"/>
      <c r="AI55" s="95"/>
      <c r="AJ55" s="95"/>
      <c r="AK55" s="95"/>
      <c r="AL55" s="95"/>
      <c r="AM55" s="95"/>
      <c r="AN55" s="95"/>
      <c r="AO55" s="95"/>
      <c r="AP55" s="95"/>
      <c r="AQ55" s="95"/>
      <c r="AR55" s="95"/>
      <c r="AS55" s="95"/>
      <c r="AT55" s="95"/>
    </row>
    <row r="56" spans="1:145">
      <c r="A56" s="94"/>
      <c r="B56" s="94"/>
      <c r="C56" s="94"/>
      <c r="D56" s="94"/>
      <c r="E56" s="94"/>
      <c r="F56" s="94"/>
      <c r="G56" s="95"/>
      <c r="H56" s="207"/>
      <c r="I56" s="207"/>
      <c r="J56" s="207"/>
      <c r="K56" s="207"/>
      <c r="L56" s="207"/>
      <c r="M56" s="207"/>
      <c r="N56" s="207"/>
      <c r="O56" s="207"/>
      <c r="P56" s="207"/>
      <c r="Q56" s="207"/>
      <c r="R56" s="207"/>
      <c r="S56" s="204"/>
      <c r="T56" s="207"/>
      <c r="U56" s="207"/>
      <c r="V56" s="207"/>
      <c r="W56" s="207"/>
      <c r="X56" s="207"/>
      <c r="Y56" s="207"/>
      <c r="Z56" s="207"/>
      <c r="AA56" s="207"/>
      <c r="AB56" s="207"/>
      <c r="AC56" s="207"/>
      <c r="AD56" s="207"/>
      <c r="AE56" s="207"/>
      <c r="AF56" s="95"/>
      <c r="AG56" s="95"/>
      <c r="AH56" s="95"/>
      <c r="AI56" s="95"/>
      <c r="AJ56" s="95"/>
      <c r="AK56" s="95"/>
      <c r="AL56" s="95"/>
      <c r="AM56" s="95"/>
      <c r="AN56" s="95"/>
      <c r="AO56" s="95"/>
      <c r="AP56" s="95"/>
      <c r="AQ56" s="95"/>
      <c r="AR56" s="95"/>
      <c r="AS56" s="95"/>
      <c r="AT56" s="95"/>
    </row>
    <row r="57" spans="1:145">
      <c r="A57" s="94"/>
      <c r="B57" s="94"/>
      <c r="C57" s="94"/>
      <c r="D57" s="94"/>
      <c r="E57" s="94"/>
      <c r="F57" s="94"/>
      <c r="G57" s="95"/>
      <c r="H57" s="95"/>
      <c r="I57" s="95"/>
      <c r="J57" s="95"/>
      <c r="K57" s="95"/>
      <c r="L57" s="95"/>
      <c r="M57" s="95"/>
      <c r="N57" s="95"/>
      <c r="O57" s="95"/>
      <c r="P57" s="95"/>
      <c r="Q57" s="95"/>
      <c r="R57" s="95"/>
      <c r="S57" s="204"/>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145">
      <c r="A58" s="94"/>
      <c r="B58" s="94"/>
      <c r="C58" s="94"/>
      <c r="D58" s="94"/>
      <c r="E58" s="94"/>
      <c r="F58" s="94"/>
      <c r="G58" s="95"/>
      <c r="H58" s="207"/>
      <c r="I58" s="207"/>
      <c r="J58" s="207"/>
      <c r="K58" s="207"/>
      <c r="L58" s="207"/>
      <c r="M58" s="207"/>
      <c r="N58" s="207"/>
      <c r="O58" s="207"/>
      <c r="P58" s="207"/>
      <c r="Q58" s="207"/>
      <c r="R58" s="207"/>
      <c r="S58" s="204"/>
      <c r="T58" s="207"/>
      <c r="U58" s="207"/>
      <c r="V58" s="207"/>
      <c r="W58" s="207"/>
      <c r="X58" s="207"/>
      <c r="Y58" s="207"/>
      <c r="Z58" s="207"/>
      <c r="AA58" s="207"/>
      <c r="AB58" s="207"/>
      <c r="AC58" s="207"/>
      <c r="AD58" s="207"/>
      <c r="AE58" s="207"/>
      <c r="AF58" s="95"/>
      <c r="AG58" s="95"/>
      <c r="AH58" s="95"/>
      <c r="AI58" s="95"/>
      <c r="AJ58" s="95"/>
      <c r="AK58" s="95"/>
      <c r="AL58" s="95"/>
      <c r="AM58" s="95"/>
      <c r="AN58" s="95"/>
      <c r="AO58" s="95"/>
      <c r="AP58" s="95"/>
      <c r="AQ58" s="95"/>
      <c r="AR58" s="95"/>
      <c r="AS58" s="95"/>
      <c r="AT58" s="95"/>
    </row>
    <row r="59" spans="1:145">
      <c r="A59" s="94"/>
      <c r="B59" s="94"/>
      <c r="C59" s="94"/>
      <c r="D59" s="94"/>
      <c r="E59" s="94"/>
      <c r="F59" s="94"/>
      <c r="G59" s="95"/>
      <c r="H59" s="208"/>
      <c r="I59" s="208"/>
      <c r="J59" s="208"/>
      <c r="K59" s="208"/>
      <c r="L59" s="208"/>
      <c r="M59" s="208"/>
      <c r="N59" s="208"/>
      <c r="O59" s="208"/>
      <c r="P59" s="208"/>
      <c r="Q59" s="208"/>
      <c r="R59" s="208"/>
      <c r="S59" s="204"/>
      <c r="T59" s="208"/>
      <c r="U59" s="208"/>
      <c r="V59" s="208"/>
      <c r="W59" s="208"/>
      <c r="X59" s="208"/>
      <c r="Y59" s="208"/>
      <c r="Z59" s="208"/>
      <c r="AA59" s="208"/>
      <c r="AB59" s="208"/>
      <c r="AC59" s="208"/>
      <c r="AD59" s="208"/>
      <c r="AE59" s="208"/>
      <c r="AF59" s="95"/>
      <c r="AG59" s="95"/>
      <c r="AH59" s="95"/>
      <c r="AI59" s="95"/>
      <c r="AJ59" s="95"/>
      <c r="AK59" s="95"/>
      <c r="AL59" s="95"/>
      <c r="AM59" s="95"/>
      <c r="AN59" s="95"/>
      <c r="AO59" s="95"/>
      <c r="AP59" s="95"/>
      <c r="AQ59" s="95"/>
      <c r="AR59" s="95"/>
      <c r="AS59" s="95"/>
      <c r="AT59" s="95"/>
    </row>
    <row r="60" spans="1:145">
      <c r="A60" s="94"/>
      <c r="B60" s="94"/>
      <c r="C60" s="94"/>
      <c r="D60" s="94"/>
      <c r="E60" s="94"/>
      <c r="F60" s="94"/>
      <c r="G60" s="95"/>
      <c r="H60" s="208"/>
      <c r="I60" s="208"/>
      <c r="J60" s="208"/>
      <c r="K60" s="208"/>
      <c r="L60" s="208"/>
      <c r="M60" s="208"/>
      <c r="N60" s="208"/>
      <c r="O60" s="208"/>
      <c r="P60" s="208"/>
      <c r="Q60" s="208"/>
      <c r="R60" s="208"/>
      <c r="S60" s="204"/>
      <c r="T60" s="208"/>
      <c r="U60" s="208"/>
      <c r="V60" s="208"/>
      <c r="W60" s="208"/>
      <c r="X60" s="208"/>
      <c r="Y60" s="208"/>
      <c r="Z60" s="208"/>
      <c r="AA60" s="208"/>
      <c r="AB60" s="208"/>
      <c r="AC60" s="208"/>
      <c r="AD60" s="208"/>
      <c r="AE60" s="208"/>
      <c r="AF60" s="95"/>
      <c r="AG60" s="95"/>
      <c r="AH60" s="95"/>
      <c r="AI60" s="95"/>
      <c r="AJ60" s="95"/>
      <c r="AK60" s="95"/>
      <c r="AL60" s="95"/>
      <c r="AM60" s="95"/>
      <c r="AN60" s="95"/>
      <c r="AO60" s="95"/>
      <c r="AP60" s="95"/>
      <c r="AQ60" s="95"/>
      <c r="AR60" s="95"/>
      <c r="AS60" s="95"/>
      <c r="AT60" s="95"/>
    </row>
    <row r="61" spans="1:145">
      <c r="A61" s="94"/>
      <c r="B61" s="94"/>
      <c r="C61" s="94"/>
      <c r="D61" s="94"/>
      <c r="E61" s="94"/>
      <c r="F61" s="94"/>
      <c r="G61" s="95"/>
      <c r="H61" s="95"/>
      <c r="I61" s="95"/>
      <c r="J61" s="95"/>
      <c r="K61" s="95"/>
      <c r="L61" s="95"/>
      <c r="M61" s="95"/>
      <c r="N61" s="95"/>
      <c r="O61" s="95"/>
      <c r="P61" s="95"/>
      <c r="Q61" s="95"/>
      <c r="R61" s="95"/>
      <c r="S61" s="204"/>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145">
      <c r="A62" s="94"/>
      <c r="B62" s="94"/>
      <c r="C62" s="94"/>
      <c r="D62" s="94"/>
      <c r="E62" s="94"/>
      <c r="F62" s="94"/>
      <c r="G62" s="95"/>
      <c r="H62" s="207"/>
      <c r="I62" s="207"/>
      <c r="J62" s="207"/>
      <c r="K62" s="207"/>
      <c r="L62" s="207"/>
      <c r="M62" s="207"/>
      <c r="N62" s="207"/>
      <c r="O62" s="207"/>
      <c r="P62" s="207"/>
      <c r="Q62" s="207"/>
      <c r="R62" s="207"/>
      <c r="S62" s="209"/>
      <c r="T62" s="207"/>
      <c r="U62" s="207"/>
      <c r="V62" s="207"/>
      <c r="W62" s="207"/>
      <c r="X62" s="207"/>
      <c r="Y62" s="207"/>
      <c r="Z62" s="207"/>
      <c r="AA62" s="207"/>
      <c r="AB62" s="207"/>
      <c r="AC62" s="207"/>
      <c r="AD62" s="207"/>
      <c r="AE62" s="207"/>
      <c r="AF62" s="95"/>
      <c r="AG62" s="95"/>
      <c r="AH62" s="95"/>
      <c r="AI62" s="95"/>
      <c r="AJ62" s="95"/>
      <c r="AK62" s="95"/>
      <c r="AL62" s="95"/>
      <c r="AM62" s="95"/>
      <c r="AN62" s="95"/>
      <c r="AO62" s="95"/>
      <c r="AP62" s="95"/>
      <c r="AQ62" s="95"/>
      <c r="AR62" s="95"/>
      <c r="AS62" s="95"/>
      <c r="AT62" s="95"/>
    </row>
    <row r="63" spans="1:145">
      <c r="A63" s="94"/>
      <c r="B63" s="94"/>
      <c r="C63" s="94"/>
      <c r="D63" s="94"/>
      <c r="E63" s="94"/>
      <c r="F63" s="94"/>
      <c r="G63" s="95"/>
      <c r="H63" s="207"/>
      <c r="I63" s="207"/>
      <c r="J63" s="207"/>
      <c r="K63" s="207"/>
      <c r="L63" s="207"/>
      <c r="M63" s="207"/>
      <c r="N63" s="207"/>
      <c r="O63" s="207"/>
      <c r="P63" s="207"/>
      <c r="Q63" s="207"/>
      <c r="R63" s="207"/>
      <c r="S63" s="204"/>
      <c r="T63" s="207"/>
      <c r="U63" s="207"/>
      <c r="V63" s="207"/>
      <c r="W63" s="207"/>
      <c r="X63" s="207"/>
      <c r="Y63" s="207"/>
      <c r="Z63" s="207"/>
      <c r="AA63" s="207"/>
      <c r="AB63" s="207"/>
      <c r="AC63" s="207"/>
      <c r="AD63" s="207"/>
      <c r="AE63" s="207"/>
      <c r="AF63" s="95"/>
      <c r="AG63" s="95"/>
      <c r="AH63" s="95"/>
      <c r="AI63" s="95"/>
      <c r="AJ63" s="95"/>
      <c r="AK63" s="95"/>
      <c r="AL63" s="95"/>
      <c r="AM63" s="95"/>
      <c r="AN63" s="95"/>
      <c r="AO63" s="95"/>
      <c r="AP63" s="95"/>
      <c r="AQ63" s="95"/>
      <c r="AR63" s="95"/>
      <c r="AS63" s="95"/>
      <c r="AT63" s="95"/>
    </row>
    <row r="64" spans="1:145">
      <c r="A64" s="94"/>
      <c r="B64" s="94"/>
      <c r="C64" s="94"/>
      <c r="D64" s="94"/>
      <c r="E64" s="94"/>
      <c r="F64" s="94"/>
      <c r="G64" s="95"/>
      <c r="H64" s="95"/>
      <c r="I64" s="95"/>
      <c r="J64" s="95"/>
      <c r="K64" s="95"/>
      <c r="L64" s="95"/>
      <c r="M64" s="95"/>
      <c r="N64" s="95"/>
      <c r="O64" s="95"/>
      <c r="P64" s="95"/>
      <c r="Q64" s="95"/>
      <c r="R64" s="95"/>
      <c r="S64" s="204"/>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c r="A65" s="94"/>
      <c r="B65" s="94"/>
      <c r="C65" s="94"/>
      <c r="D65" s="94"/>
      <c r="E65" s="94"/>
      <c r="F65" s="94"/>
      <c r="G65" s="95"/>
      <c r="H65" s="95"/>
      <c r="I65" s="95"/>
      <c r="J65" s="95"/>
      <c r="K65" s="95"/>
      <c r="L65" s="95"/>
      <c r="M65" s="95"/>
      <c r="N65" s="95"/>
      <c r="O65" s="95"/>
      <c r="P65" s="95"/>
      <c r="Q65" s="95"/>
      <c r="R65" s="95"/>
      <c r="S65" s="204"/>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c r="A66" s="94"/>
      <c r="B66" s="94"/>
      <c r="C66" s="94"/>
      <c r="D66" s="94"/>
      <c r="E66" s="94"/>
      <c r="F66" s="94"/>
      <c r="G66" s="95"/>
      <c r="H66" s="95"/>
      <c r="I66" s="95"/>
      <c r="J66" s="95"/>
      <c r="K66" s="95"/>
      <c r="L66" s="95"/>
      <c r="M66" s="95"/>
      <c r="N66" s="95"/>
      <c r="O66" s="95"/>
      <c r="P66" s="95"/>
      <c r="Q66" s="95"/>
      <c r="R66" s="95"/>
      <c r="S66" s="204"/>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sheetData>
  <mergeCells count="7">
    <mergeCell ref="B7:S7"/>
    <mergeCell ref="T5:AG5"/>
    <mergeCell ref="B6:S6"/>
    <mergeCell ref="T3:AH3"/>
    <mergeCell ref="T4:AH4"/>
    <mergeCell ref="B5:S5"/>
    <mergeCell ref="T6:AG6"/>
  </mergeCells>
  <printOptions horizontalCentered="1"/>
  <pageMargins left="0" right="0" top="0.5" bottom="0.5" header="0.3" footer="0.3"/>
  <pageSetup paperSize="5" scale="56" orientation="landscape" r:id="rId1"/>
  <headerFooter scaleWithDoc="0" alignWithMargins="0">
    <oddFooter>&amp;L&amp;F&amp;C&amp;A
&amp;R&amp;D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view="pageLayout" zoomScaleNormal="100" zoomScaleSheetLayoutView="100" workbookViewId="0">
      <selection activeCell="G7" sqref="G7"/>
    </sheetView>
  </sheetViews>
  <sheetFormatPr defaultColWidth="9.109375" defaultRowHeight="15.6"/>
  <cols>
    <col min="1" max="1" width="1.44140625" style="3" customWidth="1"/>
    <col min="2" max="2" width="2.5546875" style="3" customWidth="1"/>
    <col min="3" max="3" width="10.5546875" style="5" bestFit="1" customWidth="1"/>
    <col min="4" max="4" width="43" style="3" bestFit="1" customWidth="1"/>
    <col min="5" max="5" width="4.109375" style="3" customWidth="1"/>
    <col min="6" max="6" width="17.5546875" style="3" bestFit="1" customWidth="1"/>
    <col min="7" max="7" width="6" style="3" customWidth="1"/>
    <col min="8" max="8" width="10.109375" style="3" bestFit="1" customWidth="1"/>
    <col min="9" max="9" width="5.109375" style="3" customWidth="1"/>
    <col min="10" max="10" width="13.6640625" style="3" bestFit="1" customWidth="1"/>
    <col min="11" max="13" width="9.109375" style="3"/>
    <col min="14" max="14" width="13.88671875" style="3" bestFit="1" customWidth="1"/>
    <col min="15" max="16384" width="9.109375" style="3"/>
  </cols>
  <sheetData>
    <row r="1" spans="2:14">
      <c r="B1" s="429"/>
      <c r="C1" s="1229" t="s">
        <v>54</v>
      </c>
      <c r="D1" s="1229"/>
      <c r="E1" s="1229"/>
      <c r="F1" s="1229"/>
      <c r="G1" s="1229"/>
      <c r="H1" s="1229"/>
      <c r="I1" s="1229"/>
      <c r="J1" s="1229"/>
      <c r="K1" s="430"/>
      <c r="L1" s="431"/>
      <c r="M1" s="430"/>
    </row>
    <row r="2" spans="2:14">
      <c r="B2" s="429"/>
      <c r="C2" s="1229" t="s">
        <v>1261</v>
      </c>
      <c r="D2" s="1229"/>
      <c r="E2" s="1229"/>
      <c r="F2" s="1229"/>
      <c r="G2" s="1229"/>
      <c r="H2" s="1229"/>
      <c r="I2" s="1229"/>
      <c r="J2" s="1229"/>
      <c r="K2" s="432"/>
      <c r="L2" s="432"/>
      <c r="M2" s="432"/>
    </row>
    <row r="3" spans="2:14">
      <c r="B3" s="429"/>
      <c r="C3" s="1229"/>
      <c r="D3" s="1229"/>
      <c r="E3" s="1229"/>
      <c r="F3" s="1229"/>
      <c r="G3" s="1229"/>
      <c r="H3" s="1229"/>
      <c r="I3" s="1229"/>
      <c r="J3" s="1229"/>
      <c r="K3" s="432"/>
      <c r="L3" s="432"/>
      <c r="M3" s="432"/>
    </row>
    <row r="4" spans="2:14">
      <c r="B4" s="429"/>
      <c r="C4" s="1229" t="s">
        <v>949</v>
      </c>
      <c r="D4" s="1229"/>
      <c r="E4" s="1229"/>
      <c r="F4" s="1229"/>
      <c r="G4" s="1229"/>
      <c r="H4" s="1229"/>
      <c r="I4" s="1229"/>
      <c r="J4" s="1229"/>
      <c r="K4" s="433"/>
      <c r="L4" s="433"/>
      <c r="M4" s="433"/>
    </row>
    <row r="5" spans="2:14">
      <c r="B5" s="429"/>
      <c r="C5" s="1229" t="s">
        <v>953</v>
      </c>
      <c r="D5" s="1229"/>
      <c r="E5" s="1229"/>
      <c r="F5" s="1229"/>
      <c r="G5" s="1229"/>
      <c r="H5" s="1229"/>
      <c r="I5" s="1229"/>
      <c r="J5" s="1229"/>
      <c r="K5" s="434"/>
      <c r="L5" s="434"/>
      <c r="M5" s="434"/>
    </row>
    <row r="6" spans="2:14">
      <c r="E6" s="1236"/>
      <c r="F6" s="1236"/>
      <c r="G6" s="1236"/>
      <c r="H6" s="1236"/>
      <c r="I6" s="1236"/>
      <c r="J6" s="1236"/>
    </row>
    <row r="7" spans="2:14">
      <c r="B7" s="435"/>
      <c r="C7" s="436"/>
      <c r="D7" s="429"/>
      <c r="E7" s="430"/>
      <c r="F7" s="430"/>
      <c r="G7" s="430"/>
      <c r="H7" s="430"/>
      <c r="I7" s="430"/>
      <c r="J7" s="430"/>
      <c r="K7" s="435"/>
      <c r="L7" s="435"/>
      <c r="M7" s="429"/>
    </row>
    <row r="8" spans="2:14" s="5" customFormat="1">
      <c r="B8" s="437"/>
      <c r="C8" s="438" t="s">
        <v>41</v>
      </c>
      <c r="D8" s="438" t="s">
        <v>1272</v>
      </c>
      <c r="E8" s="438"/>
      <c r="F8" s="438" t="s">
        <v>1270</v>
      </c>
      <c r="G8" s="438"/>
      <c r="H8" s="438" t="s">
        <v>1273</v>
      </c>
      <c r="I8" s="438"/>
      <c r="J8" s="438" t="s">
        <v>1274</v>
      </c>
      <c r="K8" s="437"/>
      <c r="L8" s="439"/>
      <c r="M8" s="438"/>
    </row>
    <row r="9" spans="2:14">
      <c r="B9" s="435"/>
      <c r="C9" s="440" t="s">
        <v>1269</v>
      </c>
      <c r="D9" s="441" t="s">
        <v>42</v>
      </c>
      <c r="E9" s="442"/>
      <c r="F9" s="442" t="s">
        <v>43</v>
      </c>
      <c r="G9" s="442"/>
      <c r="H9" s="443" t="s">
        <v>44</v>
      </c>
      <c r="I9" s="443"/>
      <c r="J9" s="444" t="s">
        <v>45</v>
      </c>
      <c r="K9" s="435"/>
      <c r="L9" s="435"/>
      <c r="M9" s="429"/>
    </row>
    <row r="10" spans="2:14">
      <c r="B10" s="435"/>
      <c r="C10" s="422"/>
      <c r="D10" s="445"/>
      <c r="E10" s="445"/>
      <c r="F10" s="445"/>
      <c r="G10" s="445"/>
      <c r="H10" s="445"/>
      <c r="I10" s="445"/>
      <c r="J10" s="446" t="s">
        <v>44</v>
      </c>
      <c r="K10" s="435"/>
      <c r="L10" s="435"/>
      <c r="M10" s="429"/>
    </row>
    <row r="11" spans="2:14">
      <c r="C11" s="422">
        <v>1</v>
      </c>
      <c r="D11" s="447" t="s">
        <v>46</v>
      </c>
      <c r="E11" s="445"/>
      <c r="F11" s="913">
        <v>0.52690000000000003</v>
      </c>
      <c r="G11" s="449"/>
      <c r="H11" s="450">
        <v>5.2949999999999997E-2</v>
      </c>
      <c r="I11" s="451"/>
      <c r="J11" s="452">
        <f>ROUND(+F11*H11,5)</f>
        <v>2.7900000000000001E-2</v>
      </c>
      <c r="K11" s="435"/>
      <c r="L11" s="453"/>
      <c r="M11" s="429"/>
      <c r="N11" s="454"/>
    </row>
    <row r="12" spans="2:14">
      <c r="C12" s="422">
        <v>2</v>
      </c>
      <c r="D12" s="447" t="s">
        <v>47</v>
      </c>
      <c r="E12" s="445"/>
      <c r="F12" s="448">
        <v>0</v>
      </c>
      <c r="G12" s="449"/>
      <c r="H12" s="450">
        <v>0</v>
      </c>
      <c r="I12" s="451"/>
      <c r="J12" s="452">
        <f>ROUND(+F12*H12,5)</f>
        <v>0</v>
      </c>
      <c r="K12" s="435"/>
      <c r="L12" s="453"/>
      <c r="M12" s="429"/>
    </row>
    <row r="13" spans="2:14">
      <c r="C13" s="422">
        <v>3</v>
      </c>
      <c r="D13" s="447" t="s">
        <v>48</v>
      </c>
      <c r="E13" s="445"/>
      <c r="F13" s="913">
        <f>1-F11</f>
        <v>0.47309999999999997</v>
      </c>
      <c r="G13" s="449"/>
      <c r="H13" s="904">
        <v>9.35E-2</v>
      </c>
      <c r="I13" s="451"/>
      <c r="J13" s="452">
        <f>ROUND(+F13*H13,5)</f>
        <v>4.4229999999999998E-2</v>
      </c>
      <c r="K13" s="435"/>
      <c r="L13" s="453"/>
      <c r="M13" s="429"/>
    </row>
    <row r="14" spans="2:14" ht="16.2" thickBot="1">
      <c r="B14" s="435"/>
      <c r="C14" s="422">
        <v>4</v>
      </c>
      <c r="D14" s="447" t="s">
        <v>49</v>
      </c>
      <c r="E14" s="445"/>
      <c r="F14" s="455">
        <f>SUM(F11:F13)</f>
        <v>1</v>
      </c>
      <c r="G14" s="449"/>
      <c r="H14" s="449"/>
      <c r="I14" s="451"/>
      <c r="J14" s="914">
        <f>SUM(J11:J13)</f>
        <v>7.213E-2</v>
      </c>
      <c r="K14" s="435"/>
      <c r="L14" s="435"/>
      <c r="M14" s="429"/>
    </row>
    <row r="15" spans="2:14" ht="16.2" thickTop="1">
      <c r="B15" s="435"/>
      <c r="C15" s="456"/>
      <c r="D15" s="457"/>
      <c r="E15" s="457"/>
      <c r="F15" s="457"/>
      <c r="G15" s="457"/>
      <c r="H15" s="457"/>
      <c r="I15" s="457"/>
      <c r="J15" s="458"/>
      <c r="K15" s="435"/>
      <c r="L15" s="435"/>
      <c r="M15" s="429"/>
    </row>
    <row r="16" spans="2:14">
      <c r="B16" s="435"/>
      <c r="C16" s="437"/>
      <c r="D16" s="435"/>
      <c r="E16" s="435"/>
      <c r="F16" s="435"/>
      <c r="G16" s="435"/>
      <c r="H16" s="435"/>
      <c r="I16" s="435"/>
      <c r="J16" s="435"/>
      <c r="K16" s="435"/>
      <c r="L16" s="435"/>
      <c r="M16" s="429"/>
    </row>
    <row r="17" spans="2:12">
      <c r="B17" s="429"/>
      <c r="C17" s="438"/>
      <c r="D17" s="429" t="s">
        <v>1624</v>
      </c>
      <c r="E17" s="429"/>
      <c r="F17" s="429"/>
      <c r="G17" s="429"/>
      <c r="H17" s="429"/>
      <c r="I17" s="429"/>
      <c r="J17" s="429"/>
      <c r="K17" s="429"/>
      <c r="L17" s="429"/>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C14" sqref="C14"/>
    </sheetView>
  </sheetViews>
  <sheetFormatPr defaultColWidth="14" defaultRowHeight="15.6"/>
  <cols>
    <col min="1" max="1" width="2.109375" style="3" bestFit="1" customWidth="1"/>
    <col min="2" max="2" width="14" style="3"/>
    <col min="3" max="3" width="25.109375" style="3" customWidth="1"/>
    <col min="4" max="16384" width="14" style="3"/>
  </cols>
  <sheetData>
    <row r="1" spans="1:7">
      <c r="A1" s="94"/>
      <c r="B1" s="94"/>
      <c r="C1" s="94"/>
      <c r="D1" s="94"/>
    </row>
    <row r="5" spans="1:7">
      <c r="B5" s="1237" t="s">
        <v>111</v>
      </c>
      <c r="C5" s="1238"/>
      <c r="D5" s="1239"/>
    </row>
    <row r="6" spans="1:7">
      <c r="B6" s="1240" t="s">
        <v>110</v>
      </c>
      <c r="C6" s="1234"/>
      <c r="D6" s="1241"/>
    </row>
    <row r="7" spans="1:7">
      <c r="B7" s="1240" t="s">
        <v>958</v>
      </c>
      <c r="C7" s="1234"/>
      <c r="D7" s="1241"/>
    </row>
    <row r="8" spans="1:7">
      <c r="A8" s="4"/>
      <c r="B8" s="836"/>
      <c r="C8" s="837"/>
      <c r="D8" s="838"/>
    </row>
    <row r="9" spans="1:7">
      <c r="A9" s="95"/>
      <c r="B9" s="95"/>
      <c r="C9" s="95"/>
      <c r="D9" s="95"/>
    </row>
    <row r="11" spans="1:7">
      <c r="A11" s="3">
        <v>1</v>
      </c>
      <c r="B11" s="3" t="s">
        <v>67</v>
      </c>
      <c r="D11" s="93">
        <f>+'ROO Summary Sheet'!I40</f>
        <v>277543876.6443311</v>
      </c>
      <c r="G11" s="11"/>
    </row>
    <row r="12" spans="1:7">
      <c r="A12" s="3">
        <v>2</v>
      </c>
      <c r="B12" s="3" t="s">
        <v>13</v>
      </c>
      <c r="D12" s="96">
        <f>+'Capital Structure Calculation'!J14</f>
        <v>7.213E-2</v>
      </c>
    </row>
    <row r="14" spans="1:7">
      <c r="A14" s="3">
        <v>3</v>
      </c>
      <c r="B14" s="3" t="s">
        <v>68</v>
      </c>
      <c r="D14" s="97">
        <f>+D11*D12</f>
        <v>20019239.822355602</v>
      </c>
    </row>
    <row r="15" spans="1:7">
      <c r="A15" s="3">
        <v>4</v>
      </c>
      <c r="B15" s="3" t="s">
        <v>69</v>
      </c>
      <c r="D15" s="98">
        <f>+'ROO Summary Sheet'!I32</f>
        <v>25158568.667980194</v>
      </c>
    </row>
    <row r="16" spans="1:7">
      <c r="D16" s="97"/>
    </row>
    <row r="17" spans="1:4">
      <c r="A17" s="3">
        <v>5</v>
      </c>
      <c r="B17" s="3" t="s">
        <v>72</v>
      </c>
      <c r="D17" s="97">
        <f>+D14-D15</f>
        <v>-5139328.8456245922</v>
      </c>
    </row>
    <row r="19" spans="1:4">
      <c r="A19" s="3">
        <v>6</v>
      </c>
      <c r="B19" s="3" t="s">
        <v>70</v>
      </c>
      <c r="D19" s="99">
        <f>+'Conversion Factor using 21%'!C25</f>
        <v>0.75499270250948436</v>
      </c>
    </row>
    <row r="21" spans="1:4" ht="16.2" thickBot="1">
      <c r="A21" s="3">
        <v>7</v>
      </c>
      <c r="B21" s="3" t="s">
        <v>71</v>
      </c>
      <c r="D21" s="100">
        <f>+D17/D19</f>
        <v>-6807123.8682734566</v>
      </c>
    </row>
    <row r="22" spans="1:4" ht="16.2" thickTop="1">
      <c r="D22" s="97"/>
    </row>
    <row r="23" spans="1:4">
      <c r="A23" s="3">
        <v>8</v>
      </c>
      <c r="B23" s="3" t="s">
        <v>107</v>
      </c>
      <c r="D23" s="97">
        <f>+'ROO Summary Sheet'!I16</f>
        <v>219173609.02029479</v>
      </c>
    </row>
    <row r="25" spans="1:4">
      <c r="A25" s="3">
        <v>9</v>
      </c>
      <c r="B25" s="3" t="s">
        <v>1254</v>
      </c>
      <c r="D25" s="101">
        <f>+D21/D23</f>
        <v>-3.1058136509688711E-2</v>
      </c>
    </row>
  </sheetData>
  <mergeCells count="3">
    <mergeCell ref="B5:D5"/>
    <mergeCell ref="B6:D6"/>
    <mergeCell ref="B7:D7"/>
  </mergeCells>
  <printOptions horizontalCentered="1"/>
  <pageMargins left="0.7" right="0.7" top="0.75" bottom="0.75" header="0.3" footer="0.3"/>
  <pageSetup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activeCell="G6" sqref="G6"/>
    </sheetView>
  </sheetViews>
  <sheetFormatPr defaultColWidth="9.109375" defaultRowHeight="15.6"/>
  <cols>
    <col min="1" max="1" width="8.44140625" style="3" bestFit="1" customWidth="1"/>
    <col min="2" max="2" width="37.5546875" style="3" bestFit="1" customWidth="1"/>
    <col min="3" max="3" width="3.88671875" style="3" customWidth="1"/>
    <col min="4" max="4" width="17.6640625" style="3" bestFit="1" customWidth="1"/>
    <col min="5" max="6" width="9.109375" style="3"/>
    <col min="7" max="7" width="15.44140625" style="3" customWidth="1"/>
    <col min="8" max="16384" width="9.109375" style="3"/>
  </cols>
  <sheetData>
    <row r="1" spans="1:6">
      <c r="B1" s="1229" t="s">
        <v>54</v>
      </c>
      <c r="C1" s="1229"/>
      <c r="D1" s="1229"/>
      <c r="E1" s="1229"/>
      <c r="F1" s="1229"/>
    </row>
    <row r="2" spans="1:6">
      <c r="B2" s="1229" t="s">
        <v>1261</v>
      </c>
      <c r="C2" s="1229"/>
      <c r="D2" s="1229"/>
      <c r="E2" s="1229"/>
      <c r="F2" s="1229"/>
    </row>
    <row r="3" spans="1:6">
      <c r="B3" s="1229"/>
      <c r="C3" s="1229"/>
      <c r="D3" s="1229"/>
      <c r="E3" s="1229"/>
      <c r="F3" s="1229"/>
    </row>
    <row r="4" spans="1:6">
      <c r="B4" s="1229" t="s">
        <v>35</v>
      </c>
      <c r="C4" s="1229"/>
      <c r="D4" s="1229"/>
      <c r="E4" s="1229"/>
      <c r="F4" s="1229"/>
    </row>
    <row r="5" spans="1:6">
      <c r="B5" s="1229" t="s">
        <v>953</v>
      </c>
      <c r="C5" s="1229"/>
      <c r="D5" s="1229"/>
      <c r="E5" s="1229"/>
      <c r="F5" s="1229"/>
    </row>
    <row r="9" spans="1:6">
      <c r="A9" s="8" t="s">
        <v>1269</v>
      </c>
      <c r="B9" s="5" t="s">
        <v>1272</v>
      </c>
      <c r="C9" s="5"/>
      <c r="D9" s="5" t="s">
        <v>1270</v>
      </c>
    </row>
    <row r="10" spans="1:6">
      <c r="A10" s="5">
        <v>1</v>
      </c>
      <c r="D10" s="5" t="s">
        <v>369</v>
      </c>
    </row>
    <row r="11" spans="1:6">
      <c r="A11" s="5">
        <v>2</v>
      </c>
      <c r="D11" s="5" t="s">
        <v>370</v>
      </c>
    </row>
    <row r="12" spans="1:6">
      <c r="A12" s="5">
        <v>3</v>
      </c>
      <c r="D12" s="5" t="s">
        <v>957</v>
      </c>
    </row>
    <row r="13" spans="1:6">
      <c r="A13" s="5">
        <v>4</v>
      </c>
      <c r="B13" s="3" t="s">
        <v>1452</v>
      </c>
      <c r="D13" s="68">
        <f>+'Plant in Serv &amp; Accum Depr'!AF147</f>
        <v>677314165.18981874</v>
      </c>
      <c r="E13" s="3" t="s">
        <v>1503</v>
      </c>
    </row>
    <row r="14" spans="1:6">
      <c r="A14" s="5">
        <v>5</v>
      </c>
      <c r="B14" s="3" t="s">
        <v>1453</v>
      </c>
      <c r="D14" s="317">
        <f>-'Plant in Serv &amp; Accum Depr'!AF153</f>
        <v>-345424354.83661753</v>
      </c>
      <c r="E14" s="3" t="s">
        <v>1503</v>
      </c>
    </row>
    <row r="15" spans="1:6">
      <c r="A15" s="5">
        <v>6</v>
      </c>
      <c r="B15" s="3" t="s">
        <v>366</v>
      </c>
      <c r="D15" s="200">
        <f>+D13+D14</f>
        <v>331889810.35320121</v>
      </c>
    </row>
    <row r="16" spans="1:6">
      <c r="A16" s="5">
        <v>7</v>
      </c>
      <c r="B16" s="3" t="s">
        <v>1454</v>
      </c>
      <c r="D16" s="200">
        <f>+'Adv for Const. &amp; Def Tax'!AX23</f>
        <v>-3771590.387083333</v>
      </c>
      <c r="E16" s="3" t="s">
        <v>1504</v>
      </c>
    </row>
    <row r="17" spans="1:8">
      <c r="A17" s="5">
        <v>8</v>
      </c>
      <c r="B17" s="3" t="s">
        <v>1455</v>
      </c>
      <c r="D17" s="318">
        <f>+'Adv for Const. &amp; Def Tax'!AX30</f>
        <v>-73667038.139583334</v>
      </c>
      <c r="E17" s="3" t="s">
        <v>1504</v>
      </c>
    </row>
    <row r="18" spans="1:8">
      <c r="A18" s="5">
        <v>9</v>
      </c>
      <c r="B18" s="3" t="s">
        <v>1456</v>
      </c>
      <c r="D18" s="319">
        <f>+'Working Capital'!E44</f>
        <v>25610869.595646363</v>
      </c>
      <c r="E18" s="3" t="s">
        <v>1505</v>
      </c>
    </row>
    <row r="19" spans="1:8">
      <c r="A19" s="5">
        <v>10</v>
      </c>
      <c r="B19" s="3" t="s">
        <v>1457</v>
      </c>
      <c r="D19" s="320">
        <f>+D15+D16+D17+D18</f>
        <v>280062051.42218089</v>
      </c>
      <c r="H19" s="11"/>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view="pageBreakPreview" zoomScale="70" zoomScaleNormal="100" zoomScaleSheetLayoutView="70" workbookViewId="0">
      <selection activeCell="A3" sqref="A3:G3"/>
    </sheetView>
  </sheetViews>
  <sheetFormatPr defaultColWidth="9.109375" defaultRowHeight="15.6"/>
  <cols>
    <col min="1" max="1" width="9.33203125" style="16" bestFit="1" customWidth="1"/>
    <col min="2" max="2" width="17.6640625" style="3" customWidth="1"/>
    <col min="3" max="3" width="36.6640625" style="3" bestFit="1" customWidth="1"/>
    <col min="4" max="4" width="19.33203125" style="3" customWidth="1"/>
    <col min="5" max="5" width="27" style="3" bestFit="1" customWidth="1"/>
    <col min="6" max="6" width="20.109375" style="3" bestFit="1" customWidth="1"/>
    <col min="7" max="7" width="27.6640625" style="3" bestFit="1" customWidth="1"/>
    <col min="8" max="11" width="28.33203125" style="3" bestFit="1" customWidth="1"/>
    <col min="12" max="12" width="27" style="3" bestFit="1" customWidth="1"/>
    <col min="13" max="13" width="27.6640625" style="3" bestFit="1" customWidth="1"/>
    <col min="14" max="15" width="28.33203125" style="3" bestFit="1" customWidth="1"/>
    <col min="16" max="16" width="27.6640625" style="3" bestFit="1" customWidth="1"/>
    <col min="17" max="18" width="28.33203125" style="3" bestFit="1" customWidth="1"/>
    <col min="19" max="20" width="27.6640625" style="3" bestFit="1" customWidth="1"/>
    <col min="21" max="21" width="28.33203125" style="3" bestFit="1" customWidth="1"/>
    <col min="22" max="22" width="27.6640625" style="3" bestFit="1" customWidth="1"/>
    <col min="23" max="25" width="28.33203125" style="3" bestFit="1" customWidth="1"/>
    <col min="26" max="26" width="27" style="3" bestFit="1" customWidth="1"/>
    <col min="27" max="28" width="28.33203125" style="3" bestFit="1" customWidth="1"/>
    <col min="29" max="29" width="27.6640625" style="3" bestFit="1" customWidth="1"/>
    <col min="30" max="30" width="28.33203125" style="3" bestFit="1" customWidth="1"/>
    <col min="31" max="31" width="28.88671875" style="3" bestFit="1" customWidth="1"/>
    <col min="32" max="32" width="35.88671875" style="3" bestFit="1" customWidth="1"/>
    <col min="33" max="16384" width="9.109375" style="3"/>
  </cols>
  <sheetData>
    <row r="1" spans="1:35">
      <c r="A1" s="1229" t="s">
        <v>54</v>
      </c>
      <c r="B1" s="1229"/>
      <c r="C1" s="1229"/>
      <c r="D1" s="1229"/>
      <c r="E1" s="1229"/>
      <c r="F1" s="1229"/>
      <c r="G1" s="1229"/>
      <c r="J1" s="1229" t="s">
        <v>54</v>
      </c>
      <c r="K1" s="1229"/>
      <c r="L1" s="1229"/>
      <c r="M1" s="2"/>
      <c r="N1" s="2"/>
      <c r="O1" s="2"/>
      <c r="R1" s="1229" t="s">
        <v>54</v>
      </c>
      <c r="S1" s="1229"/>
      <c r="T1" s="2"/>
      <c r="U1" s="2"/>
      <c r="V1" s="2"/>
      <c r="W1" s="2"/>
      <c r="Y1" s="1229" t="s">
        <v>54</v>
      </c>
      <c r="Z1" s="1229"/>
      <c r="AA1" s="1229"/>
      <c r="AB1" s="2"/>
      <c r="AC1" s="2"/>
      <c r="AD1" s="2"/>
      <c r="AE1" s="17" t="s">
        <v>54</v>
      </c>
      <c r="AF1" s="2"/>
      <c r="AG1" s="2"/>
      <c r="AH1" s="2"/>
      <c r="AI1" s="2"/>
    </row>
    <row r="2" spans="1:35">
      <c r="A2" s="1229" t="s">
        <v>1261</v>
      </c>
      <c r="B2" s="1229"/>
      <c r="C2" s="1229"/>
      <c r="D2" s="1229"/>
      <c r="E2" s="1229"/>
      <c r="F2" s="1229"/>
      <c r="G2" s="1229"/>
      <c r="J2" s="1229" t="s">
        <v>1261</v>
      </c>
      <c r="K2" s="1229"/>
      <c r="L2" s="1229"/>
      <c r="M2" s="2"/>
      <c r="N2" s="2"/>
      <c r="O2" s="2"/>
      <c r="R2" s="1229" t="s">
        <v>1261</v>
      </c>
      <c r="S2" s="1229"/>
      <c r="T2" s="2"/>
      <c r="U2" s="2"/>
      <c r="V2" s="2"/>
      <c r="W2" s="2"/>
      <c r="X2" s="5"/>
      <c r="Y2" s="1229" t="s">
        <v>1261</v>
      </c>
      <c r="Z2" s="1229"/>
      <c r="AA2" s="1229"/>
      <c r="AB2" s="2"/>
      <c r="AC2" s="2"/>
      <c r="AD2" s="5"/>
      <c r="AE2" s="17" t="s">
        <v>1261</v>
      </c>
      <c r="AF2" s="2"/>
      <c r="AG2" s="2"/>
      <c r="AH2" s="2"/>
      <c r="AI2" s="2"/>
    </row>
    <row r="3" spans="1:35">
      <c r="A3" s="1229"/>
      <c r="B3" s="1229"/>
      <c r="C3" s="1229"/>
      <c r="D3" s="1229"/>
      <c r="E3" s="1229"/>
      <c r="F3" s="1229"/>
      <c r="G3" s="1229"/>
      <c r="J3" s="1229"/>
      <c r="K3" s="1229"/>
      <c r="L3" s="1229"/>
      <c r="M3" s="2"/>
      <c r="N3" s="2"/>
      <c r="O3" s="2"/>
      <c r="R3" s="1229"/>
      <c r="S3" s="1229"/>
      <c r="T3" s="2"/>
      <c r="U3" s="2"/>
      <c r="V3" s="2"/>
      <c r="W3" s="2"/>
      <c r="X3" s="5"/>
      <c r="Y3" s="1229"/>
      <c r="Z3" s="1229"/>
      <c r="AA3" s="1229"/>
      <c r="AB3" s="2"/>
      <c r="AC3" s="2"/>
      <c r="AD3" s="5"/>
      <c r="AE3" s="17"/>
      <c r="AF3" s="2"/>
      <c r="AG3" s="2"/>
      <c r="AH3" s="2"/>
      <c r="AI3" s="2"/>
    </row>
    <row r="4" spans="1:35">
      <c r="A4" s="1229" t="s">
        <v>1554</v>
      </c>
      <c r="B4" s="1229"/>
      <c r="C4" s="1229"/>
      <c r="D4" s="1229"/>
      <c r="E4" s="1229"/>
      <c r="F4" s="1229"/>
      <c r="G4" s="1229"/>
      <c r="J4" s="1229" t="s">
        <v>1554</v>
      </c>
      <c r="K4" s="1229"/>
      <c r="L4" s="1229"/>
      <c r="M4" s="2"/>
      <c r="N4" s="2"/>
      <c r="O4" s="2"/>
      <c r="R4" s="1229" t="s">
        <v>1554</v>
      </c>
      <c r="S4" s="1229"/>
      <c r="T4" s="2"/>
      <c r="U4" s="2"/>
      <c r="V4" s="2"/>
      <c r="W4" s="2"/>
      <c r="Y4" s="1229" t="s">
        <v>1554</v>
      </c>
      <c r="Z4" s="1229"/>
      <c r="AA4" s="1229"/>
      <c r="AB4" s="2"/>
      <c r="AC4" s="2"/>
      <c r="AD4" s="2"/>
      <c r="AE4" s="17" t="s">
        <v>1554</v>
      </c>
      <c r="AF4" s="2"/>
      <c r="AG4" s="2"/>
      <c r="AH4" s="2"/>
      <c r="AI4" s="2"/>
    </row>
    <row r="5" spans="1:35">
      <c r="A5" s="1229" t="s">
        <v>953</v>
      </c>
      <c r="B5" s="1229"/>
      <c r="C5" s="1229"/>
      <c r="D5" s="1229"/>
      <c r="E5" s="1229"/>
      <c r="F5" s="1229"/>
      <c r="G5" s="1229"/>
      <c r="J5" s="1229" t="s">
        <v>953</v>
      </c>
      <c r="K5" s="1229"/>
      <c r="L5" s="1229"/>
      <c r="M5" s="2"/>
      <c r="N5" s="2"/>
      <c r="O5" s="2"/>
      <c r="R5" s="1229" t="s">
        <v>953</v>
      </c>
      <c r="S5" s="1229"/>
      <c r="T5" s="2"/>
      <c r="U5" s="2"/>
      <c r="V5" s="2"/>
      <c r="W5" s="2"/>
      <c r="Y5" s="1229" t="s">
        <v>953</v>
      </c>
      <c r="Z5" s="1229"/>
      <c r="AA5" s="1229"/>
      <c r="AB5" s="2"/>
      <c r="AC5" s="2"/>
      <c r="AE5" s="17" t="s">
        <v>953</v>
      </c>
      <c r="AF5" s="2"/>
      <c r="AG5" s="2"/>
      <c r="AH5" s="2"/>
      <c r="AI5" s="2"/>
    </row>
    <row r="7" spans="1:35" s="16" customFormat="1">
      <c r="B7" s="16" t="s">
        <v>1272</v>
      </c>
      <c r="C7" s="16" t="s">
        <v>1270</v>
      </c>
      <c r="D7" s="16" t="s">
        <v>1271</v>
      </c>
      <c r="E7" s="16" t="s">
        <v>1274</v>
      </c>
      <c r="F7" s="16" t="s">
        <v>1275</v>
      </c>
      <c r="G7" s="16" t="s">
        <v>1276</v>
      </c>
      <c r="H7" s="16" t="s">
        <v>1277</v>
      </c>
      <c r="I7" s="16" t="s">
        <v>1278</v>
      </c>
      <c r="J7" s="16" t="s">
        <v>1279</v>
      </c>
      <c r="K7" s="16" t="s">
        <v>1280</v>
      </c>
      <c r="L7" s="16" t="s">
        <v>1281</v>
      </c>
      <c r="M7" s="16" t="s">
        <v>1282</v>
      </c>
      <c r="N7" s="16" t="s">
        <v>1283</v>
      </c>
      <c r="O7" s="16" t="s">
        <v>1284</v>
      </c>
      <c r="P7" s="16" t="s">
        <v>1285</v>
      </c>
      <c r="Q7" s="16" t="s">
        <v>1539</v>
      </c>
      <c r="R7" s="16" t="s">
        <v>1540</v>
      </c>
      <c r="S7" s="16" t="s">
        <v>1541</v>
      </c>
      <c r="T7" s="16" t="s">
        <v>1542</v>
      </c>
      <c r="U7" s="16" t="s">
        <v>1543</v>
      </c>
      <c r="V7" s="16" t="s">
        <v>1544</v>
      </c>
      <c r="W7" s="16" t="s">
        <v>1545</v>
      </c>
      <c r="X7" s="16" t="s">
        <v>1546</v>
      </c>
      <c r="Y7" s="16" t="s">
        <v>1547</v>
      </c>
      <c r="Z7" s="16" t="s">
        <v>1548</v>
      </c>
      <c r="AA7" s="16" t="s">
        <v>1549</v>
      </c>
      <c r="AB7" s="16" t="s">
        <v>1059</v>
      </c>
      <c r="AC7" s="16" t="s">
        <v>1550</v>
      </c>
      <c r="AD7" s="16" t="s">
        <v>1551</v>
      </c>
      <c r="AE7" s="16" t="s">
        <v>1552</v>
      </c>
      <c r="AF7" s="16" t="s">
        <v>1553</v>
      </c>
    </row>
    <row r="8" spans="1:35">
      <c r="A8" s="16" t="s">
        <v>883</v>
      </c>
      <c r="B8" s="321" t="s">
        <v>1288</v>
      </c>
      <c r="C8" s="321" t="s">
        <v>1289</v>
      </c>
      <c r="D8" s="321" t="s">
        <v>73</v>
      </c>
      <c r="E8" s="321" t="s">
        <v>1290</v>
      </c>
      <c r="F8" s="321" t="s">
        <v>1291</v>
      </c>
      <c r="G8" s="321" t="s">
        <v>1292</v>
      </c>
      <c r="H8" s="321" t="s">
        <v>1293</v>
      </c>
      <c r="I8" s="321" t="s">
        <v>1294</v>
      </c>
      <c r="J8" s="321" t="s">
        <v>1295</v>
      </c>
      <c r="K8" s="321" t="s">
        <v>1296</v>
      </c>
      <c r="L8" s="321" t="s">
        <v>1297</v>
      </c>
      <c r="M8" s="321" t="s">
        <v>1298</v>
      </c>
      <c r="N8" s="321" t="s">
        <v>1299</v>
      </c>
      <c r="O8" s="321" t="s">
        <v>1300</v>
      </c>
      <c r="P8" s="321" t="s">
        <v>1301</v>
      </c>
      <c r="Q8" s="321" t="s">
        <v>1302</v>
      </c>
      <c r="R8" s="321" t="s">
        <v>1303</v>
      </c>
      <c r="S8" s="321" t="s">
        <v>1304</v>
      </c>
      <c r="T8" s="321" t="s">
        <v>1305</v>
      </c>
      <c r="U8" s="321" t="s">
        <v>1306</v>
      </c>
      <c r="V8" s="321" t="s">
        <v>1307</v>
      </c>
      <c r="W8" s="321" t="s">
        <v>1308</v>
      </c>
      <c r="X8" s="321" t="s">
        <v>1309</v>
      </c>
      <c r="Y8" s="321" t="s">
        <v>1310</v>
      </c>
      <c r="Z8" s="321" t="s">
        <v>1311</v>
      </c>
      <c r="AA8" s="321" t="s">
        <v>1312</v>
      </c>
      <c r="AB8" s="321" t="s">
        <v>1313</v>
      </c>
      <c r="AC8" s="321" t="s">
        <v>1314</v>
      </c>
      <c r="AD8" s="321" t="s">
        <v>1315</v>
      </c>
      <c r="AE8" s="321" t="s">
        <v>1316</v>
      </c>
      <c r="AF8" s="321" t="s">
        <v>1317</v>
      </c>
    </row>
    <row r="9" spans="1:35">
      <c r="A9" s="16">
        <v>1</v>
      </c>
      <c r="B9" s="322" t="s">
        <v>78</v>
      </c>
      <c r="C9" s="322" t="s">
        <v>985</v>
      </c>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row>
    <row r="10" spans="1:35">
      <c r="A10" s="16">
        <v>2</v>
      </c>
      <c r="C10" s="3" t="s">
        <v>1318</v>
      </c>
      <c r="D10" s="3" t="str">
        <f>RIGHT(C10,5)</f>
        <v>00038</v>
      </c>
      <c r="E10" s="324">
        <v>73666.720000000001</v>
      </c>
      <c r="F10" s="324">
        <v>73666.820000000007</v>
      </c>
      <c r="G10" s="324">
        <v>73666.720000000001</v>
      </c>
      <c r="H10" s="324">
        <v>73666.820000000007</v>
      </c>
      <c r="I10" s="324">
        <v>73666.720000000001</v>
      </c>
      <c r="J10" s="324">
        <v>73666.820000000007</v>
      </c>
      <c r="K10" s="324">
        <v>73666.720000000001</v>
      </c>
      <c r="L10" s="324">
        <v>73666.820000000007</v>
      </c>
      <c r="M10" s="324">
        <v>73666.720000000001</v>
      </c>
      <c r="N10" s="324">
        <v>73666.820000000007</v>
      </c>
      <c r="O10" s="324">
        <v>73666.720000000001</v>
      </c>
      <c r="P10" s="324">
        <v>73666.820000000007</v>
      </c>
      <c r="Q10" s="324">
        <v>73666.720000000001</v>
      </c>
      <c r="R10" s="324">
        <v>73666.820000000007</v>
      </c>
      <c r="S10" s="324">
        <v>73666.720000000001</v>
      </c>
      <c r="T10" s="324">
        <v>73666.820000000007</v>
      </c>
      <c r="U10" s="324">
        <v>73666.720000000001</v>
      </c>
      <c r="V10" s="324">
        <v>73666.820000000007</v>
      </c>
      <c r="W10" s="324">
        <v>73666.720000000001</v>
      </c>
      <c r="X10" s="324">
        <v>73666.820000000007</v>
      </c>
      <c r="Y10" s="324">
        <v>73666.720000000001</v>
      </c>
      <c r="Z10" s="324">
        <v>73666.820000000007</v>
      </c>
      <c r="AA10" s="324">
        <v>73666.720000000001</v>
      </c>
      <c r="AB10" s="324">
        <v>73666.820000000007</v>
      </c>
      <c r="AC10" s="324">
        <v>73666.720000000001</v>
      </c>
      <c r="AD10" s="324">
        <v>73666.820000000007</v>
      </c>
      <c r="AE10" s="324">
        <f>+(E10+AC10+(+G10+I10+K10+M10+O10+Q10+S10+U10+W10+Y10+AA10)*2)/24</f>
        <v>73666.719999999987</v>
      </c>
      <c r="AF10" s="324">
        <f>+(F10+AD10+(+H10+J10+L10+N10+P10+R10+T10+V10+X10+Z10+AB10)*2)/24</f>
        <v>73666.820000000022</v>
      </c>
    </row>
    <row r="11" spans="1:35">
      <c r="A11" s="16">
        <v>3</v>
      </c>
      <c r="C11" s="3" t="s">
        <v>1319</v>
      </c>
      <c r="D11" s="325" t="s">
        <v>1320</v>
      </c>
      <c r="E11" s="324">
        <v>0</v>
      </c>
      <c r="F11" s="324">
        <v>0</v>
      </c>
      <c r="G11" s="324">
        <v>0</v>
      </c>
      <c r="H11" s="324">
        <v>0</v>
      </c>
      <c r="I11" s="324">
        <v>0</v>
      </c>
      <c r="J11" s="324">
        <v>0</v>
      </c>
      <c r="K11" s="324">
        <v>0</v>
      </c>
      <c r="L11" s="324">
        <v>0</v>
      </c>
      <c r="M11" s="324">
        <v>0</v>
      </c>
      <c r="N11" s="324">
        <v>0</v>
      </c>
      <c r="O11" s="324">
        <v>0</v>
      </c>
      <c r="P11" s="324">
        <v>0</v>
      </c>
      <c r="Q11" s="324">
        <v>0</v>
      </c>
      <c r="R11" s="324">
        <v>0</v>
      </c>
      <c r="S11" s="324">
        <v>113374.44</v>
      </c>
      <c r="T11" s="324">
        <v>6007.91</v>
      </c>
      <c r="U11" s="324">
        <v>113374.44</v>
      </c>
      <c r="V11" s="324">
        <v>6244.1100000000006</v>
      </c>
      <c r="W11" s="324">
        <v>113374.44</v>
      </c>
      <c r="X11" s="324">
        <v>6480.31</v>
      </c>
      <c r="Y11" s="324">
        <v>113374.44</v>
      </c>
      <c r="Z11" s="324">
        <v>6716.51</v>
      </c>
      <c r="AA11" s="324">
        <v>113374.44</v>
      </c>
      <c r="AB11" s="324">
        <v>6952.71</v>
      </c>
      <c r="AC11" s="324">
        <v>113374.44</v>
      </c>
      <c r="AD11" s="324">
        <v>7188.91</v>
      </c>
      <c r="AE11" s="324">
        <f>+(E11+AC11+(+G11+I11+K11+M11+O11+Q11+S11+U11+W11+Y11+AA11)*2)/24</f>
        <v>51963.284999999996</v>
      </c>
      <c r="AF11" s="324">
        <f t="shared" ref="AF11:AF45" si="0">+(F11+AD11+(+H11+J11+L11+N11+P11+R11+T11+V11+X11+Z11+AB11)*2)/24</f>
        <v>2999.6670833333337</v>
      </c>
    </row>
    <row r="12" spans="1:35">
      <c r="A12" s="16">
        <v>4</v>
      </c>
      <c r="C12" s="3" t="s">
        <v>1321</v>
      </c>
      <c r="D12" s="3" t="str">
        <f t="shared" ref="D12:D45" si="1">RIGHT(C12,5)</f>
        <v>00038</v>
      </c>
      <c r="E12" s="324">
        <v>113374.44</v>
      </c>
      <c r="F12" s="324">
        <v>4371.25</v>
      </c>
      <c r="G12" s="324">
        <v>113374.44</v>
      </c>
      <c r="H12" s="324">
        <v>4604.66</v>
      </c>
      <c r="I12" s="324">
        <v>113374.44</v>
      </c>
      <c r="J12" s="324">
        <v>4838.07</v>
      </c>
      <c r="K12" s="324">
        <v>113374.44</v>
      </c>
      <c r="L12" s="324">
        <v>5071.4800000000005</v>
      </c>
      <c r="M12" s="324">
        <v>113374.44</v>
      </c>
      <c r="N12" s="324">
        <v>5304.89</v>
      </c>
      <c r="O12" s="324">
        <v>113374.44</v>
      </c>
      <c r="P12" s="324">
        <v>5538.3</v>
      </c>
      <c r="Q12" s="324">
        <v>113374.44</v>
      </c>
      <c r="R12" s="324">
        <v>5771.71</v>
      </c>
      <c r="S12" s="324">
        <v>0</v>
      </c>
      <c r="T12" s="324">
        <v>0</v>
      </c>
      <c r="U12" s="324">
        <v>0</v>
      </c>
      <c r="V12" s="324">
        <v>0</v>
      </c>
      <c r="W12" s="324">
        <v>0</v>
      </c>
      <c r="X12" s="324">
        <v>0</v>
      </c>
      <c r="Y12" s="324">
        <v>0</v>
      </c>
      <c r="Z12" s="324">
        <v>0</v>
      </c>
      <c r="AA12" s="324">
        <v>0</v>
      </c>
      <c r="AB12" s="324">
        <v>0</v>
      </c>
      <c r="AC12" s="324">
        <v>0</v>
      </c>
      <c r="AD12" s="324">
        <v>0</v>
      </c>
      <c r="AE12" s="324">
        <f t="shared" ref="AE12:AE45" si="2">+(E12+AC12+(+G12+I12+K12+M12+O12+Q12+S12+U12+W12+Y12+AA12)*2)/24</f>
        <v>61411.154999999992</v>
      </c>
      <c r="AF12" s="324">
        <f t="shared" si="0"/>
        <v>2776.2279166666667</v>
      </c>
    </row>
    <row r="13" spans="1:35">
      <c r="A13" s="16">
        <v>5</v>
      </c>
      <c r="C13" s="3" t="s">
        <v>1322</v>
      </c>
      <c r="D13" s="3" t="str">
        <f t="shared" si="1"/>
        <v>00038</v>
      </c>
      <c r="E13" s="324">
        <v>13130.54</v>
      </c>
      <c r="F13" s="324">
        <v>0</v>
      </c>
      <c r="G13" s="324">
        <v>13130.54</v>
      </c>
      <c r="H13" s="324">
        <v>0</v>
      </c>
      <c r="I13" s="324">
        <v>13130.54</v>
      </c>
      <c r="J13" s="324">
        <v>0</v>
      </c>
      <c r="K13" s="324">
        <v>13130.54</v>
      </c>
      <c r="L13" s="324">
        <v>0</v>
      </c>
      <c r="M13" s="324">
        <v>13130.54</v>
      </c>
      <c r="N13" s="324">
        <v>0</v>
      </c>
      <c r="O13" s="324">
        <v>13130.54</v>
      </c>
      <c r="P13" s="324">
        <v>0</v>
      </c>
      <c r="Q13" s="324">
        <v>13130.54</v>
      </c>
      <c r="R13" s="324">
        <v>0</v>
      </c>
      <c r="S13" s="324">
        <v>13130.54</v>
      </c>
      <c r="T13" s="324">
        <v>0</v>
      </c>
      <c r="U13" s="324">
        <v>13130.54</v>
      </c>
      <c r="V13" s="324">
        <v>0</v>
      </c>
      <c r="W13" s="324">
        <v>13130.54</v>
      </c>
      <c r="X13" s="324">
        <v>0</v>
      </c>
      <c r="Y13" s="324">
        <v>13130.54</v>
      </c>
      <c r="Z13" s="324">
        <v>0</v>
      </c>
      <c r="AA13" s="324">
        <v>13130.54</v>
      </c>
      <c r="AB13" s="324">
        <v>0</v>
      </c>
      <c r="AC13" s="324">
        <v>13130.54</v>
      </c>
      <c r="AD13" s="324">
        <v>0</v>
      </c>
      <c r="AE13" s="324">
        <f t="shared" si="2"/>
        <v>13130.540000000006</v>
      </c>
      <c r="AF13" s="324">
        <f t="shared" si="0"/>
        <v>0</v>
      </c>
    </row>
    <row r="14" spans="1:35">
      <c r="A14" s="16">
        <v>6</v>
      </c>
      <c r="C14" s="3" t="s">
        <v>1323</v>
      </c>
      <c r="D14" s="3" t="str">
        <f t="shared" si="1"/>
        <v>00038</v>
      </c>
      <c r="E14" s="324">
        <v>7692.66</v>
      </c>
      <c r="F14" s="324">
        <v>6205.68</v>
      </c>
      <c r="G14" s="324">
        <v>7692.66</v>
      </c>
      <c r="H14" s="324">
        <v>6215.81</v>
      </c>
      <c r="I14" s="324">
        <v>7692.66</v>
      </c>
      <c r="J14" s="324">
        <v>6225.9400000000005</v>
      </c>
      <c r="K14" s="324">
        <v>7692.66</v>
      </c>
      <c r="L14" s="324">
        <v>6236.07</v>
      </c>
      <c r="M14" s="324">
        <v>7692.66</v>
      </c>
      <c r="N14" s="324">
        <v>6246.2</v>
      </c>
      <c r="O14" s="324">
        <v>7692.66</v>
      </c>
      <c r="P14" s="324">
        <v>6256.33</v>
      </c>
      <c r="Q14" s="324">
        <v>7692.66</v>
      </c>
      <c r="R14" s="324">
        <v>6266.46</v>
      </c>
      <c r="S14" s="324">
        <v>7692.66</v>
      </c>
      <c r="T14" s="324">
        <v>6276.59</v>
      </c>
      <c r="U14" s="324">
        <v>7692.66</v>
      </c>
      <c r="V14" s="324">
        <v>6286.72</v>
      </c>
      <c r="W14" s="324">
        <v>7692.66</v>
      </c>
      <c r="X14" s="324">
        <v>6296.85</v>
      </c>
      <c r="Y14" s="324">
        <v>7692.66</v>
      </c>
      <c r="Z14" s="324">
        <v>6306.9800000000005</v>
      </c>
      <c r="AA14" s="324">
        <v>7692.66</v>
      </c>
      <c r="AB14" s="324">
        <v>6317.1100000000006</v>
      </c>
      <c r="AC14" s="324">
        <v>7692.66</v>
      </c>
      <c r="AD14" s="324">
        <v>6327.24</v>
      </c>
      <c r="AE14" s="324">
        <f t="shared" si="2"/>
        <v>7692.6600000000026</v>
      </c>
      <c r="AF14" s="324">
        <f t="shared" si="0"/>
        <v>6266.46</v>
      </c>
    </row>
    <row r="15" spans="1:35">
      <c r="A15" s="16">
        <v>7</v>
      </c>
      <c r="C15" s="3" t="s">
        <v>1324</v>
      </c>
      <c r="D15" s="3" t="str">
        <f t="shared" si="1"/>
        <v>00038</v>
      </c>
      <c r="E15" s="324">
        <v>6203474.7999999998</v>
      </c>
      <c r="F15" s="324">
        <v>3278641.73</v>
      </c>
      <c r="G15" s="324">
        <v>6203474.7999999998</v>
      </c>
      <c r="H15" s="324">
        <v>3288050.33</v>
      </c>
      <c r="I15" s="324">
        <v>6203474.7999999998</v>
      </c>
      <c r="J15" s="324">
        <v>3297458.93</v>
      </c>
      <c r="K15" s="324">
        <v>6203474.7999999998</v>
      </c>
      <c r="L15" s="324">
        <v>3306867.5300000003</v>
      </c>
      <c r="M15" s="324">
        <v>6203474.7999999998</v>
      </c>
      <c r="N15" s="324">
        <v>3316276.13</v>
      </c>
      <c r="O15" s="324">
        <v>6203474.7999999998</v>
      </c>
      <c r="P15" s="324">
        <v>3325684.73</v>
      </c>
      <c r="Q15" s="324">
        <v>6203474.7999999998</v>
      </c>
      <c r="R15" s="324">
        <v>3335093.33</v>
      </c>
      <c r="S15" s="324">
        <v>6203474.7999999998</v>
      </c>
      <c r="T15" s="324">
        <v>3344501.93</v>
      </c>
      <c r="U15" s="324">
        <v>6203474.7999999998</v>
      </c>
      <c r="V15" s="324">
        <v>3353910.5300000003</v>
      </c>
      <c r="W15" s="324">
        <v>6203474.7999999998</v>
      </c>
      <c r="X15" s="324">
        <v>3363319.13</v>
      </c>
      <c r="Y15" s="324">
        <v>6203474.7999999998</v>
      </c>
      <c r="Z15" s="324">
        <v>3372727.73</v>
      </c>
      <c r="AA15" s="324">
        <v>6203474.7999999998</v>
      </c>
      <c r="AB15" s="324">
        <v>3382136.33</v>
      </c>
      <c r="AC15" s="324">
        <v>6203474.7999999998</v>
      </c>
      <c r="AD15" s="324">
        <v>3391544.93</v>
      </c>
      <c r="AE15" s="324">
        <f t="shared" si="2"/>
        <v>6203474.799999998</v>
      </c>
      <c r="AF15" s="324">
        <f t="shared" si="0"/>
        <v>3335093.3299999996</v>
      </c>
    </row>
    <row r="16" spans="1:35">
      <c r="A16" s="16">
        <v>8</v>
      </c>
      <c r="C16" s="3" t="s">
        <v>1325</v>
      </c>
      <c r="D16" s="3" t="str">
        <f t="shared" si="1"/>
        <v>00038</v>
      </c>
      <c r="E16" s="324">
        <v>36161.700000000004</v>
      </c>
      <c r="F16" s="324">
        <v>-4564.4000000000005</v>
      </c>
      <c r="G16" s="324">
        <v>36161.700000000004</v>
      </c>
      <c r="H16" s="324">
        <v>-4552.05</v>
      </c>
      <c r="I16" s="324">
        <v>36161.700000000004</v>
      </c>
      <c r="J16" s="324">
        <v>-4539.7</v>
      </c>
      <c r="K16" s="324">
        <v>36161.700000000004</v>
      </c>
      <c r="L16" s="324">
        <v>-4527.3500000000004</v>
      </c>
      <c r="M16" s="324">
        <v>36161.700000000004</v>
      </c>
      <c r="N16" s="324">
        <v>-4515</v>
      </c>
      <c r="O16" s="324">
        <v>36161.700000000004</v>
      </c>
      <c r="P16" s="324">
        <v>-4502.6500000000005</v>
      </c>
      <c r="Q16" s="324">
        <v>36161.700000000004</v>
      </c>
      <c r="R16" s="324">
        <v>-4490.3</v>
      </c>
      <c r="S16" s="324">
        <v>36161.700000000004</v>
      </c>
      <c r="T16" s="324">
        <v>-4477.95</v>
      </c>
      <c r="U16" s="324">
        <v>36161.700000000004</v>
      </c>
      <c r="V16" s="324">
        <v>-4465.6000000000004</v>
      </c>
      <c r="W16" s="324">
        <v>36161.700000000004</v>
      </c>
      <c r="X16" s="324">
        <v>-4453.25</v>
      </c>
      <c r="Y16" s="324">
        <v>36161.700000000004</v>
      </c>
      <c r="Z16" s="324">
        <v>-4440.9000000000005</v>
      </c>
      <c r="AA16" s="324">
        <v>36161.700000000004</v>
      </c>
      <c r="AB16" s="324">
        <v>-4428.55</v>
      </c>
      <c r="AC16" s="324">
        <v>36161.700000000004</v>
      </c>
      <c r="AD16" s="324">
        <v>-4416.2</v>
      </c>
      <c r="AE16" s="324">
        <f t="shared" si="2"/>
        <v>36161.700000000004</v>
      </c>
      <c r="AF16" s="324">
        <f t="shared" si="0"/>
        <v>-4490.3</v>
      </c>
    </row>
    <row r="17" spans="1:32">
      <c r="A17" s="16">
        <v>9</v>
      </c>
      <c r="C17" s="3" t="s">
        <v>1326</v>
      </c>
      <c r="D17" s="3" t="str">
        <f t="shared" si="1"/>
        <v>00038</v>
      </c>
      <c r="E17" s="324">
        <v>81176.350000000006</v>
      </c>
      <c r="F17" s="324">
        <v>-2885.31</v>
      </c>
      <c r="G17" s="324">
        <v>81176.350000000006</v>
      </c>
      <c r="H17" s="324">
        <v>-2758.13</v>
      </c>
      <c r="I17" s="324">
        <v>81176.350000000006</v>
      </c>
      <c r="J17" s="324">
        <v>-2630.9500000000003</v>
      </c>
      <c r="K17" s="324">
        <v>81176.350000000006</v>
      </c>
      <c r="L17" s="324">
        <v>-2503.77</v>
      </c>
      <c r="M17" s="324">
        <v>81176.350000000006</v>
      </c>
      <c r="N17" s="324">
        <v>-2376.59</v>
      </c>
      <c r="O17" s="324">
        <v>81176.350000000006</v>
      </c>
      <c r="P17" s="324">
        <v>-2249.41</v>
      </c>
      <c r="Q17" s="324">
        <v>81176.350000000006</v>
      </c>
      <c r="R17" s="324">
        <v>-2122.23</v>
      </c>
      <c r="S17" s="324">
        <v>81176.350000000006</v>
      </c>
      <c r="T17" s="324">
        <v>-1995.05</v>
      </c>
      <c r="U17" s="324">
        <v>81176.350000000006</v>
      </c>
      <c r="V17" s="324">
        <v>-1867.8700000000001</v>
      </c>
      <c r="W17" s="324">
        <v>79051.19</v>
      </c>
      <c r="X17" s="324">
        <v>-1740.69</v>
      </c>
      <c r="Y17" s="324">
        <v>79051.19</v>
      </c>
      <c r="Z17" s="324">
        <v>-1616.8400000000001</v>
      </c>
      <c r="AA17" s="324">
        <v>79051.19</v>
      </c>
      <c r="AB17" s="324">
        <v>-1492.99</v>
      </c>
      <c r="AC17" s="324">
        <v>79051.19</v>
      </c>
      <c r="AD17" s="324">
        <v>-1369.14</v>
      </c>
      <c r="AE17" s="324">
        <f t="shared" si="2"/>
        <v>80556.511666666658</v>
      </c>
      <c r="AF17" s="324">
        <f t="shared" si="0"/>
        <v>-2123.4787499999998</v>
      </c>
    </row>
    <row r="18" spans="1:32">
      <c r="A18" s="16">
        <v>10</v>
      </c>
      <c r="C18" s="3" t="s">
        <v>1327</v>
      </c>
      <c r="D18" s="3" t="str">
        <f t="shared" si="1"/>
        <v>00038</v>
      </c>
      <c r="E18" s="324">
        <v>141860.15</v>
      </c>
      <c r="F18" s="324">
        <v>0</v>
      </c>
      <c r="G18" s="324">
        <v>141860.15</v>
      </c>
      <c r="H18" s="324">
        <v>0</v>
      </c>
      <c r="I18" s="324">
        <v>141860.15</v>
      </c>
      <c r="J18" s="324">
        <v>0</v>
      </c>
      <c r="K18" s="324">
        <v>141860.15</v>
      </c>
      <c r="L18" s="324">
        <v>0</v>
      </c>
      <c r="M18" s="324">
        <v>141860.15</v>
      </c>
      <c r="N18" s="324">
        <v>0</v>
      </c>
      <c r="O18" s="324">
        <v>141860.15</v>
      </c>
      <c r="P18" s="324">
        <v>0</v>
      </c>
      <c r="Q18" s="324">
        <v>141860.15</v>
      </c>
      <c r="R18" s="324">
        <v>0</v>
      </c>
      <c r="S18" s="324">
        <v>141860.15</v>
      </c>
      <c r="T18" s="324">
        <v>0</v>
      </c>
      <c r="U18" s="324">
        <v>141860.15</v>
      </c>
      <c r="V18" s="324">
        <v>0</v>
      </c>
      <c r="W18" s="324">
        <v>141860.15</v>
      </c>
      <c r="X18" s="324">
        <v>0</v>
      </c>
      <c r="Y18" s="324">
        <v>141860.15</v>
      </c>
      <c r="Z18" s="324">
        <v>0</v>
      </c>
      <c r="AA18" s="324">
        <v>141860.15</v>
      </c>
      <c r="AB18" s="324">
        <v>0</v>
      </c>
      <c r="AC18" s="324">
        <v>141860.15</v>
      </c>
      <c r="AD18" s="324">
        <v>0</v>
      </c>
      <c r="AE18" s="324">
        <f t="shared" si="2"/>
        <v>141860.14999999997</v>
      </c>
      <c r="AF18" s="324">
        <f t="shared" si="0"/>
        <v>0</v>
      </c>
    </row>
    <row r="19" spans="1:32">
      <c r="A19" s="16">
        <v>11</v>
      </c>
      <c r="C19" s="3" t="s">
        <v>1328</v>
      </c>
      <c r="D19" s="3" t="str">
        <f t="shared" si="1"/>
        <v>00038</v>
      </c>
      <c r="E19" s="324">
        <v>0</v>
      </c>
      <c r="F19" s="324">
        <v>-655.47</v>
      </c>
      <c r="G19" s="324">
        <v>0</v>
      </c>
      <c r="H19" s="324">
        <v>-655.47</v>
      </c>
      <c r="I19" s="324">
        <v>0</v>
      </c>
      <c r="J19" s="324">
        <v>-655.47</v>
      </c>
      <c r="K19" s="324">
        <v>0</v>
      </c>
      <c r="L19" s="324">
        <v>-655.47</v>
      </c>
      <c r="M19" s="324">
        <v>0</v>
      </c>
      <c r="N19" s="324">
        <v>-655.47</v>
      </c>
      <c r="O19" s="324">
        <v>0</v>
      </c>
      <c r="P19" s="324">
        <v>-655.47</v>
      </c>
      <c r="Q19" s="324">
        <v>0</v>
      </c>
      <c r="R19" s="324">
        <v>-655.47</v>
      </c>
      <c r="S19" s="324">
        <v>0</v>
      </c>
      <c r="T19" s="324">
        <v>-655.47</v>
      </c>
      <c r="U19" s="324">
        <v>0</v>
      </c>
      <c r="V19" s="324">
        <v>-655.47</v>
      </c>
      <c r="W19" s="324">
        <v>0</v>
      </c>
      <c r="X19" s="324">
        <v>-655.47</v>
      </c>
      <c r="Y19" s="324">
        <v>0</v>
      </c>
      <c r="Z19" s="324">
        <v>-655.47</v>
      </c>
      <c r="AA19" s="324">
        <v>0</v>
      </c>
      <c r="AB19" s="324">
        <v>-655.47</v>
      </c>
      <c r="AC19" s="324">
        <v>0</v>
      </c>
      <c r="AD19" s="324">
        <v>-655.47</v>
      </c>
      <c r="AE19" s="324">
        <f t="shared" si="2"/>
        <v>0</v>
      </c>
      <c r="AF19" s="324">
        <f t="shared" si="0"/>
        <v>-655.47000000000014</v>
      </c>
    </row>
    <row r="20" spans="1:32">
      <c r="A20" s="16">
        <v>12</v>
      </c>
      <c r="C20" s="3" t="s">
        <v>1329</v>
      </c>
      <c r="D20" s="3" t="str">
        <f t="shared" si="1"/>
        <v>00038</v>
      </c>
      <c r="E20" s="324">
        <v>363784.97000000003</v>
      </c>
      <c r="F20" s="324">
        <v>246406.96</v>
      </c>
      <c r="G20" s="324">
        <v>363784.97000000003</v>
      </c>
      <c r="H20" s="324">
        <v>246776.81</v>
      </c>
      <c r="I20" s="324">
        <v>363784.97000000003</v>
      </c>
      <c r="J20" s="324">
        <v>247146.66</v>
      </c>
      <c r="K20" s="324">
        <v>363784.97000000003</v>
      </c>
      <c r="L20" s="324">
        <v>247516.51</v>
      </c>
      <c r="M20" s="324">
        <v>363784.97000000003</v>
      </c>
      <c r="N20" s="324">
        <v>247886.36000000002</v>
      </c>
      <c r="O20" s="324">
        <v>363784.97000000003</v>
      </c>
      <c r="P20" s="324">
        <v>248256.21</v>
      </c>
      <c r="Q20" s="324">
        <v>363784.97000000003</v>
      </c>
      <c r="R20" s="324">
        <v>248626.06</v>
      </c>
      <c r="S20" s="324">
        <v>363784.97000000003</v>
      </c>
      <c r="T20" s="324">
        <v>248995.91</v>
      </c>
      <c r="U20" s="324">
        <v>363784.97000000003</v>
      </c>
      <c r="V20" s="324">
        <v>249365.76000000001</v>
      </c>
      <c r="W20" s="324">
        <v>363784.97000000003</v>
      </c>
      <c r="X20" s="324">
        <v>249735.61000000002</v>
      </c>
      <c r="Y20" s="324">
        <v>363784.97000000003</v>
      </c>
      <c r="Z20" s="324">
        <v>250105.46</v>
      </c>
      <c r="AA20" s="324">
        <v>363784.97000000003</v>
      </c>
      <c r="AB20" s="324">
        <v>250475.31</v>
      </c>
      <c r="AC20" s="324">
        <v>363784.97000000003</v>
      </c>
      <c r="AD20" s="324">
        <v>250845.16</v>
      </c>
      <c r="AE20" s="324">
        <f t="shared" si="2"/>
        <v>363784.97000000015</v>
      </c>
      <c r="AF20" s="324">
        <f t="shared" si="0"/>
        <v>248626.06000000003</v>
      </c>
    </row>
    <row r="21" spans="1:32">
      <c r="A21" s="16">
        <v>13</v>
      </c>
      <c r="C21" s="3" t="s">
        <v>1330</v>
      </c>
      <c r="D21" s="3" t="str">
        <f t="shared" si="1"/>
        <v>00038</v>
      </c>
      <c r="E21" s="324">
        <v>15085668.380000001</v>
      </c>
      <c r="F21" s="324">
        <v>4897183.96</v>
      </c>
      <c r="G21" s="324">
        <v>15104874.25</v>
      </c>
      <c r="H21" s="324">
        <v>4979920</v>
      </c>
      <c r="I21" s="324">
        <v>15106654.83</v>
      </c>
      <c r="J21" s="324">
        <v>4995654.25</v>
      </c>
      <c r="K21" s="324">
        <v>15110550.34</v>
      </c>
      <c r="L21" s="324">
        <v>5010120.05</v>
      </c>
      <c r="M21" s="324">
        <v>15151477.460000001</v>
      </c>
      <c r="N21" s="324">
        <v>5025860.2</v>
      </c>
      <c r="O21" s="324">
        <v>15151477.449999999</v>
      </c>
      <c r="P21" s="324">
        <v>5041642.99</v>
      </c>
      <c r="Q21" s="324">
        <v>15348974.75</v>
      </c>
      <c r="R21" s="324">
        <v>5057241.3600000003</v>
      </c>
      <c r="S21" s="324">
        <v>15334956.33</v>
      </c>
      <c r="T21" s="324">
        <v>5073229.87</v>
      </c>
      <c r="U21" s="324">
        <v>15761109.73</v>
      </c>
      <c r="V21" s="324">
        <v>5089203.78</v>
      </c>
      <c r="W21" s="324">
        <v>15761109.73</v>
      </c>
      <c r="X21" s="324">
        <v>5079247.0199999996</v>
      </c>
      <c r="Y21" s="324">
        <v>15761109.73</v>
      </c>
      <c r="Z21" s="324">
        <v>5095664.84</v>
      </c>
      <c r="AA21" s="324">
        <v>15761109.73</v>
      </c>
      <c r="AB21" s="324">
        <v>5112082.66</v>
      </c>
      <c r="AC21" s="324">
        <v>16263434.68</v>
      </c>
      <c r="AD21" s="324">
        <v>5121531.34</v>
      </c>
      <c r="AE21" s="324">
        <f t="shared" si="2"/>
        <v>15418996.321666665</v>
      </c>
      <c r="AF21" s="324">
        <f t="shared" si="0"/>
        <v>5047435.3891666662</v>
      </c>
    </row>
    <row r="22" spans="1:32">
      <c r="A22" s="16">
        <v>14</v>
      </c>
      <c r="C22" s="3" t="s">
        <v>1331</v>
      </c>
      <c r="D22" s="3" t="str">
        <f t="shared" si="1"/>
        <v>00038</v>
      </c>
      <c r="E22" s="324">
        <v>36326710.43</v>
      </c>
      <c r="F22" s="324">
        <v>8318908.7199999997</v>
      </c>
      <c r="G22" s="324">
        <v>36319962.240000002</v>
      </c>
      <c r="H22" s="324">
        <v>8984426.3599999994</v>
      </c>
      <c r="I22" s="324">
        <v>36351504.299999997</v>
      </c>
      <c r="J22" s="324">
        <v>9109427.5600000005</v>
      </c>
      <c r="K22" s="324">
        <v>36365688.93</v>
      </c>
      <c r="L22" s="324">
        <v>9230380.75</v>
      </c>
      <c r="M22" s="324">
        <v>36940084.009999998</v>
      </c>
      <c r="N22" s="324">
        <v>9355539.3300000001</v>
      </c>
      <c r="O22" s="324">
        <v>37012259.280000001</v>
      </c>
      <c r="P22" s="324">
        <v>9482674.7799999993</v>
      </c>
      <c r="Q22" s="324">
        <v>37067628.990000002</v>
      </c>
      <c r="R22" s="324">
        <v>9609877.5199999996</v>
      </c>
      <c r="S22" s="324">
        <v>37103980.909999996</v>
      </c>
      <c r="T22" s="324">
        <v>9737451.9499999993</v>
      </c>
      <c r="U22" s="324">
        <v>37779712.049999997</v>
      </c>
      <c r="V22" s="324">
        <v>9863497.3000000007</v>
      </c>
      <c r="W22" s="324">
        <v>38035887.810000002</v>
      </c>
      <c r="X22" s="324">
        <v>9992056.8499999996</v>
      </c>
      <c r="Y22" s="324">
        <v>38377685.039999999</v>
      </c>
      <c r="Z22" s="324">
        <v>10122963.699999999</v>
      </c>
      <c r="AA22" s="324">
        <v>38613862.909999996</v>
      </c>
      <c r="AB22" s="324">
        <v>10254363.810000001</v>
      </c>
      <c r="AC22" s="324">
        <v>38985326.240000002</v>
      </c>
      <c r="AD22" s="324">
        <v>10387259.859999999</v>
      </c>
      <c r="AE22" s="324">
        <f t="shared" si="2"/>
        <v>37302022.900416665</v>
      </c>
      <c r="AF22" s="324">
        <f t="shared" si="0"/>
        <v>9591312.0166666657</v>
      </c>
    </row>
    <row r="23" spans="1:32">
      <c r="A23" s="16">
        <v>15</v>
      </c>
      <c r="C23" s="3" t="s">
        <v>1332</v>
      </c>
      <c r="D23" s="3" t="str">
        <f t="shared" si="1"/>
        <v>00038</v>
      </c>
      <c r="E23" s="324">
        <v>31021437.920000002</v>
      </c>
      <c r="F23" s="324">
        <v>22938009.989999998</v>
      </c>
      <c r="G23" s="324">
        <v>31038899.719999999</v>
      </c>
      <c r="H23" s="324">
        <v>22991192.850000001</v>
      </c>
      <c r="I23" s="324">
        <v>31046740.219999999</v>
      </c>
      <c r="J23" s="324">
        <v>23004209.059999999</v>
      </c>
      <c r="K23" s="324">
        <v>31199451.789999999</v>
      </c>
      <c r="L23" s="324">
        <v>23048829.640000001</v>
      </c>
      <c r="M23" s="324">
        <v>31254403.899999999</v>
      </c>
      <c r="N23" s="324">
        <v>23087875.199999999</v>
      </c>
      <c r="O23" s="324">
        <v>31253245.510000002</v>
      </c>
      <c r="P23" s="324">
        <v>23143836.149999999</v>
      </c>
      <c r="Q23" s="324">
        <v>31454455.699999999</v>
      </c>
      <c r="R23" s="324">
        <v>23201133.760000002</v>
      </c>
      <c r="S23" s="324">
        <v>31547721.050000001</v>
      </c>
      <c r="T23" s="324">
        <v>23258634.899999999</v>
      </c>
      <c r="U23" s="324">
        <v>31552793.73</v>
      </c>
      <c r="V23" s="324">
        <v>23312037.420000002</v>
      </c>
      <c r="W23" s="324">
        <v>31570517.539999999</v>
      </c>
      <c r="X23" s="324">
        <v>23369884.199999999</v>
      </c>
      <c r="Y23" s="324">
        <v>31579299.510000002</v>
      </c>
      <c r="Z23" s="324">
        <v>23426957.690000001</v>
      </c>
      <c r="AA23" s="324">
        <v>31630260</v>
      </c>
      <c r="AB23" s="324">
        <v>23478212.280000001</v>
      </c>
      <c r="AC23" s="324">
        <v>31764135.859999999</v>
      </c>
      <c r="AD23" s="324">
        <v>23534532.66</v>
      </c>
      <c r="AE23" s="324">
        <f t="shared" si="2"/>
        <v>31376714.629999995</v>
      </c>
      <c r="AF23" s="324">
        <f t="shared" si="0"/>
        <v>23213256.206250001</v>
      </c>
    </row>
    <row r="24" spans="1:32">
      <c r="A24" s="16">
        <v>16</v>
      </c>
      <c r="C24" s="3" t="s">
        <v>1333</v>
      </c>
      <c r="D24" s="3" t="str">
        <f t="shared" si="1"/>
        <v>00038</v>
      </c>
      <c r="E24" s="324">
        <v>7895829.7400000002</v>
      </c>
      <c r="F24" s="324">
        <v>2875066.34</v>
      </c>
      <c r="G24" s="324">
        <v>7921283.5999999996</v>
      </c>
      <c r="H24" s="324">
        <v>2887699.67</v>
      </c>
      <c r="I24" s="324">
        <v>7942537.4500000002</v>
      </c>
      <c r="J24" s="324">
        <v>2900373.7199999997</v>
      </c>
      <c r="K24" s="324">
        <v>8012268.1900000004</v>
      </c>
      <c r="L24" s="324">
        <v>2904989.02</v>
      </c>
      <c r="M24" s="324">
        <v>8029887.7400000002</v>
      </c>
      <c r="N24" s="324">
        <v>2917808.65</v>
      </c>
      <c r="O24" s="324">
        <v>8029887.7400000002</v>
      </c>
      <c r="P24" s="324">
        <v>2930656.4699999997</v>
      </c>
      <c r="Q24" s="324">
        <v>8142370.3600000003</v>
      </c>
      <c r="R24" s="324">
        <v>2942067.37</v>
      </c>
      <c r="S24" s="324">
        <v>8142931.5599999996</v>
      </c>
      <c r="T24" s="324">
        <v>2953661.59</v>
      </c>
      <c r="U24" s="324">
        <v>8143368.9199999999</v>
      </c>
      <c r="V24" s="324">
        <v>2966690.2800000003</v>
      </c>
      <c r="W24" s="324">
        <v>8146052.8200000003</v>
      </c>
      <c r="X24" s="324">
        <v>2979162.77</v>
      </c>
      <c r="Y24" s="324">
        <v>8167832.2000000002</v>
      </c>
      <c r="Z24" s="324">
        <v>2992196.45</v>
      </c>
      <c r="AA24" s="324">
        <v>8168799.6500000004</v>
      </c>
      <c r="AB24" s="324">
        <v>3005264.98</v>
      </c>
      <c r="AC24" s="324">
        <v>8710463.1500000004</v>
      </c>
      <c r="AD24" s="324">
        <v>3016966.62</v>
      </c>
      <c r="AE24" s="324">
        <f t="shared" si="2"/>
        <v>8095863.8895833343</v>
      </c>
      <c r="AF24" s="324">
        <f t="shared" si="0"/>
        <v>2943882.2875000001</v>
      </c>
    </row>
    <row r="25" spans="1:32">
      <c r="A25" s="16">
        <v>17</v>
      </c>
      <c r="C25" s="3" t="s">
        <v>1334</v>
      </c>
      <c r="D25" s="3" t="str">
        <f t="shared" si="1"/>
        <v>00038</v>
      </c>
      <c r="E25" s="324">
        <v>33686399.469999999</v>
      </c>
      <c r="F25" s="324">
        <v>11533257.710000001</v>
      </c>
      <c r="G25" s="324">
        <v>33614058.350000001</v>
      </c>
      <c r="H25" s="324">
        <v>11952752.060000001</v>
      </c>
      <c r="I25" s="324">
        <v>33706884.939999998</v>
      </c>
      <c r="J25" s="324">
        <v>12056509.779999999</v>
      </c>
      <c r="K25" s="324">
        <v>33922787.780000001</v>
      </c>
      <c r="L25" s="324">
        <v>12163405.59</v>
      </c>
      <c r="M25" s="324">
        <v>33628845.560000002</v>
      </c>
      <c r="N25" s="324">
        <v>12271600.630000001</v>
      </c>
      <c r="O25" s="324">
        <v>33876412.810000002</v>
      </c>
      <c r="P25" s="324">
        <v>12378954.49</v>
      </c>
      <c r="Q25" s="324">
        <v>34036179.149999999</v>
      </c>
      <c r="R25" s="324">
        <v>12485497.289999999</v>
      </c>
      <c r="S25" s="324">
        <v>34216383.450000003</v>
      </c>
      <c r="T25" s="324">
        <v>12594736.720000001</v>
      </c>
      <c r="U25" s="324">
        <v>34531469.799999997</v>
      </c>
      <c r="V25" s="324">
        <v>12703589.76</v>
      </c>
      <c r="W25" s="324">
        <v>34648005.299999997</v>
      </c>
      <c r="X25" s="324">
        <v>12814756.890000001</v>
      </c>
      <c r="Y25" s="324">
        <v>34809170.100000001</v>
      </c>
      <c r="Z25" s="324">
        <v>12926143.59</v>
      </c>
      <c r="AA25" s="324">
        <v>34925807.119999997</v>
      </c>
      <c r="AB25" s="324">
        <v>13037817.550000001</v>
      </c>
      <c r="AC25" s="324">
        <v>35450283.200000003</v>
      </c>
      <c r="AD25" s="324">
        <v>13149746.33</v>
      </c>
      <c r="AE25" s="324">
        <f t="shared" si="2"/>
        <v>34207028.807916671</v>
      </c>
      <c r="AF25" s="324">
        <f t="shared" si="0"/>
        <v>12477272.197500004</v>
      </c>
    </row>
    <row r="26" spans="1:32">
      <c r="A26" s="16">
        <v>18</v>
      </c>
      <c r="C26" s="3" t="s">
        <v>1335</v>
      </c>
      <c r="D26" s="3" t="str">
        <f t="shared" si="1"/>
        <v>00038</v>
      </c>
      <c r="E26" s="324">
        <v>13055611.970000001</v>
      </c>
      <c r="F26" s="324">
        <v>19024335.030000001</v>
      </c>
      <c r="G26" s="324">
        <v>13056123.84</v>
      </c>
      <c r="H26" s="324">
        <v>19050574.940000001</v>
      </c>
      <c r="I26" s="324">
        <v>13056069.41</v>
      </c>
      <c r="J26" s="324">
        <v>19066831.210000001</v>
      </c>
      <c r="K26" s="324">
        <v>13055702.51</v>
      </c>
      <c r="L26" s="324">
        <v>19085787</v>
      </c>
      <c r="M26" s="324">
        <v>13054970.4</v>
      </c>
      <c r="N26" s="324">
        <v>19118747.829999998</v>
      </c>
      <c r="O26" s="324">
        <v>13053900.07</v>
      </c>
      <c r="P26" s="324">
        <v>19153496.52</v>
      </c>
      <c r="Q26" s="324">
        <v>13051661.68</v>
      </c>
      <c r="R26" s="324">
        <v>19181442.25</v>
      </c>
      <c r="S26" s="324">
        <v>13050987.859999999</v>
      </c>
      <c r="T26" s="324">
        <v>19213941.760000002</v>
      </c>
      <c r="U26" s="324">
        <v>13049850.09</v>
      </c>
      <c r="V26" s="324">
        <v>19238161.149999999</v>
      </c>
      <c r="W26" s="324">
        <v>13049170.619999999</v>
      </c>
      <c r="X26" s="324">
        <v>19265905.129999999</v>
      </c>
      <c r="Y26" s="324">
        <v>13026986.630000001</v>
      </c>
      <c r="Z26" s="324">
        <v>19294246.84</v>
      </c>
      <c r="AA26" s="324">
        <v>13026707.18</v>
      </c>
      <c r="AB26" s="324">
        <v>19323220.690000001</v>
      </c>
      <c r="AC26" s="324">
        <v>13026506.49</v>
      </c>
      <c r="AD26" s="324">
        <v>19356328.68</v>
      </c>
      <c r="AE26" s="324">
        <f t="shared" si="2"/>
        <v>13047765.793333331</v>
      </c>
      <c r="AF26" s="324">
        <f t="shared" si="0"/>
        <v>19181890.597916666</v>
      </c>
    </row>
    <row r="27" spans="1:32">
      <c r="A27" s="16">
        <v>19</v>
      </c>
      <c r="C27" s="3" t="s">
        <v>1336</v>
      </c>
      <c r="D27" s="3" t="str">
        <f t="shared" si="1"/>
        <v>00038</v>
      </c>
      <c r="E27" s="324">
        <v>8242824.79</v>
      </c>
      <c r="F27" s="324">
        <v>3356811.97</v>
      </c>
      <c r="G27" s="324">
        <v>8260321.46</v>
      </c>
      <c r="H27" s="324">
        <v>3369498.74</v>
      </c>
      <c r="I27" s="324">
        <v>8280203.46</v>
      </c>
      <c r="J27" s="324">
        <v>3382302.23</v>
      </c>
      <c r="K27" s="324">
        <v>8307075.9299999997</v>
      </c>
      <c r="L27" s="324">
        <v>3394658.36</v>
      </c>
      <c r="M27" s="324">
        <v>8324970.5300000003</v>
      </c>
      <c r="N27" s="324">
        <v>3407280.62</v>
      </c>
      <c r="O27" s="324">
        <v>8343035.1200000001</v>
      </c>
      <c r="P27" s="324">
        <v>3420184.32</v>
      </c>
      <c r="Q27" s="324">
        <v>8361379.8799999999</v>
      </c>
      <c r="R27" s="324">
        <v>3433113.42</v>
      </c>
      <c r="S27" s="324">
        <v>8378389.4000000004</v>
      </c>
      <c r="T27" s="324">
        <v>3445002.36</v>
      </c>
      <c r="U27" s="324">
        <v>8376949.3700000001</v>
      </c>
      <c r="V27" s="324">
        <v>3450401.25</v>
      </c>
      <c r="W27" s="324">
        <v>8384162.5599999996</v>
      </c>
      <c r="X27" s="324">
        <v>3463087.87</v>
      </c>
      <c r="Y27" s="324">
        <v>8395362.3300000001</v>
      </c>
      <c r="Z27" s="324">
        <v>3474665.14</v>
      </c>
      <c r="AA27" s="324">
        <v>8420057.2799999993</v>
      </c>
      <c r="AB27" s="324">
        <v>3487645.61</v>
      </c>
      <c r="AC27" s="324">
        <v>8433778.1199999992</v>
      </c>
      <c r="AD27" s="324">
        <v>3500679.52</v>
      </c>
      <c r="AE27" s="324">
        <f t="shared" si="2"/>
        <v>8347517.3979166662</v>
      </c>
      <c r="AF27" s="324">
        <f t="shared" si="0"/>
        <v>3429715.4720833325</v>
      </c>
    </row>
    <row r="28" spans="1:32">
      <c r="A28" s="16">
        <v>20</v>
      </c>
      <c r="C28" s="3" t="s">
        <v>1337</v>
      </c>
      <c r="D28" s="3" t="str">
        <f t="shared" si="1"/>
        <v>00038</v>
      </c>
      <c r="E28" s="324">
        <v>1670380.77</v>
      </c>
      <c r="F28" s="324">
        <v>680211.56</v>
      </c>
      <c r="G28" s="324">
        <v>1671090.47</v>
      </c>
      <c r="H28" s="324">
        <v>683246.09</v>
      </c>
      <c r="I28" s="324">
        <v>1671090.47</v>
      </c>
      <c r="J28" s="324">
        <v>686281.9</v>
      </c>
      <c r="K28" s="324">
        <v>1673664.92</v>
      </c>
      <c r="L28" s="324">
        <v>689317.71</v>
      </c>
      <c r="M28" s="324">
        <v>1675639.27</v>
      </c>
      <c r="N28" s="324">
        <v>692358.20000000007</v>
      </c>
      <c r="O28" s="324">
        <v>1675639.27</v>
      </c>
      <c r="P28" s="324">
        <v>695402.28</v>
      </c>
      <c r="Q28" s="324">
        <v>1696382.46</v>
      </c>
      <c r="R28" s="324">
        <v>698446.36</v>
      </c>
      <c r="S28" s="324">
        <v>1702358.19</v>
      </c>
      <c r="T28" s="324">
        <v>701528.12</v>
      </c>
      <c r="U28" s="324">
        <v>1710451.51</v>
      </c>
      <c r="V28" s="324">
        <v>712208.36</v>
      </c>
      <c r="W28" s="324">
        <v>1713381.5899999999</v>
      </c>
      <c r="X28" s="324">
        <v>715315.68</v>
      </c>
      <c r="Y28" s="324">
        <v>1719312.94</v>
      </c>
      <c r="Z28" s="324">
        <v>718428.32000000007</v>
      </c>
      <c r="AA28" s="324">
        <v>1721031</v>
      </c>
      <c r="AB28" s="324">
        <v>721551.74</v>
      </c>
      <c r="AC28" s="324">
        <v>1828166.3</v>
      </c>
      <c r="AD28" s="324">
        <v>712745.85</v>
      </c>
      <c r="AE28" s="324">
        <f t="shared" si="2"/>
        <v>1698276.3020833333</v>
      </c>
      <c r="AF28" s="324">
        <f t="shared" si="0"/>
        <v>700880.28874999995</v>
      </c>
    </row>
    <row r="29" spans="1:32">
      <c r="A29" s="16">
        <v>21</v>
      </c>
      <c r="C29" s="3" t="s">
        <v>1338</v>
      </c>
      <c r="D29" s="3" t="str">
        <f t="shared" si="1"/>
        <v>00038</v>
      </c>
      <c r="E29" s="324">
        <v>0</v>
      </c>
      <c r="F29" s="324">
        <v>-256.08</v>
      </c>
      <c r="G29" s="324">
        <v>0</v>
      </c>
      <c r="H29" s="324">
        <v>-256.08</v>
      </c>
      <c r="I29" s="324">
        <v>0</v>
      </c>
      <c r="J29" s="324">
        <v>-256.08</v>
      </c>
      <c r="K29" s="324">
        <v>0</v>
      </c>
      <c r="L29" s="324">
        <v>-256.08</v>
      </c>
      <c r="M29" s="324">
        <v>0</v>
      </c>
      <c r="N29" s="324">
        <v>-256.08</v>
      </c>
      <c r="O29" s="324">
        <v>0</v>
      </c>
      <c r="P29" s="324">
        <v>-256.08</v>
      </c>
      <c r="Q29" s="324">
        <v>0</v>
      </c>
      <c r="R29" s="324">
        <v>-256.08</v>
      </c>
      <c r="S29" s="324">
        <v>0</v>
      </c>
      <c r="T29" s="324">
        <v>-256.08</v>
      </c>
      <c r="U29" s="324">
        <v>0</v>
      </c>
      <c r="V29" s="324">
        <v>-256.08</v>
      </c>
      <c r="W29" s="324">
        <v>0</v>
      </c>
      <c r="X29" s="324">
        <v>-256.08</v>
      </c>
      <c r="Y29" s="324">
        <v>0</v>
      </c>
      <c r="Z29" s="324">
        <v>-256.08</v>
      </c>
      <c r="AA29" s="324">
        <v>0</v>
      </c>
      <c r="AB29" s="324">
        <v>-256.08</v>
      </c>
      <c r="AC29" s="324">
        <v>0</v>
      </c>
      <c r="AD29" s="324">
        <v>-256.08</v>
      </c>
      <c r="AE29" s="324">
        <f t="shared" si="2"/>
        <v>0</v>
      </c>
      <c r="AF29" s="324">
        <f t="shared" si="0"/>
        <v>-256.08</v>
      </c>
    </row>
    <row r="30" spans="1:32">
      <c r="A30" s="16">
        <v>22</v>
      </c>
      <c r="C30" s="3" t="s">
        <v>1339</v>
      </c>
      <c r="D30" s="3" t="str">
        <f t="shared" si="1"/>
        <v>00038</v>
      </c>
      <c r="E30" s="324">
        <v>302126.86</v>
      </c>
      <c r="F30" s="324">
        <v>250563.73</v>
      </c>
      <c r="G30" s="324">
        <v>302126.86</v>
      </c>
      <c r="H30" s="324">
        <v>250563.73</v>
      </c>
      <c r="I30" s="324">
        <v>302126.86</v>
      </c>
      <c r="J30" s="324">
        <v>250563.73</v>
      </c>
      <c r="K30" s="324">
        <v>493301.43</v>
      </c>
      <c r="L30" s="324">
        <v>250563.73</v>
      </c>
      <c r="M30" s="324">
        <v>493301.43</v>
      </c>
      <c r="N30" s="324">
        <v>309237.99</v>
      </c>
      <c r="O30" s="324">
        <v>493301.43</v>
      </c>
      <c r="P30" s="324">
        <v>309237.99</v>
      </c>
      <c r="Q30" s="324">
        <v>493301.43</v>
      </c>
      <c r="R30" s="324">
        <v>309237.99</v>
      </c>
      <c r="S30" s="324">
        <v>493301.43</v>
      </c>
      <c r="T30" s="324">
        <v>309237.99</v>
      </c>
      <c r="U30" s="324">
        <v>493301.43</v>
      </c>
      <c r="V30" s="324">
        <v>309237.99</v>
      </c>
      <c r="W30" s="324">
        <v>493301.43</v>
      </c>
      <c r="X30" s="324">
        <v>309237.99</v>
      </c>
      <c r="Y30" s="324">
        <v>493301.43</v>
      </c>
      <c r="Z30" s="324">
        <v>309237.99</v>
      </c>
      <c r="AA30" s="324">
        <v>493301.43</v>
      </c>
      <c r="AB30" s="324">
        <v>309237.99</v>
      </c>
      <c r="AC30" s="324">
        <v>493301.43</v>
      </c>
      <c r="AD30" s="324">
        <v>309237.99</v>
      </c>
      <c r="AE30" s="324">
        <f t="shared" si="2"/>
        <v>453473.39458333328</v>
      </c>
      <c r="AF30" s="324">
        <f t="shared" si="0"/>
        <v>292124.66416666668</v>
      </c>
    </row>
    <row r="31" spans="1:32">
      <c r="A31" s="16">
        <v>23</v>
      </c>
      <c r="C31" s="3" t="s">
        <v>1340</v>
      </c>
      <c r="D31" s="3" t="str">
        <f t="shared" si="1"/>
        <v>00038</v>
      </c>
      <c r="E31" s="324">
        <v>0</v>
      </c>
      <c r="F31" s="324">
        <v>11145.130000000001</v>
      </c>
      <c r="G31" s="324">
        <v>0</v>
      </c>
      <c r="H31" s="324">
        <v>11145.130000000001</v>
      </c>
      <c r="I31" s="324">
        <v>0</v>
      </c>
      <c r="J31" s="324">
        <v>11145.130000000001</v>
      </c>
      <c r="K31" s="324">
        <v>0</v>
      </c>
      <c r="L31" s="324">
        <v>11145.130000000001</v>
      </c>
      <c r="M31" s="324">
        <v>0</v>
      </c>
      <c r="N31" s="324">
        <v>11145.130000000001</v>
      </c>
      <c r="O31" s="324">
        <v>0</v>
      </c>
      <c r="P31" s="324">
        <v>11145.130000000001</v>
      </c>
      <c r="Q31" s="324">
        <v>0</v>
      </c>
      <c r="R31" s="324">
        <v>11145.130000000001</v>
      </c>
      <c r="S31" s="324">
        <v>0</v>
      </c>
      <c r="T31" s="324">
        <v>11145.130000000001</v>
      </c>
      <c r="U31" s="324">
        <v>0</v>
      </c>
      <c r="V31" s="324">
        <v>11145.130000000001</v>
      </c>
      <c r="W31" s="324">
        <v>0</v>
      </c>
      <c r="X31" s="324">
        <v>11145.130000000001</v>
      </c>
      <c r="Y31" s="324">
        <v>0</v>
      </c>
      <c r="Z31" s="324">
        <v>11145.130000000001</v>
      </c>
      <c r="AA31" s="324">
        <v>0</v>
      </c>
      <c r="AB31" s="324">
        <v>11145.130000000001</v>
      </c>
      <c r="AC31" s="324">
        <v>0</v>
      </c>
      <c r="AD31" s="324">
        <v>11145.130000000001</v>
      </c>
      <c r="AE31" s="324">
        <f t="shared" si="2"/>
        <v>0</v>
      </c>
      <c r="AF31" s="324">
        <f t="shared" si="0"/>
        <v>11145.130000000003</v>
      </c>
    </row>
    <row r="32" spans="1:32">
      <c r="A32" s="16">
        <v>24</v>
      </c>
      <c r="C32" s="3" t="s">
        <v>1341</v>
      </c>
      <c r="D32" s="3" t="str">
        <f t="shared" si="1"/>
        <v>00038</v>
      </c>
      <c r="E32" s="324">
        <v>4663838.87</v>
      </c>
      <c r="F32" s="324">
        <v>953510.37</v>
      </c>
      <c r="G32" s="324">
        <v>4663838.87</v>
      </c>
      <c r="H32" s="324">
        <v>956157.87</v>
      </c>
      <c r="I32" s="324">
        <v>4663838.87</v>
      </c>
      <c r="J32" s="324">
        <v>960977.17</v>
      </c>
      <c r="K32" s="324">
        <v>4472664.3</v>
      </c>
      <c r="L32" s="324">
        <v>965796.47</v>
      </c>
      <c r="M32" s="324">
        <v>4472664.3</v>
      </c>
      <c r="N32" s="324">
        <v>1023293.96</v>
      </c>
      <c r="O32" s="324">
        <v>4472664.3</v>
      </c>
      <c r="P32" s="324">
        <v>1027915.71</v>
      </c>
      <c r="Q32" s="324">
        <v>4503031.37</v>
      </c>
      <c r="R32" s="324">
        <v>1032537.46</v>
      </c>
      <c r="S32" s="324">
        <v>4503031.37</v>
      </c>
      <c r="T32" s="324">
        <v>1037190.59</v>
      </c>
      <c r="U32" s="324">
        <v>4503031.37</v>
      </c>
      <c r="V32" s="324">
        <v>1041843.72</v>
      </c>
      <c r="W32" s="324">
        <v>4503031.37</v>
      </c>
      <c r="X32" s="324">
        <v>1046496.85</v>
      </c>
      <c r="Y32" s="324">
        <v>4503031.37</v>
      </c>
      <c r="Z32" s="324">
        <v>1051149.98</v>
      </c>
      <c r="AA32" s="324">
        <v>4503031.37</v>
      </c>
      <c r="AB32" s="324">
        <v>1055803.1100000001</v>
      </c>
      <c r="AC32" s="324">
        <v>4503031.37</v>
      </c>
      <c r="AD32" s="324">
        <v>1060456.24</v>
      </c>
      <c r="AE32" s="324">
        <f t="shared" si="2"/>
        <v>4528941.1649999991</v>
      </c>
      <c r="AF32" s="324">
        <f t="shared" si="0"/>
        <v>1017178.8495833332</v>
      </c>
    </row>
    <row r="33" spans="1:32">
      <c r="A33" s="16">
        <v>25</v>
      </c>
      <c r="C33" s="3" t="s">
        <v>1342</v>
      </c>
      <c r="D33" s="3" t="str">
        <f t="shared" si="1"/>
        <v>00038</v>
      </c>
      <c r="E33" s="324">
        <v>95752.02</v>
      </c>
      <c r="F33" s="324">
        <v>19866.060000000001</v>
      </c>
      <c r="G33" s="324">
        <v>76479.02</v>
      </c>
      <c r="H33" s="324">
        <v>1979.07</v>
      </c>
      <c r="I33" s="324">
        <v>76479.02</v>
      </c>
      <c r="J33" s="324">
        <v>3086.1</v>
      </c>
      <c r="K33" s="324">
        <v>76479.02</v>
      </c>
      <c r="L33" s="324">
        <v>4193.13</v>
      </c>
      <c r="M33" s="324">
        <v>76479.02</v>
      </c>
      <c r="N33" s="324">
        <v>5300.16</v>
      </c>
      <c r="O33" s="324">
        <v>76479.02</v>
      </c>
      <c r="P33" s="324">
        <v>6407.1900000000005</v>
      </c>
      <c r="Q33" s="324">
        <v>76479.02</v>
      </c>
      <c r="R33" s="324">
        <v>7514.22</v>
      </c>
      <c r="S33" s="324">
        <v>76479.02</v>
      </c>
      <c r="T33" s="324">
        <v>8621.25</v>
      </c>
      <c r="U33" s="324">
        <v>76479.02</v>
      </c>
      <c r="V33" s="324">
        <v>9728.2800000000007</v>
      </c>
      <c r="W33" s="324">
        <v>76479.02</v>
      </c>
      <c r="X33" s="324">
        <v>10835.31</v>
      </c>
      <c r="Y33" s="324">
        <v>76479.02</v>
      </c>
      <c r="Z33" s="324">
        <v>11942.34</v>
      </c>
      <c r="AA33" s="324">
        <v>76479.02</v>
      </c>
      <c r="AB33" s="324">
        <v>13049.37</v>
      </c>
      <c r="AC33" s="324">
        <v>76479.02</v>
      </c>
      <c r="AD33" s="324">
        <v>14156.4</v>
      </c>
      <c r="AE33" s="324">
        <f t="shared" si="2"/>
        <v>77282.061666666676</v>
      </c>
      <c r="AF33" s="324">
        <f t="shared" si="0"/>
        <v>8305.6374999999989</v>
      </c>
    </row>
    <row r="34" spans="1:32">
      <c r="A34" s="16">
        <v>26</v>
      </c>
      <c r="C34" s="3" t="s">
        <v>1343</v>
      </c>
      <c r="D34" s="3" t="str">
        <f t="shared" si="1"/>
        <v>00038</v>
      </c>
      <c r="E34" s="324">
        <v>109816.96000000001</v>
      </c>
      <c r="F34" s="324">
        <v>18119.98</v>
      </c>
      <c r="G34" s="324">
        <v>106237.48</v>
      </c>
      <c r="H34" s="324">
        <v>14996.24</v>
      </c>
      <c r="I34" s="324">
        <v>106237.48</v>
      </c>
      <c r="J34" s="324">
        <v>15437.130000000001</v>
      </c>
      <c r="K34" s="324">
        <v>106237.48</v>
      </c>
      <c r="L34" s="324">
        <v>15878.02</v>
      </c>
      <c r="M34" s="324">
        <v>106237.48</v>
      </c>
      <c r="N34" s="324">
        <v>16318.91</v>
      </c>
      <c r="O34" s="324">
        <v>106237.48</v>
      </c>
      <c r="P34" s="324">
        <v>16759.8</v>
      </c>
      <c r="Q34" s="324">
        <v>106237.48</v>
      </c>
      <c r="R34" s="324">
        <v>17200.689999999999</v>
      </c>
      <c r="S34" s="324">
        <v>106237.48</v>
      </c>
      <c r="T34" s="324">
        <v>17641.580000000002</v>
      </c>
      <c r="U34" s="324">
        <v>106237.48</v>
      </c>
      <c r="V34" s="324">
        <v>18082.47</v>
      </c>
      <c r="W34" s="324">
        <v>106237.48</v>
      </c>
      <c r="X34" s="324">
        <v>18523.36</v>
      </c>
      <c r="Y34" s="324">
        <v>106237.48</v>
      </c>
      <c r="Z34" s="324">
        <v>18964.25</v>
      </c>
      <c r="AA34" s="324">
        <v>106237.48</v>
      </c>
      <c r="AB34" s="324">
        <v>19405.14</v>
      </c>
      <c r="AC34" s="324">
        <v>106237.48</v>
      </c>
      <c r="AD34" s="324">
        <v>19846.03</v>
      </c>
      <c r="AE34" s="324">
        <f t="shared" si="2"/>
        <v>106386.625</v>
      </c>
      <c r="AF34" s="324">
        <f t="shared" si="0"/>
        <v>17349.216250000001</v>
      </c>
    </row>
    <row r="35" spans="1:32">
      <c r="A35" s="16">
        <v>27</v>
      </c>
      <c r="C35" s="3" t="s">
        <v>1344</v>
      </c>
      <c r="D35" s="3" t="str">
        <f t="shared" si="1"/>
        <v>00038</v>
      </c>
      <c r="E35" s="324">
        <v>134180.20000000001</v>
      </c>
      <c r="F35" s="324">
        <v>94636.51</v>
      </c>
      <c r="G35" s="324">
        <v>134180.20000000001</v>
      </c>
      <c r="H35" s="324">
        <v>94988.73</v>
      </c>
      <c r="I35" s="324">
        <v>134180.20000000001</v>
      </c>
      <c r="J35" s="324">
        <v>95340.95</v>
      </c>
      <c r="K35" s="324">
        <v>134180.20000000001</v>
      </c>
      <c r="L35" s="324">
        <v>95693.17</v>
      </c>
      <c r="M35" s="324">
        <v>134180.20000000001</v>
      </c>
      <c r="N35" s="324">
        <v>96045.39</v>
      </c>
      <c r="O35" s="324">
        <v>134180.20000000001</v>
      </c>
      <c r="P35" s="324">
        <v>96397.61</v>
      </c>
      <c r="Q35" s="324">
        <v>134180.20000000001</v>
      </c>
      <c r="R35" s="324">
        <v>97449.83</v>
      </c>
      <c r="S35" s="324">
        <v>134180.20000000001</v>
      </c>
      <c r="T35" s="324">
        <v>97802.05</v>
      </c>
      <c r="U35" s="324">
        <v>134180.20000000001</v>
      </c>
      <c r="V35" s="324">
        <v>98154.27</v>
      </c>
      <c r="W35" s="324">
        <v>134180.20000000001</v>
      </c>
      <c r="X35" s="324">
        <v>98506.49</v>
      </c>
      <c r="Y35" s="324">
        <v>129342.7</v>
      </c>
      <c r="Z35" s="324">
        <v>94021.21</v>
      </c>
      <c r="AA35" s="324">
        <v>129342.7</v>
      </c>
      <c r="AB35" s="324">
        <v>94360.73</v>
      </c>
      <c r="AC35" s="324">
        <v>129342.7</v>
      </c>
      <c r="AD35" s="324">
        <v>94700.25</v>
      </c>
      <c r="AE35" s="324">
        <f t="shared" si="2"/>
        <v>133172.38749999998</v>
      </c>
      <c r="AF35" s="324">
        <f t="shared" si="0"/>
        <v>96119.067500000005</v>
      </c>
    </row>
    <row r="36" spans="1:32">
      <c r="A36" s="16">
        <v>28</v>
      </c>
      <c r="C36" s="3" t="s">
        <v>1345</v>
      </c>
      <c r="D36" s="3" t="str">
        <f t="shared" si="1"/>
        <v>00038</v>
      </c>
      <c r="E36" s="324">
        <v>3269505.08</v>
      </c>
      <c r="F36" s="324">
        <v>1139452.31</v>
      </c>
      <c r="G36" s="324">
        <v>3268747.02</v>
      </c>
      <c r="H36" s="324">
        <v>1156208.53</v>
      </c>
      <c r="I36" s="324">
        <v>3264607.26</v>
      </c>
      <c r="J36" s="324">
        <v>1172960.8600000001</v>
      </c>
      <c r="K36" s="324">
        <v>3264177.16</v>
      </c>
      <c r="L36" s="324">
        <v>1189691.98</v>
      </c>
      <c r="M36" s="324">
        <v>3171083.53</v>
      </c>
      <c r="N36" s="324">
        <v>1118467.5</v>
      </c>
      <c r="O36" s="324">
        <v>3276918.55</v>
      </c>
      <c r="P36" s="324">
        <v>1145419.3</v>
      </c>
      <c r="Q36" s="324">
        <v>3308036.71</v>
      </c>
      <c r="R36" s="324">
        <v>1162213.51</v>
      </c>
      <c r="S36" s="324">
        <v>3336005.32</v>
      </c>
      <c r="T36" s="324">
        <v>1179167.2</v>
      </c>
      <c r="U36" s="324">
        <v>3401129.25</v>
      </c>
      <c r="V36" s="324">
        <v>1165480.1200000001</v>
      </c>
      <c r="W36" s="324">
        <v>3436589.67</v>
      </c>
      <c r="X36" s="324">
        <v>1180410.9099999999</v>
      </c>
      <c r="Y36" s="324">
        <v>3434686.6</v>
      </c>
      <c r="Z36" s="324">
        <v>1198023.44</v>
      </c>
      <c r="AA36" s="324">
        <v>3311139.81</v>
      </c>
      <c r="AB36" s="324">
        <v>1134439.42</v>
      </c>
      <c r="AC36" s="324">
        <v>3417540.39</v>
      </c>
      <c r="AD36" s="324">
        <v>1151409.01</v>
      </c>
      <c r="AE36" s="324">
        <f t="shared" si="2"/>
        <v>3318053.6345833335</v>
      </c>
      <c r="AF36" s="324">
        <f t="shared" si="0"/>
        <v>1162326.1191666666</v>
      </c>
    </row>
    <row r="37" spans="1:32">
      <c r="A37" s="16">
        <v>29</v>
      </c>
      <c r="C37" s="3" t="s">
        <v>1346</v>
      </c>
      <c r="D37" s="3" t="str">
        <f t="shared" si="1"/>
        <v>00038</v>
      </c>
      <c r="E37" s="324">
        <v>0</v>
      </c>
      <c r="F37" s="324">
        <v>0</v>
      </c>
      <c r="G37" s="324">
        <v>0</v>
      </c>
      <c r="H37" s="324">
        <v>0</v>
      </c>
      <c r="I37" s="324">
        <v>0</v>
      </c>
      <c r="J37" s="324">
        <v>0</v>
      </c>
      <c r="K37" s="324">
        <v>0</v>
      </c>
      <c r="L37" s="324">
        <v>0</v>
      </c>
      <c r="M37" s="324">
        <v>0</v>
      </c>
      <c r="N37" s="324">
        <v>0</v>
      </c>
      <c r="O37" s="324">
        <v>0</v>
      </c>
      <c r="P37" s="324">
        <v>0</v>
      </c>
      <c r="Q37" s="324">
        <v>0</v>
      </c>
      <c r="R37" s="324">
        <v>0</v>
      </c>
      <c r="S37" s="324">
        <v>0</v>
      </c>
      <c r="T37" s="324">
        <v>0</v>
      </c>
      <c r="U37" s="324">
        <v>0</v>
      </c>
      <c r="V37" s="324">
        <v>0</v>
      </c>
      <c r="W37" s="324">
        <v>0</v>
      </c>
      <c r="X37" s="324">
        <v>0</v>
      </c>
      <c r="Y37" s="324">
        <v>0</v>
      </c>
      <c r="Z37" s="324">
        <v>0</v>
      </c>
      <c r="AA37" s="324">
        <v>0</v>
      </c>
      <c r="AB37" s="324">
        <v>0</v>
      </c>
      <c r="AC37" s="324">
        <v>0</v>
      </c>
      <c r="AD37" s="324">
        <v>0</v>
      </c>
      <c r="AE37" s="324">
        <f t="shared" si="2"/>
        <v>0</v>
      </c>
      <c r="AF37" s="324">
        <f t="shared" si="0"/>
        <v>0</v>
      </c>
    </row>
    <row r="38" spans="1:32">
      <c r="A38" s="16">
        <v>30</v>
      </c>
      <c r="C38" s="3" t="s">
        <v>1347</v>
      </c>
      <c r="D38" s="3" t="str">
        <f t="shared" si="1"/>
        <v>00038</v>
      </c>
      <c r="E38" s="324">
        <v>1249569.52</v>
      </c>
      <c r="F38" s="324">
        <v>351955.78</v>
      </c>
      <c r="G38" s="324">
        <v>1235682.6299999999</v>
      </c>
      <c r="H38" s="324">
        <v>341775.95</v>
      </c>
      <c r="I38" s="324">
        <v>1235682.6299999999</v>
      </c>
      <c r="J38" s="324">
        <v>345441.81</v>
      </c>
      <c r="K38" s="324">
        <v>1191740.79</v>
      </c>
      <c r="L38" s="324">
        <v>305165.83</v>
      </c>
      <c r="M38" s="324">
        <v>1191740.79</v>
      </c>
      <c r="N38" s="324">
        <v>308701.33</v>
      </c>
      <c r="O38" s="324">
        <v>1191740.79</v>
      </c>
      <c r="P38" s="324">
        <v>312236.83</v>
      </c>
      <c r="Q38" s="324">
        <v>1242502.31</v>
      </c>
      <c r="R38" s="324">
        <v>315772.33</v>
      </c>
      <c r="S38" s="324">
        <v>1242502.31</v>
      </c>
      <c r="T38" s="324">
        <v>319458.42</v>
      </c>
      <c r="U38" s="324">
        <v>1243203.67</v>
      </c>
      <c r="V38" s="324">
        <v>323144.51</v>
      </c>
      <c r="W38" s="324">
        <v>1245869.3900000001</v>
      </c>
      <c r="X38" s="324">
        <v>326832.68</v>
      </c>
      <c r="Y38" s="324">
        <v>1258973.99</v>
      </c>
      <c r="Z38" s="324">
        <v>330528.76</v>
      </c>
      <c r="AA38" s="324">
        <v>1258973.99</v>
      </c>
      <c r="AB38" s="324">
        <v>334263.72000000003</v>
      </c>
      <c r="AC38" s="324">
        <v>1274963.3900000001</v>
      </c>
      <c r="AD38" s="324">
        <v>337998.68</v>
      </c>
      <c r="AE38" s="324">
        <f t="shared" si="2"/>
        <v>1233406.6454166668</v>
      </c>
      <c r="AF38" s="324">
        <f t="shared" si="0"/>
        <v>325691.61666666676</v>
      </c>
    </row>
    <row r="39" spans="1:32">
      <c r="A39" s="16">
        <v>31</v>
      </c>
      <c r="C39" s="3" t="s">
        <v>1348</v>
      </c>
      <c r="D39" s="3" t="str">
        <f t="shared" si="1"/>
        <v>00038</v>
      </c>
      <c r="E39" s="324">
        <v>762893.03</v>
      </c>
      <c r="F39" s="324">
        <v>-192533.71</v>
      </c>
      <c r="G39" s="324">
        <v>751342.85</v>
      </c>
      <c r="H39" s="324">
        <v>-219726.51</v>
      </c>
      <c r="I39" s="324">
        <v>751342.85</v>
      </c>
      <c r="J39" s="324">
        <v>-216483.21</v>
      </c>
      <c r="K39" s="324">
        <v>751342.85</v>
      </c>
      <c r="L39" s="324">
        <v>-213239.91</v>
      </c>
      <c r="M39" s="324">
        <v>751342.85</v>
      </c>
      <c r="N39" s="324">
        <v>-209996.61000000002</v>
      </c>
      <c r="O39" s="324">
        <v>751342.85</v>
      </c>
      <c r="P39" s="324">
        <v>-206753.31</v>
      </c>
      <c r="Q39" s="324">
        <v>701039.87</v>
      </c>
      <c r="R39" s="324">
        <v>-202135.01</v>
      </c>
      <c r="S39" s="324">
        <v>701039.87</v>
      </c>
      <c r="T39" s="324">
        <v>-199108.85</v>
      </c>
      <c r="U39" s="324">
        <v>682167.97</v>
      </c>
      <c r="V39" s="324">
        <v>-289476.39</v>
      </c>
      <c r="W39" s="324">
        <v>682167.97</v>
      </c>
      <c r="X39" s="324">
        <v>-286531.7</v>
      </c>
      <c r="Y39" s="324">
        <v>668987.59</v>
      </c>
      <c r="Z39" s="324">
        <v>-295567.39</v>
      </c>
      <c r="AA39" s="324">
        <v>668987.59</v>
      </c>
      <c r="AB39" s="324">
        <v>-292679.60000000003</v>
      </c>
      <c r="AC39" s="324">
        <v>668987.59</v>
      </c>
      <c r="AD39" s="324">
        <v>-289041.81</v>
      </c>
      <c r="AE39" s="324">
        <f t="shared" si="2"/>
        <v>714753.78500000003</v>
      </c>
      <c r="AF39" s="324">
        <f t="shared" si="0"/>
        <v>-239373.85416666666</v>
      </c>
    </row>
    <row r="40" spans="1:32">
      <c r="A40" s="16">
        <v>32</v>
      </c>
      <c r="C40" s="3" t="s">
        <v>1349</v>
      </c>
      <c r="D40" s="3" t="str">
        <f t="shared" si="1"/>
        <v>00038</v>
      </c>
      <c r="E40" s="324">
        <v>282215.55</v>
      </c>
      <c r="F40" s="324">
        <v>54221.94</v>
      </c>
      <c r="G40" s="324">
        <v>282215.55</v>
      </c>
      <c r="H40" s="324">
        <v>54955.700000000004</v>
      </c>
      <c r="I40" s="324">
        <v>295144.49</v>
      </c>
      <c r="J40" s="324">
        <v>55689.46</v>
      </c>
      <c r="K40" s="324">
        <v>295264.92</v>
      </c>
      <c r="L40" s="324">
        <v>56456.840000000004</v>
      </c>
      <c r="M40" s="324">
        <v>295264.92</v>
      </c>
      <c r="N40" s="324">
        <v>57224.53</v>
      </c>
      <c r="O40" s="324">
        <v>295264.92</v>
      </c>
      <c r="P40" s="324">
        <v>57992.22</v>
      </c>
      <c r="Q40" s="324">
        <v>295264.92</v>
      </c>
      <c r="R40" s="324">
        <v>58759.91</v>
      </c>
      <c r="S40" s="324">
        <v>295264.92</v>
      </c>
      <c r="T40" s="324">
        <v>59527.6</v>
      </c>
      <c r="U40" s="324">
        <v>295264.92</v>
      </c>
      <c r="V40" s="324">
        <v>60295.29</v>
      </c>
      <c r="W40" s="324">
        <v>278979.77</v>
      </c>
      <c r="X40" s="324">
        <v>50427.83</v>
      </c>
      <c r="Y40" s="324">
        <v>278979.77</v>
      </c>
      <c r="Z40" s="324">
        <v>51153.18</v>
      </c>
      <c r="AA40" s="324">
        <v>278979.77</v>
      </c>
      <c r="AB40" s="324">
        <v>51878.53</v>
      </c>
      <c r="AC40" s="324">
        <v>278979.77</v>
      </c>
      <c r="AD40" s="324">
        <v>52603.880000000005</v>
      </c>
      <c r="AE40" s="324">
        <f t="shared" si="2"/>
        <v>288873.8775</v>
      </c>
      <c r="AF40" s="324">
        <f t="shared" si="0"/>
        <v>55647.833333333343</v>
      </c>
    </row>
    <row r="41" spans="1:32">
      <c r="A41" s="16">
        <v>33</v>
      </c>
      <c r="C41" s="3" t="s">
        <v>1350</v>
      </c>
      <c r="D41" s="3" t="str">
        <f t="shared" si="1"/>
        <v>00038</v>
      </c>
      <c r="E41" s="324">
        <v>190417.76</v>
      </c>
      <c r="F41" s="324">
        <v>88118.38</v>
      </c>
      <c r="G41" s="324">
        <v>190417.76</v>
      </c>
      <c r="H41" s="324">
        <v>88841.97</v>
      </c>
      <c r="I41" s="324">
        <v>190417.76</v>
      </c>
      <c r="J41" s="324">
        <v>89565.56</v>
      </c>
      <c r="K41" s="324">
        <v>190417.76</v>
      </c>
      <c r="L41" s="324">
        <v>90289.150000000009</v>
      </c>
      <c r="M41" s="324">
        <v>190417.76</v>
      </c>
      <c r="N41" s="324">
        <v>91012.74</v>
      </c>
      <c r="O41" s="324">
        <v>190417.76</v>
      </c>
      <c r="P41" s="324">
        <v>91736.33</v>
      </c>
      <c r="Q41" s="324">
        <v>190417.76</v>
      </c>
      <c r="R41" s="324">
        <v>92459.92</v>
      </c>
      <c r="S41" s="324">
        <v>190417.76</v>
      </c>
      <c r="T41" s="324">
        <v>93183.51</v>
      </c>
      <c r="U41" s="324">
        <v>190417.76</v>
      </c>
      <c r="V41" s="324">
        <v>93907.1</v>
      </c>
      <c r="W41" s="324">
        <v>190417.76</v>
      </c>
      <c r="X41" s="324">
        <v>94630.69</v>
      </c>
      <c r="Y41" s="324">
        <v>190417.76</v>
      </c>
      <c r="Z41" s="324">
        <v>95354.28</v>
      </c>
      <c r="AA41" s="324">
        <v>190417.76</v>
      </c>
      <c r="AB41" s="324">
        <v>96077.87</v>
      </c>
      <c r="AC41" s="324">
        <v>190417.76</v>
      </c>
      <c r="AD41" s="324">
        <v>96801.46</v>
      </c>
      <c r="AE41" s="324">
        <f t="shared" si="2"/>
        <v>190417.76</v>
      </c>
      <c r="AF41" s="324">
        <f t="shared" si="0"/>
        <v>92459.92</v>
      </c>
    </row>
    <row r="42" spans="1:32">
      <c r="A42" s="16">
        <v>34</v>
      </c>
      <c r="C42" s="3" t="s">
        <v>1351</v>
      </c>
      <c r="D42" s="3" t="str">
        <f t="shared" si="1"/>
        <v>00038</v>
      </c>
      <c r="E42" s="324">
        <v>277306.52</v>
      </c>
      <c r="F42" s="324">
        <v>16909.22</v>
      </c>
      <c r="G42" s="324">
        <v>275688.77</v>
      </c>
      <c r="H42" s="324">
        <v>17456.77</v>
      </c>
      <c r="I42" s="324">
        <v>275688.77</v>
      </c>
      <c r="J42" s="324">
        <v>19609.439999999999</v>
      </c>
      <c r="K42" s="324">
        <v>275688.77</v>
      </c>
      <c r="L42" s="324">
        <v>21762.11</v>
      </c>
      <c r="M42" s="324">
        <v>275688.77</v>
      </c>
      <c r="N42" s="324">
        <v>23914.78</v>
      </c>
      <c r="O42" s="324">
        <v>275688.77</v>
      </c>
      <c r="P42" s="324">
        <v>26067.45</v>
      </c>
      <c r="Q42" s="324">
        <v>275688.77</v>
      </c>
      <c r="R42" s="324">
        <v>28220.12</v>
      </c>
      <c r="S42" s="324">
        <v>275688.77</v>
      </c>
      <c r="T42" s="324">
        <v>30372.79</v>
      </c>
      <c r="U42" s="324">
        <v>275688.77</v>
      </c>
      <c r="V42" s="324">
        <v>32525.46</v>
      </c>
      <c r="W42" s="324">
        <v>275688.77</v>
      </c>
      <c r="X42" s="324">
        <v>34678.129999999997</v>
      </c>
      <c r="Y42" s="324">
        <v>275688.77</v>
      </c>
      <c r="Z42" s="324">
        <v>36830.800000000003</v>
      </c>
      <c r="AA42" s="324">
        <v>275688.77</v>
      </c>
      <c r="AB42" s="324">
        <v>38983.47</v>
      </c>
      <c r="AC42" s="324">
        <v>295285.8</v>
      </c>
      <c r="AD42" s="324">
        <v>41136.14</v>
      </c>
      <c r="AE42" s="324">
        <f t="shared" si="2"/>
        <v>276572.71916666668</v>
      </c>
      <c r="AF42" s="324">
        <f t="shared" si="0"/>
        <v>28287.000000000004</v>
      </c>
    </row>
    <row r="43" spans="1:32">
      <c r="A43" s="16">
        <v>35</v>
      </c>
      <c r="C43" s="3" t="s">
        <v>1352</v>
      </c>
      <c r="D43" s="3" t="str">
        <f t="shared" si="1"/>
        <v>00038</v>
      </c>
      <c r="E43" s="324">
        <v>739181.59</v>
      </c>
      <c r="F43" s="324">
        <v>610711.89</v>
      </c>
      <c r="G43" s="324">
        <v>739181.59</v>
      </c>
      <c r="H43" s="324">
        <v>610791.97</v>
      </c>
      <c r="I43" s="324">
        <v>739181.59</v>
      </c>
      <c r="J43" s="324">
        <v>610872.05000000005</v>
      </c>
      <c r="K43" s="324">
        <v>742560.91</v>
      </c>
      <c r="L43" s="324">
        <v>610952.13</v>
      </c>
      <c r="M43" s="324">
        <v>742560.91</v>
      </c>
      <c r="N43" s="324">
        <v>611032.57000000007</v>
      </c>
      <c r="O43" s="324">
        <v>742560.91</v>
      </c>
      <c r="P43" s="324">
        <v>611113.01</v>
      </c>
      <c r="Q43" s="324">
        <v>742560.91</v>
      </c>
      <c r="R43" s="324">
        <v>611193.45000000007</v>
      </c>
      <c r="S43" s="324">
        <v>742560.91</v>
      </c>
      <c r="T43" s="324">
        <v>611273.89</v>
      </c>
      <c r="U43" s="324">
        <v>742560.91</v>
      </c>
      <c r="V43" s="324">
        <v>611354.32999999996</v>
      </c>
      <c r="W43" s="324">
        <v>742560.91</v>
      </c>
      <c r="X43" s="324">
        <v>611434.77</v>
      </c>
      <c r="Y43" s="324">
        <v>742560.91</v>
      </c>
      <c r="Z43" s="324">
        <v>611515.21</v>
      </c>
      <c r="AA43" s="324">
        <v>742560.91</v>
      </c>
      <c r="AB43" s="324">
        <v>611595.65</v>
      </c>
      <c r="AC43" s="324">
        <v>742560.91</v>
      </c>
      <c r="AD43" s="324">
        <v>611676.09</v>
      </c>
      <c r="AE43" s="324">
        <f t="shared" si="2"/>
        <v>741856.88500000013</v>
      </c>
      <c r="AF43" s="324">
        <f t="shared" si="0"/>
        <v>611193.58500000008</v>
      </c>
    </row>
    <row r="44" spans="1:32">
      <c r="A44" s="16">
        <v>36</v>
      </c>
      <c r="C44" s="3" t="s">
        <v>1353</v>
      </c>
      <c r="D44" s="3" t="str">
        <f t="shared" si="1"/>
        <v>00038</v>
      </c>
      <c r="E44" s="324">
        <v>116694.26000000001</v>
      </c>
      <c r="F44" s="324">
        <v>67489.430000000008</v>
      </c>
      <c r="G44" s="324">
        <v>116694.26000000001</v>
      </c>
      <c r="H44" s="324">
        <v>68382.14</v>
      </c>
      <c r="I44" s="324">
        <v>116694.26000000001</v>
      </c>
      <c r="J44" s="324">
        <v>69274.850000000006</v>
      </c>
      <c r="K44" s="324">
        <v>116694.26000000001</v>
      </c>
      <c r="L44" s="324">
        <v>70167.56</v>
      </c>
      <c r="M44" s="324">
        <v>116694.26000000001</v>
      </c>
      <c r="N44" s="324">
        <v>71060.27</v>
      </c>
      <c r="O44" s="324">
        <v>116694.26000000001</v>
      </c>
      <c r="P44" s="324">
        <v>71952.98</v>
      </c>
      <c r="Q44" s="324">
        <v>116694.26000000001</v>
      </c>
      <c r="R44" s="324">
        <v>72845.69</v>
      </c>
      <c r="S44" s="324">
        <v>116694.26000000001</v>
      </c>
      <c r="T44" s="324">
        <v>73738.400000000009</v>
      </c>
      <c r="U44" s="324">
        <v>116694.26000000001</v>
      </c>
      <c r="V44" s="324">
        <v>74631.11</v>
      </c>
      <c r="W44" s="324">
        <v>116694.26000000001</v>
      </c>
      <c r="X44" s="324">
        <v>75523.820000000007</v>
      </c>
      <c r="Y44" s="324">
        <v>116694.26000000001</v>
      </c>
      <c r="Z44" s="324">
        <v>76416.53</v>
      </c>
      <c r="AA44" s="324">
        <v>116694.26000000001</v>
      </c>
      <c r="AB44" s="324">
        <v>77309.240000000005</v>
      </c>
      <c r="AC44" s="324">
        <v>116694.26000000001</v>
      </c>
      <c r="AD44" s="324">
        <v>78201.95</v>
      </c>
      <c r="AE44" s="324">
        <f t="shared" si="2"/>
        <v>116694.26000000001</v>
      </c>
      <c r="AF44" s="324">
        <f t="shared" si="0"/>
        <v>72845.69</v>
      </c>
    </row>
    <row r="45" spans="1:32">
      <c r="A45" s="16">
        <v>37</v>
      </c>
      <c r="C45" s="3" t="s">
        <v>1354</v>
      </c>
      <c r="D45" s="3" t="str">
        <f t="shared" si="1"/>
        <v>00038</v>
      </c>
      <c r="E45" s="324">
        <v>7208.81</v>
      </c>
      <c r="F45" s="324">
        <v>-2917.36</v>
      </c>
      <c r="G45" s="324">
        <v>7208.81</v>
      </c>
      <c r="H45" s="324">
        <v>-2854.2200000000003</v>
      </c>
      <c r="I45" s="324">
        <v>7208.81</v>
      </c>
      <c r="J45" s="324">
        <v>-2791.08</v>
      </c>
      <c r="K45" s="324">
        <v>7208.81</v>
      </c>
      <c r="L45" s="324">
        <v>-2727.94</v>
      </c>
      <c r="M45" s="324">
        <v>7208.81</v>
      </c>
      <c r="N45" s="324">
        <v>-2664.8</v>
      </c>
      <c r="O45" s="324">
        <v>7208.81</v>
      </c>
      <c r="P45" s="324">
        <v>-2601.66</v>
      </c>
      <c r="Q45" s="324">
        <v>7208.81</v>
      </c>
      <c r="R45" s="324">
        <v>-2538.52</v>
      </c>
      <c r="S45" s="324">
        <v>7208.81</v>
      </c>
      <c r="T45" s="324">
        <v>-2475.38</v>
      </c>
      <c r="U45" s="324">
        <v>7208.81</v>
      </c>
      <c r="V45" s="324">
        <v>-2412.2400000000002</v>
      </c>
      <c r="W45" s="324">
        <v>7208.81</v>
      </c>
      <c r="X45" s="324">
        <v>-2349.1</v>
      </c>
      <c r="Y45" s="324">
        <v>7208.81</v>
      </c>
      <c r="Z45" s="324">
        <v>-2285.96</v>
      </c>
      <c r="AA45" s="324">
        <v>7208.81</v>
      </c>
      <c r="AB45" s="324">
        <v>-2222.8200000000002</v>
      </c>
      <c r="AC45" s="324">
        <v>7208.81</v>
      </c>
      <c r="AD45" s="324">
        <v>-2159.6799999999998</v>
      </c>
      <c r="AE45" s="324">
        <f t="shared" si="2"/>
        <v>7208.8099999999986</v>
      </c>
      <c r="AF45" s="324">
        <f t="shared" si="0"/>
        <v>-2538.52</v>
      </c>
    </row>
    <row r="46" spans="1:32" ht="16.2">
      <c r="A46" s="16">
        <v>38</v>
      </c>
      <c r="B46" s="326" t="s">
        <v>78</v>
      </c>
      <c r="C46" s="327"/>
      <c r="D46" s="326" t="s">
        <v>1355</v>
      </c>
      <c r="E46" s="328">
        <f t="shared" ref="E46:AF46" si="3">SUBTOTAL(9,E10:E45)</f>
        <v>166219892.83000007</v>
      </c>
      <c r="F46" s="328">
        <f t="shared" si="3"/>
        <v>80705966.12000002</v>
      </c>
      <c r="G46" s="328">
        <f t="shared" si="3"/>
        <v>166170977.93000001</v>
      </c>
      <c r="H46" s="328">
        <f t="shared" si="3"/>
        <v>81956066.480000004</v>
      </c>
      <c r="I46" s="328">
        <f t="shared" si="3"/>
        <v>166354838.25999999</v>
      </c>
      <c r="J46" s="328">
        <f t="shared" si="3"/>
        <v>82303533.879999995</v>
      </c>
      <c r="K46" s="328">
        <f t="shared" si="3"/>
        <v>166799471.37999997</v>
      </c>
      <c r="L46" s="328">
        <f t="shared" si="3"/>
        <v>82630691.260000005</v>
      </c>
      <c r="M46" s="328">
        <f t="shared" si="3"/>
        <v>167119466.22999996</v>
      </c>
      <c r="N46" s="328">
        <f t="shared" si="3"/>
        <v>83048741.769999966</v>
      </c>
      <c r="O46" s="328">
        <f t="shared" si="3"/>
        <v>167560879.63</v>
      </c>
      <c r="P46" s="328">
        <f t="shared" si="3"/>
        <v>83473613.359999985</v>
      </c>
      <c r="Q46" s="328">
        <f t="shared" si="3"/>
        <v>168385999.12</v>
      </c>
      <c r="R46" s="328">
        <f t="shared" si="3"/>
        <v>83882596.349999979</v>
      </c>
      <c r="S46" s="328">
        <f t="shared" si="3"/>
        <v>168732643.50999999</v>
      </c>
      <c r="T46" s="328">
        <f t="shared" si="3"/>
        <v>84297028.050000027</v>
      </c>
      <c r="U46" s="328">
        <f t="shared" si="3"/>
        <v>170207593.34999996</v>
      </c>
      <c r="V46" s="328">
        <f t="shared" si="3"/>
        <v>84575659.36999999</v>
      </c>
      <c r="W46" s="328">
        <f t="shared" si="3"/>
        <v>170629891.94999999</v>
      </c>
      <c r="X46" s="328">
        <f t="shared" si="3"/>
        <v>84951612.799999982</v>
      </c>
      <c r="Y46" s="328">
        <f t="shared" si="3"/>
        <v>171151546.11000001</v>
      </c>
      <c r="Z46" s="328">
        <f t="shared" si="3"/>
        <v>85352250.530000001</v>
      </c>
      <c r="AA46" s="328">
        <f t="shared" si="3"/>
        <v>171458875.71000004</v>
      </c>
      <c r="AB46" s="328">
        <f t="shared" si="3"/>
        <v>85685521.460000008</v>
      </c>
      <c r="AC46" s="328">
        <f t="shared" si="3"/>
        <v>173795321.89000002</v>
      </c>
      <c r="AD46" s="328">
        <f t="shared" si="3"/>
        <v>86090834.789999977</v>
      </c>
      <c r="AE46" s="328">
        <f t="shared" si="3"/>
        <v>168714982.54499999</v>
      </c>
      <c r="AF46" s="328">
        <f t="shared" si="3"/>
        <v>83796309.647083312</v>
      </c>
    </row>
    <row r="47" spans="1:32" ht="16.2">
      <c r="A47" s="16">
        <v>39</v>
      </c>
      <c r="B47" s="322" t="s">
        <v>104</v>
      </c>
      <c r="C47" s="322" t="s">
        <v>382</v>
      </c>
      <c r="D47" s="329"/>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row>
    <row r="48" spans="1:32">
      <c r="A48" s="16">
        <v>40</v>
      </c>
      <c r="C48" s="3" t="s">
        <v>1356</v>
      </c>
      <c r="D48" s="3" t="str">
        <f>RIGHT(C48,5)</f>
        <v>00048</v>
      </c>
      <c r="E48" s="324">
        <v>138157.95000000001</v>
      </c>
      <c r="F48" s="324">
        <v>138157.97</v>
      </c>
      <c r="G48" s="324">
        <v>138157.95000000001</v>
      </c>
      <c r="H48" s="324">
        <v>138157.97</v>
      </c>
      <c r="I48" s="324">
        <v>138157.95000000001</v>
      </c>
      <c r="J48" s="324">
        <v>138157.97</v>
      </c>
      <c r="K48" s="324">
        <v>138157.95000000001</v>
      </c>
      <c r="L48" s="324">
        <v>138157.97</v>
      </c>
      <c r="M48" s="324">
        <v>138157.95000000001</v>
      </c>
      <c r="N48" s="324">
        <v>138157.97</v>
      </c>
      <c r="O48" s="324">
        <v>138157.95000000001</v>
      </c>
      <c r="P48" s="324">
        <v>138157.97</v>
      </c>
      <c r="Q48" s="324">
        <v>138157.95000000001</v>
      </c>
      <c r="R48" s="324">
        <v>138157.97</v>
      </c>
      <c r="S48" s="324">
        <v>138157.95000000001</v>
      </c>
      <c r="T48" s="324">
        <v>138157.97</v>
      </c>
      <c r="U48" s="324">
        <v>138157.95000000001</v>
      </c>
      <c r="V48" s="324">
        <v>138157.97</v>
      </c>
      <c r="W48" s="324">
        <v>138157.95000000001</v>
      </c>
      <c r="X48" s="324">
        <v>138157.97</v>
      </c>
      <c r="Y48" s="324">
        <v>138157.95000000001</v>
      </c>
      <c r="Z48" s="324">
        <v>138157.97</v>
      </c>
      <c r="AA48" s="324">
        <v>138157.95000000001</v>
      </c>
      <c r="AB48" s="324">
        <v>138157.97</v>
      </c>
      <c r="AC48" s="324">
        <v>138157.95000000001</v>
      </c>
      <c r="AD48" s="324">
        <v>138157.97</v>
      </c>
      <c r="AE48" s="324">
        <f t="shared" ref="AE48:AF88" si="4">+(E48+AC48+(+G48+I48+K48+M48+O48+Q48+S48+U48+W48+Y48+AA48)*2)/24</f>
        <v>138157.94999999998</v>
      </c>
      <c r="AF48" s="324">
        <f t="shared" si="4"/>
        <v>138157.97</v>
      </c>
    </row>
    <row r="49" spans="1:32">
      <c r="A49" s="16">
        <v>41</v>
      </c>
      <c r="C49" s="3" t="s">
        <v>1357</v>
      </c>
      <c r="D49" s="325" t="s">
        <v>1358</v>
      </c>
      <c r="E49" s="324">
        <v>0</v>
      </c>
      <c r="F49" s="324">
        <v>0</v>
      </c>
      <c r="G49" s="324">
        <v>0</v>
      </c>
      <c r="H49" s="324">
        <v>0</v>
      </c>
      <c r="I49" s="324">
        <v>0</v>
      </c>
      <c r="J49" s="324">
        <v>0</v>
      </c>
      <c r="K49" s="324">
        <v>0</v>
      </c>
      <c r="L49" s="324">
        <v>0</v>
      </c>
      <c r="M49" s="324">
        <v>0</v>
      </c>
      <c r="N49" s="324">
        <v>0</v>
      </c>
      <c r="O49" s="324">
        <v>0</v>
      </c>
      <c r="P49" s="324">
        <v>0</v>
      </c>
      <c r="Q49" s="324">
        <v>0</v>
      </c>
      <c r="R49" s="324">
        <v>0</v>
      </c>
      <c r="S49" s="324">
        <v>0</v>
      </c>
      <c r="T49" s="324">
        <v>0</v>
      </c>
      <c r="U49" s="324">
        <v>0</v>
      </c>
      <c r="V49" s="324">
        <v>0</v>
      </c>
      <c r="W49" s="324">
        <v>0</v>
      </c>
      <c r="X49" s="324">
        <v>0</v>
      </c>
      <c r="Y49" s="324">
        <v>0</v>
      </c>
      <c r="Z49" s="324">
        <v>0</v>
      </c>
      <c r="AA49" s="324">
        <v>0</v>
      </c>
      <c r="AB49" s="324">
        <v>0</v>
      </c>
      <c r="AC49" s="324">
        <v>0</v>
      </c>
      <c r="AD49" s="324">
        <v>0</v>
      </c>
      <c r="AE49" s="324">
        <f t="shared" si="4"/>
        <v>0</v>
      </c>
      <c r="AF49" s="324">
        <f t="shared" si="4"/>
        <v>0</v>
      </c>
    </row>
    <row r="50" spans="1:32">
      <c r="A50" s="16">
        <v>42</v>
      </c>
      <c r="C50" s="3" t="s">
        <v>1359</v>
      </c>
      <c r="D50" s="325" t="s">
        <v>1358</v>
      </c>
      <c r="E50" s="324">
        <v>0</v>
      </c>
      <c r="F50" s="324">
        <v>0</v>
      </c>
      <c r="G50" s="324">
        <v>0</v>
      </c>
      <c r="H50" s="324">
        <v>0</v>
      </c>
      <c r="I50" s="324">
        <v>0</v>
      </c>
      <c r="J50" s="324">
        <v>0</v>
      </c>
      <c r="K50" s="324">
        <v>0</v>
      </c>
      <c r="L50" s="324">
        <v>0</v>
      </c>
      <c r="M50" s="324">
        <v>0</v>
      </c>
      <c r="N50" s="324">
        <v>0</v>
      </c>
      <c r="O50" s="324">
        <v>0</v>
      </c>
      <c r="P50" s="324">
        <v>0</v>
      </c>
      <c r="Q50" s="324">
        <v>0</v>
      </c>
      <c r="R50" s="324">
        <v>0</v>
      </c>
      <c r="S50" s="324">
        <v>45037.37</v>
      </c>
      <c r="T50" s="324">
        <v>1876.6000000000001</v>
      </c>
      <c r="U50" s="324">
        <v>45037.37</v>
      </c>
      <c r="V50" s="324">
        <v>1970.43</v>
      </c>
      <c r="W50" s="324">
        <v>45037.37</v>
      </c>
      <c r="X50" s="324">
        <v>2064.2600000000002</v>
      </c>
      <c r="Y50" s="324">
        <v>45037.37</v>
      </c>
      <c r="Z50" s="324">
        <v>2158.09</v>
      </c>
      <c r="AA50" s="324">
        <v>45037.37</v>
      </c>
      <c r="AB50" s="324">
        <v>2251.92</v>
      </c>
      <c r="AC50" s="324">
        <v>45037.37</v>
      </c>
      <c r="AD50" s="324">
        <v>2345.75</v>
      </c>
      <c r="AE50" s="324">
        <f t="shared" si="4"/>
        <v>20642.127916666668</v>
      </c>
      <c r="AF50" s="324">
        <f t="shared" si="4"/>
        <v>957.84791666666672</v>
      </c>
    </row>
    <row r="51" spans="1:32">
      <c r="A51" s="16">
        <v>43</v>
      </c>
      <c r="C51" s="3" t="s">
        <v>1360</v>
      </c>
      <c r="D51" s="325" t="s">
        <v>1358</v>
      </c>
      <c r="E51" s="324">
        <v>0</v>
      </c>
      <c r="F51" s="324">
        <v>0</v>
      </c>
      <c r="G51" s="324">
        <v>0</v>
      </c>
      <c r="H51" s="324">
        <v>0</v>
      </c>
      <c r="I51" s="324">
        <v>0</v>
      </c>
      <c r="J51" s="324">
        <v>0</v>
      </c>
      <c r="K51" s="324">
        <v>0</v>
      </c>
      <c r="L51" s="324">
        <v>0</v>
      </c>
      <c r="M51" s="324">
        <v>0</v>
      </c>
      <c r="N51" s="324">
        <v>0</v>
      </c>
      <c r="O51" s="324">
        <v>0</v>
      </c>
      <c r="P51" s="324">
        <v>0</v>
      </c>
      <c r="Q51" s="324">
        <v>0</v>
      </c>
      <c r="R51" s="324">
        <v>0</v>
      </c>
      <c r="S51" s="324">
        <v>1218966.19</v>
      </c>
      <c r="T51" s="324">
        <v>22371.94</v>
      </c>
      <c r="U51" s="324">
        <v>1218966.19</v>
      </c>
      <c r="V51" s="324">
        <v>24856.100000000002</v>
      </c>
      <c r="W51" s="324">
        <v>1218966.19</v>
      </c>
      <c r="X51" s="324">
        <v>27395.61</v>
      </c>
      <c r="Y51" s="324">
        <v>1218966.19</v>
      </c>
      <c r="Z51" s="324">
        <v>29935.119999999999</v>
      </c>
      <c r="AA51" s="324">
        <v>1218966.19</v>
      </c>
      <c r="AB51" s="324">
        <v>32474.63</v>
      </c>
      <c r="AC51" s="324">
        <v>1218966.19</v>
      </c>
      <c r="AD51" s="324">
        <v>35014.14</v>
      </c>
      <c r="AE51" s="324">
        <f t="shared" si="4"/>
        <v>558692.83708333329</v>
      </c>
      <c r="AF51" s="324">
        <f t="shared" si="4"/>
        <v>12878.372499999999</v>
      </c>
    </row>
    <row r="52" spans="1:32">
      <c r="A52" s="16">
        <v>44</v>
      </c>
      <c r="C52" s="3" t="s">
        <v>1361</v>
      </c>
      <c r="D52" s="3" t="str">
        <f t="shared" ref="D52:D88" si="5">RIGHT(C52,5)</f>
        <v>00048</v>
      </c>
      <c r="E52" s="324">
        <v>1462199.5</v>
      </c>
      <c r="F52" s="324">
        <v>13029.470000000001</v>
      </c>
      <c r="G52" s="324">
        <v>1462199.5</v>
      </c>
      <c r="H52" s="324">
        <v>24932.98</v>
      </c>
      <c r="I52" s="324">
        <v>1462199.5</v>
      </c>
      <c r="J52" s="324">
        <v>36836.5</v>
      </c>
      <c r="K52" s="324">
        <v>1462199.5</v>
      </c>
      <c r="L52" s="324">
        <v>13255.26</v>
      </c>
      <c r="M52" s="324">
        <v>1264003.56</v>
      </c>
      <c r="N52" s="324">
        <v>16301.630000000001</v>
      </c>
      <c r="O52" s="324">
        <v>1264003.56</v>
      </c>
      <c r="P52" s="324">
        <v>18930.740000000002</v>
      </c>
      <c r="Q52" s="324">
        <v>1264003.56</v>
      </c>
      <c r="R52" s="324">
        <v>21559.850000000002</v>
      </c>
      <c r="S52" s="324">
        <v>0</v>
      </c>
      <c r="T52" s="324">
        <v>-55.35</v>
      </c>
      <c r="U52" s="324">
        <v>0</v>
      </c>
      <c r="V52" s="324">
        <v>-55.35</v>
      </c>
      <c r="W52" s="324">
        <v>0</v>
      </c>
      <c r="X52" s="324">
        <v>-55.35</v>
      </c>
      <c r="Y52" s="324">
        <v>0</v>
      </c>
      <c r="Z52" s="324">
        <v>0</v>
      </c>
      <c r="AA52" s="324">
        <v>0</v>
      </c>
      <c r="AB52" s="324">
        <v>0</v>
      </c>
      <c r="AC52" s="324">
        <v>0</v>
      </c>
      <c r="AD52" s="324">
        <v>0</v>
      </c>
      <c r="AE52" s="324">
        <f t="shared" si="4"/>
        <v>742475.74416666676</v>
      </c>
      <c r="AF52" s="324">
        <f t="shared" si="4"/>
        <v>11513.803749999997</v>
      </c>
    </row>
    <row r="53" spans="1:32">
      <c r="A53" s="16">
        <v>45</v>
      </c>
      <c r="C53" s="3" t="s">
        <v>1362</v>
      </c>
      <c r="D53" s="3" t="str">
        <f t="shared" si="5"/>
        <v>00048</v>
      </c>
      <c r="E53" s="324">
        <v>211404.97</v>
      </c>
      <c r="F53" s="324">
        <v>0</v>
      </c>
      <c r="G53" s="324">
        <v>211404.97</v>
      </c>
      <c r="H53" s="324">
        <v>0</v>
      </c>
      <c r="I53" s="324">
        <v>211404.97</v>
      </c>
      <c r="J53" s="324">
        <v>0</v>
      </c>
      <c r="K53" s="324">
        <v>211404.97</v>
      </c>
      <c r="L53" s="324">
        <v>0</v>
      </c>
      <c r="M53" s="324">
        <v>211404.97</v>
      </c>
      <c r="N53" s="324">
        <v>0</v>
      </c>
      <c r="O53" s="324">
        <v>211404.97</v>
      </c>
      <c r="P53" s="324">
        <v>0</v>
      </c>
      <c r="Q53" s="324">
        <v>211404.97</v>
      </c>
      <c r="R53" s="324">
        <v>0</v>
      </c>
      <c r="S53" s="324">
        <v>211404.97</v>
      </c>
      <c r="T53" s="324">
        <v>0</v>
      </c>
      <c r="U53" s="324">
        <v>211404.97</v>
      </c>
      <c r="V53" s="324">
        <v>0</v>
      </c>
      <c r="W53" s="324">
        <v>211404.97</v>
      </c>
      <c r="X53" s="324">
        <v>0</v>
      </c>
      <c r="Y53" s="324">
        <v>211404.97</v>
      </c>
      <c r="Z53" s="324">
        <v>0</v>
      </c>
      <c r="AA53" s="324">
        <v>211404.97</v>
      </c>
      <c r="AB53" s="324">
        <v>0</v>
      </c>
      <c r="AC53" s="324">
        <v>211404.97</v>
      </c>
      <c r="AD53" s="324">
        <v>0</v>
      </c>
      <c r="AE53" s="324">
        <f t="shared" si="4"/>
        <v>211404.97000000006</v>
      </c>
      <c r="AF53" s="324">
        <f t="shared" si="4"/>
        <v>0</v>
      </c>
    </row>
    <row r="54" spans="1:32">
      <c r="A54" s="16">
        <v>46</v>
      </c>
      <c r="C54" s="3" t="s">
        <v>1363</v>
      </c>
      <c r="D54" s="3" t="str">
        <f t="shared" si="5"/>
        <v>00048</v>
      </c>
      <c r="E54" s="324">
        <v>1018396.75</v>
      </c>
      <c r="F54" s="324">
        <v>744741.84</v>
      </c>
      <c r="G54" s="324">
        <v>1018396.75</v>
      </c>
      <c r="H54" s="324">
        <v>746082.73</v>
      </c>
      <c r="I54" s="324">
        <v>1018396.75</v>
      </c>
      <c r="J54" s="324">
        <v>747423.62</v>
      </c>
      <c r="K54" s="324">
        <v>1018396.75</v>
      </c>
      <c r="L54" s="324">
        <v>748764.51</v>
      </c>
      <c r="M54" s="324">
        <v>1018396.75</v>
      </c>
      <c r="N54" s="324">
        <v>750105.4</v>
      </c>
      <c r="O54" s="324">
        <v>1018396.75</v>
      </c>
      <c r="P54" s="324">
        <v>751446.29</v>
      </c>
      <c r="Q54" s="324">
        <v>1018396.75</v>
      </c>
      <c r="R54" s="324">
        <v>752787.18</v>
      </c>
      <c r="S54" s="324">
        <v>1018396.75</v>
      </c>
      <c r="T54" s="324">
        <v>754128.07000000007</v>
      </c>
      <c r="U54" s="324">
        <v>1018396.75</v>
      </c>
      <c r="V54" s="324">
        <v>755468.96</v>
      </c>
      <c r="W54" s="324">
        <v>1018396.75</v>
      </c>
      <c r="X54" s="324">
        <v>756809.85</v>
      </c>
      <c r="Y54" s="324">
        <v>1018396.75</v>
      </c>
      <c r="Z54" s="324">
        <v>758150.74</v>
      </c>
      <c r="AA54" s="324">
        <v>1018396.75</v>
      </c>
      <c r="AB54" s="324">
        <v>759491.63</v>
      </c>
      <c r="AC54" s="324">
        <v>1018396.75</v>
      </c>
      <c r="AD54" s="324">
        <v>760832.52</v>
      </c>
      <c r="AE54" s="324">
        <f t="shared" si="4"/>
        <v>1018396.75</v>
      </c>
      <c r="AF54" s="324">
        <f t="shared" si="4"/>
        <v>752787.18</v>
      </c>
    </row>
    <row r="55" spans="1:32">
      <c r="A55" s="16">
        <v>47</v>
      </c>
      <c r="C55" s="3" t="s">
        <v>1364</v>
      </c>
      <c r="D55" s="3" t="str">
        <f t="shared" si="5"/>
        <v>00048</v>
      </c>
      <c r="E55" s="324">
        <v>15654814.939999999</v>
      </c>
      <c r="F55" s="324">
        <v>10457877.060000001</v>
      </c>
      <c r="G55" s="324">
        <v>15654814.939999999</v>
      </c>
      <c r="H55" s="324">
        <v>10481620.199999999</v>
      </c>
      <c r="I55" s="324">
        <v>15654814.939999999</v>
      </c>
      <c r="J55" s="324">
        <v>10505363.34</v>
      </c>
      <c r="K55" s="324">
        <v>15654814.939999999</v>
      </c>
      <c r="L55" s="324">
        <v>10529106.48</v>
      </c>
      <c r="M55" s="324">
        <v>15655125.16</v>
      </c>
      <c r="N55" s="324">
        <v>10552849.619999999</v>
      </c>
      <c r="O55" s="324">
        <v>15655125.16</v>
      </c>
      <c r="P55" s="324">
        <v>10576593.23</v>
      </c>
      <c r="Q55" s="324">
        <v>15655125.16</v>
      </c>
      <c r="R55" s="324">
        <v>10600336.84</v>
      </c>
      <c r="S55" s="324">
        <v>15655125.16</v>
      </c>
      <c r="T55" s="324">
        <v>10624080.449999999</v>
      </c>
      <c r="U55" s="324">
        <v>15655125.16</v>
      </c>
      <c r="V55" s="324">
        <v>10647824.060000001</v>
      </c>
      <c r="W55" s="324">
        <v>15655125.16</v>
      </c>
      <c r="X55" s="324">
        <v>10671567.67</v>
      </c>
      <c r="Y55" s="324">
        <v>15655125.16</v>
      </c>
      <c r="Z55" s="324">
        <v>10695311.279999999</v>
      </c>
      <c r="AA55" s="324">
        <v>15655125.16</v>
      </c>
      <c r="AB55" s="324">
        <v>10719054.890000001</v>
      </c>
      <c r="AC55" s="324">
        <v>15655125.16</v>
      </c>
      <c r="AD55" s="324">
        <v>10742798.5</v>
      </c>
      <c r="AE55" s="324">
        <f t="shared" si="4"/>
        <v>15655034.679166667</v>
      </c>
      <c r="AF55" s="324">
        <f t="shared" si="4"/>
        <v>10600337.153333334</v>
      </c>
    </row>
    <row r="56" spans="1:32">
      <c r="A56" s="16">
        <v>48</v>
      </c>
      <c r="C56" s="3" t="s">
        <v>1365</v>
      </c>
      <c r="D56" s="3" t="str">
        <f t="shared" si="5"/>
        <v>00048</v>
      </c>
      <c r="E56" s="324">
        <v>156138.81</v>
      </c>
      <c r="F56" s="324">
        <v>164120.37</v>
      </c>
      <c r="G56" s="324">
        <v>156138.81</v>
      </c>
      <c r="H56" s="324">
        <v>164173.71</v>
      </c>
      <c r="I56" s="324">
        <v>156138.81</v>
      </c>
      <c r="J56" s="324">
        <v>164227.05000000002</v>
      </c>
      <c r="K56" s="324">
        <v>156138.81</v>
      </c>
      <c r="L56" s="324">
        <v>164280.39000000001</v>
      </c>
      <c r="M56" s="324">
        <v>156138.81</v>
      </c>
      <c r="N56" s="324">
        <v>164333.73000000001</v>
      </c>
      <c r="O56" s="324">
        <v>156138.81</v>
      </c>
      <c r="P56" s="324">
        <v>164387.07</v>
      </c>
      <c r="Q56" s="324">
        <v>156138.81</v>
      </c>
      <c r="R56" s="324">
        <v>164440.41</v>
      </c>
      <c r="S56" s="324">
        <v>156138.81</v>
      </c>
      <c r="T56" s="324">
        <v>164493.75</v>
      </c>
      <c r="U56" s="324">
        <v>156138.81</v>
      </c>
      <c r="V56" s="324">
        <v>164547.09</v>
      </c>
      <c r="W56" s="324">
        <v>156138.81</v>
      </c>
      <c r="X56" s="324">
        <v>164600.43</v>
      </c>
      <c r="Y56" s="324">
        <v>156138.81</v>
      </c>
      <c r="Z56" s="324">
        <v>164653.76999999999</v>
      </c>
      <c r="AA56" s="324">
        <v>156138.81</v>
      </c>
      <c r="AB56" s="324">
        <v>164707.11000000002</v>
      </c>
      <c r="AC56" s="324">
        <v>156138.81</v>
      </c>
      <c r="AD56" s="324">
        <v>164760.45000000001</v>
      </c>
      <c r="AE56" s="324">
        <f t="shared" si="4"/>
        <v>156138.81000000003</v>
      </c>
      <c r="AF56" s="324">
        <f t="shared" si="4"/>
        <v>164440.41</v>
      </c>
    </row>
    <row r="57" spans="1:32">
      <c r="A57" s="16">
        <v>49</v>
      </c>
      <c r="C57" s="3" t="s">
        <v>1366</v>
      </c>
      <c r="D57" s="3" t="str">
        <f t="shared" si="5"/>
        <v>00048</v>
      </c>
      <c r="E57" s="324">
        <v>1922322.92</v>
      </c>
      <c r="F57" s="324">
        <v>603821.39</v>
      </c>
      <c r="G57" s="324">
        <v>1922322.92</v>
      </c>
      <c r="H57" s="324">
        <v>606833.03</v>
      </c>
      <c r="I57" s="324">
        <v>1922322.92</v>
      </c>
      <c r="J57" s="324">
        <v>609844.67000000004</v>
      </c>
      <c r="K57" s="324">
        <v>1922322.92</v>
      </c>
      <c r="L57" s="324">
        <v>612856.31000000006</v>
      </c>
      <c r="M57" s="324">
        <v>1922322.92</v>
      </c>
      <c r="N57" s="324">
        <v>615867.95000000007</v>
      </c>
      <c r="O57" s="324">
        <v>1922322.92</v>
      </c>
      <c r="P57" s="324">
        <v>618879.59</v>
      </c>
      <c r="Q57" s="324">
        <v>1922322.92</v>
      </c>
      <c r="R57" s="324">
        <v>621891.23</v>
      </c>
      <c r="S57" s="324">
        <v>1922322.92</v>
      </c>
      <c r="T57" s="324">
        <v>624902.87</v>
      </c>
      <c r="U57" s="324">
        <v>1922322.92</v>
      </c>
      <c r="V57" s="324">
        <v>627914.51</v>
      </c>
      <c r="W57" s="324">
        <v>1922322.92</v>
      </c>
      <c r="X57" s="324">
        <v>630926.15</v>
      </c>
      <c r="Y57" s="324">
        <v>1922322.92</v>
      </c>
      <c r="Z57" s="324">
        <v>633937.79</v>
      </c>
      <c r="AA57" s="324">
        <v>1922322.92</v>
      </c>
      <c r="AB57" s="324">
        <v>636949.43000000005</v>
      </c>
      <c r="AC57" s="324">
        <v>1922322.92</v>
      </c>
      <c r="AD57" s="324">
        <v>639961.07000000007</v>
      </c>
      <c r="AE57" s="324">
        <f t="shared" si="4"/>
        <v>1922322.9200000006</v>
      </c>
      <c r="AF57" s="324">
        <f t="shared" si="4"/>
        <v>621891.23</v>
      </c>
    </row>
    <row r="58" spans="1:32">
      <c r="A58" s="16">
        <v>50</v>
      </c>
      <c r="C58" s="3" t="s">
        <v>1367</v>
      </c>
      <c r="D58" s="3" t="str">
        <f t="shared" si="5"/>
        <v>00048</v>
      </c>
      <c r="E58" s="324">
        <v>248393.9</v>
      </c>
      <c r="F58" s="324">
        <v>0</v>
      </c>
      <c r="G58" s="324">
        <v>248393.9</v>
      </c>
      <c r="H58" s="324">
        <v>0</v>
      </c>
      <c r="I58" s="324">
        <v>248393.9</v>
      </c>
      <c r="J58" s="324">
        <v>0</v>
      </c>
      <c r="K58" s="324">
        <v>248393.9</v>
      </c>
      <c r="L58" s="324">
        <v>0</v>
      </c>
      <c r="M58" s="324">
        <v>248393.9</v>
      </c>
      <c r="N58" s="324">
        <v>0</v>
      </c>
      <c r="O58" s="324">
        <v>248393.9</v>
      </c>
      <c r="P58" s="324">
        <v>0</v>
      </c>
      <c r="Q58" s="324">
        <v>248393.9</v>
      </c>
      <c r="R58" s="324">
        <v>0</v>
      </c>
      <c r="S58" s="324">
        <v>248393.9</v>
      </c>
      <c r="T58" s="324">
        <v>0</v>
      </c>
      <c r="U58" s="324">
        <v>248393.9</v>
      </c>
      <c r="V58" s="324">
        <v>0</v>
      </c>
      <c r="W58" s="324">
        <v>248393.9</v>
      </c>
      <c r="X58" s="324">
        <v>0</v>
      </c>
      <c r="Y58" s="324">
        <v>248393.9</v>
      </c>
      <c r="Z58" s="324">
        <v>0</v>
      </c>
      <c r="AA58" s="324">
        <v>248393.9</v>
      </c>
      <c r="AB58" s="324">
        <v>0</v>
      </c>
      <c r="AC58" s="324">
        <v>248393.9</v>
      </c>
      <c r="AD58" s="324">
        <v>0</v>
      </c>
      <c r="AE58" s="324">
        <f t="shared" si="4"/>
        <v>248393.89999999994</v>
      </c>
      <c r="AF58" s="324">
        <f t="shared" si="4"/>
        <v>0</v>
      </c>
    </row>
    <row r="59" spans="1:32">
      <c r="A59" s="16">
        <v>51</v>
      </c>
      <c r="C59" s="3" t="s">
        <v>1368</v>
      </c>
      <c r="D59" s="3" t="str">
        <f t="shared" si="5"/>
        <v>00048</v>
      </c>
      <c r="E59" s="324">
        <v>694595.46</v>
      </c>
      <c r="F59" s="324">
        <v>650729.32000000007</v>
      </c>
      <c r="G59" s="324">
        <v>694595.46</v>
      </c>
      <c r="H59" s="324">
        <v>651435.49</v>
      </c>
      <c r="I59" s="324">
        <v>694595.46</v>
      </c>
      <c r="J59" s="324">
        <v>652141.66</v>
      </c>
      <c r="K59" s="324">
        <v>694595.46</v>
      </c>
      <c r="L59" s="324">
        <v>652847.82999999996</v>
      </c>
      <c r="M59" s="324">
        <v>694595.46</v>
      </c>
      <c r="N59" s="324">
        <v>653554</v>
      </c>
      <c r="O59" s="324">
        <v>694595.46</v>
      </c>
      <c r="P59" s="324">
        <v>654260.17000000004</v>
      </c>
      <c r="Q59" s="324">
        <v>694595.46</v>
      </c>
      <c r="R59" s="324">
        <v>654966.34</v>
      </c>
      <c r="S59" s="324">
        <v>694595.46</v>
      </c>
      <c r="T59" s="324">
        <v>655672.51</v>
      </c>
      <c r="U59" s="324">
        <v>694595.46</v>
      </c>
      <c r="V59" s="324">
        <v>656378.68000000005</v>
      </c>
      <c r="W59" s="324">
        <v>696354.23</v>
      </c>
      <c r="X59" s="324">
        <v>657084.85</v>
      </c>
      <c r="Y59" s="324">
        <v>696354.23</v>
      </c>
      <c r="Z59" s="324">
        <v>657792.81000000006</v>
      </c>
      <c r="AA59" s="324">
        <v>696354.23</v>
      </c>
      <c r="AB59" s="324">
        <v>658500.77</v>
      </c>
      <c r="AC59" s="324">
        <v>696354.23</v>
      </c>
      <c r="AD59" s="324">
        <v>659208.73</v>
      </c>
      <c r="AE59" s="324">
        <f t="shared" si="4"/>
        <v>695108.43458333344</v>
      </c>
      <c r="AF59" s="324">
        <f t="shared" si="4"/>
        <v>654967.01124999998</v>
      </c>
    </row>
    <row r="60" spans="1:32">
      <c r="A60" s="16">
        <v>52</v>
      </c>
      <c r="C60" s="3" t="s">
        <v>1369</v>
      </c>
      <c r="D60" s="3" t="str">
        <f t="shared" si="5"/>
        <v>00048</v>
      </c>
      <c r="E60" s="324">
        <v>116215505.77</v>
      </c>
      <c r="F60" s="324">
        <v>32094891.120000001</v>
      </c>
      <c r="G60" s="324">
        <v>116259430.98999999</v>
      </c>
      <c r="H60" s="324">
        <v>32222265.420000002</v>
      </c>
      <c r="I60" s="324">
        <v>116277062.5</v>
      </c>
      <c r="J60" s="324">
        <v>32333674.149999999</v>
      </c>
      <c r="K60" s="324">
        <v>116554207.98</v>
      </c>
      <c r="L60" s="324">
        <v>32396381.260000002</v>
      </c>
      <c r="M60" s="324">
        <v>116665372.44</v>
      </c>
      <c r="N60" s="324">
        <v>32517791.899999999</v>
      </c>
      <c r="O60" s="324">
        <v>116702608.93000001</v>
      </c>
      <c r="P60" s="324">
        <v>32638396.640000001</v>
      </c>
      <c r="Q60" s="324">
        <v>116465551.87</v>
      </c>
      <c r="R60" s="324">
        <v>32732611.809999999</v>
      </c>
      <c r="S60" s="324">
        <v>118516927.93000001</v>
      </c>
      <c r="T60" s="324">
        <v>32828802.34</v>
      </c>
      <c r="U60" s="324">
        <v>124516793.95</v>
      </c>
      <c r="V60" s="324">
        <v>32952257.469999999</v>
      </c>
      <c r="W60" s="324">
        <v>124078296.61</v>
      </c>
      <c r="X60" s="324">
        <v>33080472.940000001</v>
      </c>
      <c r="Y60" s="324">
        <v>126451082.04000001</v>
      </c>
      <c r="Z60" s="324">
        <v>33178731.600000001</v>
      </c>
      <c r="AA60" s="324">
        <v>126324857.81</v>
      </c>
      <c r="AB60" s="324">
        <v>33300964.210000001</v>
      </c>
      <c r="AC60" s="324">
        <v>126326841.52</v>
      </c>
      <c r="AD60" s="324">
        <v>33409444.109999999</v>
      </c>
      <c r="AE60" s="324">
        <f t="shared" si="4"/>
        <v>120006947.22458334</v>
      </c>
      <c r="AF60" s="324">
        <f t="shared" si="4"/>
        <v>32744543.112916667</v>
      </c>
    </row>
    <row r="61" spans="1:32">
      <c r="A61" s="16">
        <v>53</v>
      </c>
      <c r="C61" s="3" t="s">
        <v>1370</v>
      </c>
      <c r="D61" s="3" t="str">
        <f t="shared" si="5"/>
        <v>00048</v>
      </c>
      <c r="E61" s="324">
        <v>92694639.489999995</v>
      </c>
      <c r="F61" s="324">
        <v>23090891.559999999</v>
      </c>
      <c r="G61" s="324">
        <v>93505603.920000002</v>
      </c>
      <c r="H61" s="324">
        <v>25316342.140000001</v>
      </c>
      <c r="I61" s="324">
        <v>93924843.650000006</v>
      </c>
      <c r="J61" s="324">
        <v>25638157.260000002</v>
      </c>
      <c r="K61" s="324">
        <v>94583057.189999998</v>
      </c>
      <c r="L61" s="324">
        <v>25948415.870000001</v>
      </c>
      <c r="M61" s="324">
        <v>94966403.109999999</v>
      </c>
      <c r="N61" s="324">
        <v>26273333.899999999</v>
      </c>
      <c r="O61" s="324">
        <v>95322795.450000003</v>
      </c>
      <c r="P61" s="324">
        <v>26598699.530000001</v>
      </c>
      <c r="Q61" s="324">
        <v>95672199.230000004</v>
      </c>
      <c r="R61" s="324">
        <v>26918136.309999999</v>
      </c>
      <c r="S61" s="324">
        <v>95834826.640000001</v>
      </c>
      <c r="T61" s="324">
        <v>27245880.219999999</v>
      </c>
      <c r="U61" s="324">
        <v>98464943.840000004</v>
      </c>
      <c r="V61" s="324">
        <v>27557739.870000001</v>
      </c>
      <c r="W61" s="324">
        <v>100022193.33</v>
      </c>
      <c r="X61" s="324">
        <v>27895510.469999999</v>
      </c>
      <c r="Y61" s="324">
        <v>101207971.86</v>
      </c>
      <c r="Z61" s="324">
        <v>28236406.899999999</v>
      </c>
      <c r="AA61" s="324">
        <v>101647106.15000001</v>
      </c>
      <c r="AB61" s="324">
        <v>28577764.199999999</v>
      </c>
      <c r="AC61" s="324">
        <v>104034895.53</v>
      </c>
      <c r="AD61" s="324">
        <v>28925627.489999998</v>
      </c>
      <c r="AE61" s="324">
        <f t="shared" si="4"/>
        <v>96959725.99000001</v>
      </c>
      <c r="AF61" s="324">
        <f t="shared" si="4"/>
        <v>26851220.516249999</v>
      </c>
    </row>
    <row r="62" spans="1:32">
      <c r="A62" s="16">
        <v>54</v>
      </c>
      <c r="C62" s="3" t="s">
        <v>1371</v>
      </c>
      <c r="D62" s="3" t="str">
        <f t="shared" si="5"/>
        <v>00048</v>
      </c>
      <c r="E62" s="324">
        <v>104619049.14</v>
      </c>
      <c r="F62" s="324">
        <v>77976433.870000005</v>
      </c>
      <c r="G62" s="324">
        <v>104881883.69</v>
      </c>
      <c r="H62" s="324">
        <v>78141018.370000005</v>
      </c>
      <c r="I62" s="324">
        <v>104901019.84999999</v>
      </c>
      <c r="J62" s="324">
        <v>78311095.030000001</v>
      </c>
      <c r="K62" s="324">
        <v>105286077.40000001</v>
      </c>
      <c r="L62" s="324">
        <v>78288688.239999995</v>
      </c>
      <c r="M62" s="324">
        <v>105312542.72</v>
      </c>
      <c r="N62" s="324">
        <v>78478882.959999993</v>
      </c>
      <c r="O62" s="324">
        <v>105514592.22</v>
      </c>
      <c r="P62" s="324">
        <v>78646841.200000003</v>
      </c>
      <c r="Q62" s="324">
        <v>106209913.69</v>
      </c>
      <c r="R62" s="324">
        <v>78604607.079999998</v>
      </c>
      <c r="S62" s="324">
        <v>106513976.93000001</v>
      </c>
      <c r="T62" s="324">
        <v>78786803.459999993</v>
      </c>
      <c r="U62" s="324">
        <v>106817882.7</v>
      </c>
      <c r="V62" s="324">
        <v>78940495.859999999</v>
      </c>
      <c r="W62" s="324">
        <v>108232058.02</v>
      </c>
      <c r="X62" s="324">
        <v>79115075.980000004</v>
      </c>
      <c r="Y62" s="324">
        <v>109521330.18000001</v>
      </c>
      <c r="Z62" s="324">
        <v>79301282.829999998</v>
      </c>
      <c r="AA62" s="324">
        <v>109710368.93000001</v>
      </c>
      <c r="AB62" s="324">
        <v>79470161.739999995</v>
      </c>
      <c r="AC62" s="324">
        <v>111111541.59</v>
      </c>
      <c r="AD62" s="324">
        <v>79550518.760000005</v>
      </c>
      <c r="AE62" s="324">
        <f t="shared" si="4"/>
        <v>106730578.47458334</v>
      </c>
      <c r="AF62" s="324">
        <f t="shared" si="4"/>
        <v>78737369.088750005</v>
      </c>
    </row>
    <row r="63" spans="1:32">
      <c r="A63" s="16">
        <v>55</v>
      </c>
      <c r="C63" s="3" t="s">
        <v>1372</v>
      </c>
      <c r="D63" s="3" t="str">
        <f t="shared" si="5"/>
        <v>00048</v>
      </c>
      <c r="E63" s="324">
        <v>2097766.77</v>
      </c>
      <c r="F63" s="324">
        <v>1351826.1</v>
      </c>
      <c r="G63" s="324">
        <v>2097766.77</v>
      </c>
      <c r="H63" s="324">
        <v>1354937.79</v>
      </c>
      <c r="I63" s="324">
        <v>2097766.77</v>
      </c>
      <c r="J63" s="324">
        <v>1358049.48</v>
      </c>
      <c r="K63" s="324">
        <v>2097766.77</v>
      </c>
      <c r="L63" s="324">
        <v>1361161.17</v>
      </c>
      <c r="M63" s="324">
        <v>2097766.77</v>
      </c>
      <c r="N63" s="324">
        <v>1364272.8599999999</v>
      </c>
      <c r="O63" s="324">
        <v>2097766.77</v>
      </c>
      <c r="P63" s="324">
        <v>1367384.55</v>
      </c>
      <c r="Q63" s="324">
        <v>2097766.77</v>
      </c>
      <c r="R63" s="324">
        <v>1370496.24</v>
      </c>
      <c r="S63" s="324">
        <v>2097766.77</v>
      </c>
      <c r="T63" s="324">
        <v>1373607.93</v>
      </c>
      <c r="U63" s="324">
        <v>2097766.77</v>
      </c>
      <c r="V63" s="324">
        <v>1376719.62</v>
      </c>
      <c r="W63" s="324">
        <v>2097766.77</v>
      </c>
      <c r="X63" s="324">
        <v>1379831.31</v>
      </c>
      <c r="Y63" s="324">
        <v>2097766.77</v>
      </c>
      <c r="Z63" s="324">
        <v>1382943</v>
      </c>
      <c r="AA63" s="324">
        <v>2097766.77</v>
      </c>
      <c r="AB63" s="324">
        <v>1386054.69</v>
      </c>
      <c r="AC63" s="324">
        <v>2097766.77</v>
      </c>
      <c r="AD63" s="324">
        <v>1389166.38</v>
      </c>
      <c r="AE63" s="324">
        <f t="shared" si="4"/>
        <v>2097766.77</v>
      </c>
      <c r="AF63" s="324">
        <f t="shared" si="4"/>
        <v>1370496.24</v>
      </c>
    </row>
    <row r="64" spans="1:32">
      <c r="A64" s="16">
        <v>56</v>
      </c>
      <c r="C64" s="3" t="s">
        <v>1373</v>
      </c>
      <c r="D64" s="3" t="str">
        <f t="shared" si="5"/>
        <v>00048</v>
      </c>
      <c r="E64" s="324">
        <v>17272773.109999999</v>
      </c>
      <c r="F64" s="324">
        <v>5498340.7800000003</v>
      </c>
      <c r="G64" s="324">
        <v>17266225.050000001</v>
      </c>
      <c r="H64" s="324">
        <v>5498798.8300000001</v>
      </c>
      <c r="I64" s="324">
        <v>17285504.41</v>
      </c>
      <c r="J64" s="324">
        <v>5526293.1600000001</v>
      </c>
      <c r="K64" s="324">
        <v>17593191.02</v>
      </c>
      <c r="L64" s="324">
        <v>5528884.4400000004</v>
      </c>
      <c r="M64" s="324">
        <v>19002153.670000002</v>
      </c>
      <c r="N64" s="324">
        <v>5550117.21</v>
      </c>
      <c r="O64" s="324">
        <v>18627223.870000001</v>
      </c>
      <c r="P64" s="324">
        <v>5600586.04</v>
      </c>
      <c r="Q64" s="324">
        <v>18642629.920000002</v>
      </c>
      <c r="R64" s="324">
        <v>5608774.54</v>
      </c>
      <c r="S64" s="324">
        <v>18649072.68</v>
      </c>
      <c r="T64" s="324">
        <v>5587676.0600000005</v>
      </c>
      <c r="U64" s="324">
        <v>18939081.23</v>
      </c>
      <c r="V64" s="324">
        <v>5608120.0999999996</v>
      </c>
      <c r="W64" s="324">
        <v>19089181.18</v>
      </c>
      <c r="X64" s="324">
        <v>5633017.4299999997</v>
      </c>
      <c r="Y64" s="324">
        <v>19094039.09</v>
      </c>
      <c r="Z64" s="324">
        <v>5646871.7699999996</v>
      </c>
      <c r="AA64" s="324">
        <v>19160722.449999999</v>
      </c>
      <c r="AB64" s="324">
        <v>5668925.6799999997</v>
      </c>
      <c r="AC64" s="324">
        <v>19408480.73</v>
      </c>
      <c r="AD64" s="324">
        <v>5699582.8399999999</v>
      </c>
      <c r="AE64" s="324">
        <f t="shared" si="4"/>
        <v>18474137.624166667</v>
      </c>
      <c r="AF64" s="324">
        <f t="shared" si="4"/>
        <v>5588085.5891666664</v>
      </c>
    </row>
    <row r="65" spans="1:32">
      <c r="A65" s="16">
        <v>57</v>
      </c>
      <c r="C65" s="3" t="s">
        <v>1374</v>
      </c>
      <c r="D65" s="3" t="str">
        <f t="shared" si="5"/>
        <v>00048</v>
      </c>
      <c r="E65" s="324">
        <v>96653910.25</v>
      </c>
      <c r="F65" s="324">
        <v>35585124.18</v>
      </c>
      <c r="G65" s="324">
        <v>97100135.989999995</v>
      </c>
      <c r="H65" s="324">
        <v>37759252.689999998</v>
      </c>
      <c r="I65" s="324">
        <v>97678453.129999995</v>
      </c>
      <c r="J65" s="324">
        <v>38068092.109999999</v>
      </c>
      <c r="K65" s="324">
        <v>98245523.709999993</v>
      </c>
      <c r="L65" s="324">
        <v>38332157.579999998</v>
      </c>
      <c r="M65" s="324">
        <v>98572544.659999996</v>
      </c>
      <c r="N65" s="324">
        <v>38643447.859999999</v>
      </c>
      <c r="O65" s="324">
        <v>99114618.930000007</v>
      </c>
      <c r="P65" s="324">
        <v>38954957.719999999</v>
      </c>
      <c r="Q65" s="324">
        <v>99721922.590000004</v>
      </c>
      <c r="R65" s="324">
        <v>39261725.060000002</v>
      </c>
      <c r="S65" s="324">
        <v>100039472.84999999</v>
      </c>
      <c r="T65" s="324">
        <v>39572790.329999998</v>
      </c>
      <c r="U65" s="324">
        <v>100674248.29000001</v>
      </c>
      <c r="V65" s="324">
        <v>39876481.789999999</v>
      </c>
      <c r="W65" s="324">
        <v>101124838.45</v>
      </c>
      <c r="X65" s="324">
        <v>40196912.469999999</v>
      </c>
      <c r="Y65" s="324">
        <v>101601738.56</v>
      </c>
      <c r="Z65" s="324">
        <v>40518400.5</v>
      </c>
      <c r="AA65" s="324">
        <v>102045253.23999999</v>
      </c>
      <c r="AB65" s="324">
        <v>40834111.810000002</v>
      </c>
      <c r="AC65" s="324">
        <v>103118408.27</v>
      </c>
      <c r="AD65" s="324">
        <v>41126803.579999998</v>
      </c>
      <c r="AE65" s="324">
        <f t="shared" si="4"/>
        <v>99650409.138333336</v>
      </c>
      <c r="AF65" s="324">
        <f t="shared" si="4"/>
        <v>39197857.81666667</v>
      </c>
    </row>
    <row r="66" spans="1:32">
      <c r="A66" s="16">
        <v>58</v>
      </c>
      <c r="C66" s="3" t="s">
        <v>1375</v>
      </c>
      <c r="D66" s="3" t="str">
        <f t="shared" si="5"/>
        <v>00048</v>
      </c>
      <c r="E66" s="324">
        <v>62682144.079999998</v>
      </c>
      <c r="F66" s="324">
        <v>90197398.549999997</v>
      </c>
      <c r="G66" s="324">
        <v>62676251.93</v>
      </c>
      <c r="H66" s="324">
        <v>90308243.879999995</v>
      </c>
      <c r="I66" s="324">
        <v>62671819.130000003</v>
      </c>
      <c r="J66" s="324">
        <v>90424601.980000004</v>
      </c>
      <c r="K66" s="324">
        <v>62631056.32</v>
      </c>
      <c r="L66" s="324">
        <v>90416027.969999999</v>
      </c>
      <c r="M66" s="324">
        <v>62635881.340000004</v>
      </c>
      <c r="N66" s="324">
        <v>90550565.489999995</v>
      </c>
      <c r="O66" s="324">
        <v>62655086.25</v>
      </c>
      <c r="P66" s="324">
        <v>90682565.650000006</v>
      </c>
      <c r="Q66" s="324">
        <v>62601366.740000002</v>
      </c>
      <c r="R66" s="324">
        <v>90751438.930000007</v>
      </c>
      <c r="S66" s="324">
        <v>62593850.630000003</v>
      </c>
      <c r="T66" s="324">
        <v>90867785.560000002</v>
      </c>
      <c r="U66" s="324">
        <v>62579065.420000002</v>
      </c>
      <c r="V66" s="324">
        <v>90958949.069999993</v>
      </c>
      <c r="W66" s="324">
        <v>62517414.43</v>
      </c>
      <c r="X66" s="324">
        <v>90893055.010000005</v>
      </c>
      <c r="Y66" s="324">
        <v>62498182.07</v>
      </c>
      <c r="Z66" s="324">
        <v>91001452.140000001</v>
      </c>
      <c r="AA66" s="324">
        <v>62511307.030000001</v>
      </c>
      <c r="AB66" s="324">
        <v>91089817.930000007</v>
      </c>
      <c r="AC66" s="324">
        <v>62481619.82</v>
      </c>
      <c r="AD66" s="324">
        <v>91189844.709999993</v>
      </c>
      <c r="AE66" s="324">
        <f t="shared" si="4"/>
        <v>62596096.936666675</v>
      </c>
      <c r="AF66" s="324">
        <f t="shared" si="4"/>
        <v>90719843.769999981</v>
      </c>
    </row>
    <row r="67" spans="1:32">
      <c r="A67" s="16">
        <v>59</v>
      </c>
      <c r="C67" s="3" t="s">
        <v>1376</v>
      </c>
      <c r="D67" s="3" t="str">
        <f t="shared" si="5"/>
        <v>00048</v>
      </c>
      <c r="E67" s="324">
        <v>0</v>
      </c>
      <c r="F67" s="324">
        <v>0.01</v>
      </c>
      <c r="G67" s="324">
        <v>0</v>
      </c>
      <c r="H67" s="324">
        <v>0</v>
      </c>
      <c r="I67" s="324">
        <v>0</v>
      </c>
      <c r="J67" s="324">
        <v>0</v>
      </c>
      <c r="K67" s="324">
        <v>0</v>
      </c>
      <c r="L67" s="324">
        <v>0</v>
      </c>
      <c r="M67" s="324">
        <v>84.22</v>
      </c>
      <c r="N67" s="324">
        <v>0</v>
      </c>
      <c r="O67" s="324">
        <v>266.74</v>
      </c>
      <c r="P67" s="324">
        <v>0</v>
      </c>
      <c r="Q67" s="324">
        <v>8.2900000000000009</v>
      </c>
      <c r="R67" s="324">
        <v>0</v>
      </c>
      <c r="S67" s="324">
        <v>8.2900000000000009</v>
      </c>
      <c r="T67" s="324">
        <v>0</v>
      </c>
      <c r="U67" s="324">
        <v>8.2900000000000009</v>
      </c>
      <c r="V67" s="324">
        <v>0</v>
      </c>
      <c r="W67" s="324">
        <v>0</v>
      </c>
      <c r="X67" s="324">
        <v>0</v>
      </c>
      <c r="Y67" s="324">
        <v>0</v>
      </c>
      <c r="Z67" s="324">
        <v>0</v>
      </c>
      <c r="AA67" s="324">
        <v>0</v>
      </c>
      <c r="AB67" s="324">
        <v>0</v>
      </c>
      <c r="AC67" s="324">
        <v>0</v>
      </c>
      <c r="AD67" s="324">
        <v>0</v>
      </c>
      <c r="AE67" s="324">
        <f t="shared" si="4"/>
        <v>31.319166666666675</v>
      </c>
      <c r="AF67" s="324">
        <f t="shared" si="4"/>
        <v>4.1666666666666669E-4</v>
      </c>
    </row>
    <row r="68" spans="1:32">
      <c r="A68" s="16">
        <v>60</v>
      </c>
      <c r="C68" s="3" t="s">
        <v>1377</v>
      </c>
      <c r="D68" s="3" t="str">
        <f t="shared" si="5"/>
        <v>00048</v>
      </c>
      <c r="E68" s="324">
        <v>22396766.760000002</v>
      </c>
      <c r="F68" s="324">
        <v>10064163.189999999</v>
      </c>
      <c r="G68" s="324">
        <v>22422726.420000002</v>
      </c>
      <c r="H68" s="324">
        <v>10089605.369999999</v>
      </c>
      <c r="I68" s="324">
        <v>22477744.91</v>
      </c>
      <c r="J68" s="324">
        <v>10123556.560000001</v>
      </c>
      <c r="K68" s="324">
        <v>22505631.300000001</v>
      </c>
      <c r="L68" s="324">
        <v>10156190.449999999</v>
      </c>
      <c r="M68" s="324">
        <v>22545845.949999999</v>
      </c>
      <c r="N68" s="324">
        <v>10188689.130000001</v>
      </c>
      <c r="O68" s="324">
        <v>22563095.640000001</v>
      </c>
      <c r="P68" s="324">
        <v>10216471.189999999</v>
      </c>
      <c r="Q68" s="324">
        <v>22573355.190000001</v>
      </c>
      <c r="R68" s="324">
        <v>10242765.01</v>
      </c>
      <c r="S68" s="324">
        <v>22601346.260000002</v>
      </c>
      <c r="T68" s="324">
        <v>10271850.640000001</v>
      </c>
      <c r="U68" s="324">
        <v>22639692.629999999</v>
      </c>
      <c r="V68" s="324">
        <v>10303384.59</v>
      </c>
      <c r="W68" s="324">
        <v>22684900.82</v>
      </c>
      <c r="X68" s="324">
        <v>10337027.880000001</v>
      </c>
      <c r="Y68" s="324">
        <v>22735612.050000001</v>
      </c>
      <c r="Z68" s="324">
        <v>10371238.060000001</v>
      </c>
      <c r="AA68" s="324">
        <v>22771682.199999999</v>
      </c>
      <c r="AB68" s="324">
        <v>10392819.869999999</v>
      </c>
      <c r="AC68" s="324">
        <v>22894603.239999998</v>
      </c>
      <c r="AD68" s="324">
        <v>10424710.199999999</v>
      </c>
      <c r="AE68" s="324">
        <f t="shared" si="4"/>
        <v>22597276.530833334</v>
      </c>
      <c r="AF68" s="324">
        <f t="shared" si="4"/>
        <v>10244836.287083333</v>
      </c>
    </row>
    <row r="69" spans="1:32">
      <c r="A69" s="16">
        <v>61</v>
      </c>
      <c r="C69" s="3" t="s">
        <v>1378</v>
      </c>
      <c r="D69" s="3" t="str">
        <f t="shared" si="5"/>
        <v>00048</v>
      </c>
      <c r="E69" s="324">
        <v>7893079.4900000002</v>
      </c>
      <c r="F69" s="324">
        <v>3461142.49</v>
      </c>
      <c r="G69" s="324">
        <v>7898819.6699999999</v>
      </c>
      <c r="H69" s="324">
        <v>3475341.77</v>
      </c>
      <c r="I69" s="324">
        <v>7906988.7000000002</v>
      </c>
      <c r="J69" s="324">
        <v>3489691.29</v>
      </c>
      <c r="K69" s="324">
        <v>7906423.9800000004</v>
      </c>
      <c r="L69" s="324">
        <v>3501688.89</v>
      </c>
      <c r="M69" s="324">
        <v>7952697.8499999996</v>
      </c>
      <c r="N69" s="324">
        <v>3516639.6</v>
      </c>
      <c r="O69" s="324">
        <v>7955859.4000000004</v>
      </c>
      <c r="P69" s="324">
        <v>3531263.85</v>
      </c>
      <c r="Q69" s="324">
        <v>7970526.0099999998</v>
      </c>
      <c r="R69" s="324">
        <v>3546255.4</v>
      </c>
      <c r="S69" s="324">
        <v>7983826.5</v>
      </c>
      <c r="T69" s="324">
        <v>3564945.13</v>
      </c>
      <c r="U69" s="324">
        <v>7993577.25</v>
      </c>
      <c r="V69" s="324">
        <v>3563768.7199999997</v>
      </c>
      <c r="W69" s="324">
        <v>8053174.6200000001</v>
      </c>
      <c r="X69" s="324">
        <v>3570588.37</v>
      </c>
      <c r="Y69" s="324">
        <v>8107872.7300000004</v>
      </c>
      <c r="Z69" s="324">
        <v>3585218.3</v>
      </c>
      <c r="AA69" s="324">
        <v>8155184.9199999999</v>
      </c>
      <c r="AB69" s="324">
        <v>3608551.79</v>
      </c>
      <c r="AC69" s="324">
        <v>8205835.1900000004</v>
      </c>
      <c r="AD69" s="324">
        <v>3618348.63</v>
      </c>
      <c r="AE69" s="324">
        <f t="shared" si="4"/>
        <v>7994534.0808333345</v>
      </c>
      <c r="AF69" s="324">
        <f t="shared" si="4"/>
        <v>3541141.5558333336</v>
      </c>
    </row>
    <row r="70" spans="1:32">
      <c r="A70" s="16">
        <v>62</v>
      </c>
      <c r="C70" s="3" t="s">
        <v>1379</v>
      </c>
      <c r="D70" s="3" t="str">
        <f t="shared" si="5"/>
        <v>00048</v>
      </c>
      <c r="E70" s="324">
        <v>0</v>
      </c>
      <c r="F70" s="324">
        <v>-305.76</v>
      </c>
      <c r="G70" s="324">
        <v>0</v>
      </c>
      <c r="H70" s="324">
        <v>-305.76</v>
      </c>
      <c r="I70" s="324">
        <v>0</v>
      </c>
      <c r="J70" s="324">
        <v>-305.76</v>
      </c>
      <c r="K70" s="324">
        <v>0</v>
      </c>
      <c r="L70" s="324">
        <v>-305.76</v>
      </c>
      <c r="M70" s="324">
        <v>0</v>
      </c>
      <c r="N70" s="324">
        <v>-305.76</v>
      </c>
      <c r="O70" s="324">
        <v>0</v>
      </c>
      <c r="P70" s="324">
        <v>-305.76</v>
      </c>
      <c r="Q70" s="324">
        <v>0</v>
      </c>
      <c r="R70" s="324">
        <v>-305.76</v>
      </c>
      <c r="S70" s="324">
        <v>0</v>
      </c>
      <c r="T70" s="324">
        <v>-305.76</v>
      </c>
      <c r="U70" s="324">
        <v>0</v>
      </c>
      <c r="V70" s="324">
        <v>-305.76</v>
      </c>
      <c r="W70" s="324">
        <v>0</v>
      </c>
      <c r="X70" s="324">
        <v>-305.76</v>
      </c>
      <c r="Y70" s="324">
        <v>0</v>
      </c>
      <c r="Z70" s="324">
        <v>-305.76</v>
      </c>
      <c r="AA70" s="324">
        <v>0</v>
      </c>
      <c r="AB70" s="324">
        <v>-305.76</v>
      </c>
      <c r="AC70" s="324">
        <v>0</v>
      </c>
      <c r="AD70" s="324">
        <v>-305.76</v>
      </c>
      <c r="AE70" s="324">
        <f t="shared" si="4"/>
        <v>0</v>
      </c>
      <c r="AF70" s="324">
        <f t="shared" si="4"/>
        <v>-305.76000000000005</v>
      </c>
    </row>
    <row r="71" spans="1:32">
      <c r="A71" s="16">
        <v>63</v>
      </c>
      <c r="C71" s="3" t="s">
        <v>1380</v>
      </c>
      <c r="D71" s="3" t="str">
        <f t="shared" si="5"/>
        <v>00048</v>
      </c>
      <c r="E71" s="324">
        <v>2020069.02</v>
      </c>
      <c r="F71" s="324">
        <v>0</v>
      </c>
      <c r="G71" s="324">
        <v>2020069.02</v>
      </c>
      <c r="H71" s="324">
        <v>0</v>
      </c>
      <c r="I71" s="324">
        <v>2020069.02</v>
      </c>
      <c r="J71" s="324">
        <v>0</v>
      </c>
      <c r="K71" s="324">
        <v>2020069.02</v>
      </c>
      <c r="L71" s="324">
        <v>0</v>
      </c>
      <c r="M71" s="324">
        <v>2020069.02</v>
      </c>
      <c r="N71" s="324">
        <v>0</v>
      </c>
      <c r="O71" s="324">
        <v>2020069.02</v>
      </c>
      <c r="P71" s="324">
        <v>0</v>
      </c>
      <c r="Q71" s="324">
        <v>2020069.02</v>
      </c>
      <c r="R71" s="324">
        <v>0</v>
      </c>
      <c r="S71" s="324">
        <v>2020069.02</v>
      </c>
      <c r="T71" s="324">
        <v>0</v>
      </c>
      <c r="U71" s="324">
        <v>2020069.02</v>
      </c>
      <c r="V71" s="324">
        <v>0</v>
      </c>
      <c r="W71" s="324">
        <v>2020069.02</v>
      </c>
      <c r="X71" s="324">
        <v>0</v>
      </c>
      <c r="Y71" s="324">
        <v>2020069.02</v>
      </c>
      <c r="Z71" s="324">
        <v>0</v>
      </c>
      <c r="AA71" s="324">
        <v>2020069.02</v>
      </c>
      <c r="AB71" s="324">
        <v>0</v>
      </c>
      <c r="AC71" s="324">
        <v>2020069.02</v>
      </c>
      <c r="AD71" s="324">
        <v>0</v>
      </c>
      <c r="AE71" s="324">
        <f t="shared" si="4"/>
        <v>2020069.0199999998</v>
      </c>
      <c r="AF71" s="324">
        <f t="shared" si="4"/>
        <v>0</v>
      </c>
    </row>
    <row r="72" spans="1:32">
      <c r="A72" s="16">
        <v>64</v>
      </c>
      <c r="C72" s="3" t="s">
        <v>1381</v>
      </c>
      <c r="D72" s="3" t="str">
        <f t="shared" si="5"/>
        <v>00048</v>
      </c>
      <c r="E72" s="324">
        <v>0</v>
      </c>
      <c r="F72" s="324">
        <v>4703.88</v>
      </c>
      <c r="G72" s="324">
        <v>0</v>
      </c>
      <c r="H72" s="324">
        <v>4703.88</v>
      </c>
      <c r="I72" s="324">
        <v>0</v>
      </c>
      <c r="J72" s="324">
        <v>4703.88</v>
      </c>
      <c r="K72" s="324">
        <v>0</v>
      </c>
      <c r="L72" s="324">
        <v>4703.88</v>
      </c>
      <c r="M72" s="324">
        <v>0</v>
      </c>
      <c r="N72" s="324">
        <v>4703.88</v>
      </c>
      <c r="O72" s="324">
        <v>0</v>
      </c>
      <c r="P72" s="324">
        <v>4703.88</v>
      </c>
      <c r="Q72" s="324">
        <v>7933.28</v>
      </c>
      <c r="R72" s="324">
        <v>4703.88</v>
      </c>
      <c r="S72" s="324">
        <v>7933.28</v>
      </c>
      <c r="T72" s="324">
        <v>4703.88</v>
      </c>
      <c r="U72" s="324">
        <v>7933.28</v>
      </c>
      <c r="V72" s="324">
        <v>4703.88</v>
      </c>
      <c r="W72" s="324">
        <v>7933.28</v>
      </c>
      <c r="X72" s="324">
        <v>4703.88</v>
      </c>
      <c r="Y72" s="324">
        <v>7933.28</v>
      </c>
      <c r="Z72" s="324">
        <v>4703.88</v>
      </c>
      <c r="AA72" s="324">
        <v>7933.28</v>
      </c>
      <c r="AB72" s="324">
        <v>4703.88</v>
      </c>
      <c r="AC72" s="324">
        <v>7933.28</v>
      </c>
      <c r="AD72" s="324">
        <v>4703.88</v>
      </c>
      <c r="AE72" s="324">
        <f t="shared" si="4"/>
        <v>4297.1933333333336</v>
      </c>
      <c r="AF72" s="324">
        <f t="shared" si="4"/>
        <v>4703.8799999999992</v>
      </c>
    </row>
    <row r="73" spans="1:32">
      <c r="A73" s="16">
        <v>65</v>
      </c>
      <c r="C73" s="3" t="s">
        <v>1382</v>
      </c>
      <c r="D73" s="3" t="str">
        <f t="shared" si="5"/>
        <v>00048</v>
      </c>
      <c r="E73" s="324">
        <v>9058502.9499999993</v>
      </c>
      <c r="F73" s="324">
        <v>4768990.34</v>
      </c>
      <c r="G73" s="324">
        <v>9061443.8399999999</v>
      </c>
      <c r="H73" s="324">
        <v>4778350.79</v>
      </c>
      <c r="I73" s="324">
        <v>9088752.9399999995</v>
      </c>
      <c r="J73" s="324">
        <v>4787714.28</v>
      </c>
      <c r="K73" s="324">
        <v>9088752.9399999995</v>
      </c>
      <c r="L73" s="324">
        <v>4797105.99</v>
      </c>
      <c r="M73" s="324">
        <v>9089973.9100000001</v>
      </c>
      <c r="N73" s="324">
        <v>4806497.7</v>
      </c>
      <c r="O73" s="324">
        <v>9089973.9100000001</v>
      </c>
      <c r="P73" s="324">
        <v>4815890.67</v>
      </c>
      <c r="Q73" s="324">
        <v>9089973.9100000001</v>
      </c>
      <c r="R73" s="324">
        <v>4825283.6399999997</v>
      </c>
      <c r="S73" s="324">
        <v>9089973.9100000001</v>
      </c>
      <c r="T73" s="324">
        <v>4834676.6100000003</v>
      </c>
      <c r="U73" s="324">
        <v>9089973.9100000001</v>
      </c>
      <c r="V73" s="324">
        <v>4844069.58</v>
      </c>
      <c r="W73" s="324">
        <v>9089973.9100000001</v>
      </c>
      <c r="X73" s="324">
        <v>4853462.55</v>
      </c>
      <c r="Y73" s="324">
        <v>9114642.0399999991</v>
      </c>
      <c r="Z73" s="324">
        <v>4862855.5199999996</v>
      </c>
      <c r="AA73" s="324">
        <v>9114642.0399999991</v>
      </c>
      <c r="AB73" s="324">
        <v>4872273.9800000004</v>
      </c>
      <c r="AC73" s="324">
        <v>9154112.3399999999</v>
      </c>
      <c r="AD73" s="324">
        <v>4881692.4400000004</v>
      </c>
      <c r="AE73" s="324">
        <f t="shared" si="4"/>
        <v>9092865.4087499958</v>
      </c>
      <c r="AF73" s="324">
        <f t="shared" si="4"/>
        <v>4825293.5583333336</v>
      </c>
    </row>
    <row r="74" spans="1:32">
      <c r="A74" s="16">
        <v>66</v>
      </c>
      <c r="C74" s="3" t="s">
        <v>1383</v>
      </c>
      <c r="D74" s="3" t="str">
        <f t="shared" si="5"/>
        <v>00048</v>
      </c>
      <c r="E74" s="324">
        <v>156603.45000000001</v>
      </c>
      <c r="F74" s="324">
        <v>49359.15</v>
      </c>
      <c r="G74" s="324">
        <v>111436.64</v>
      </c>
      <c r="H74" s="324">
        <v>6459.17</v>
      </c>
      <c r="I74" s="324">
        <v>111436.64</v>
      </c>
      <c r="J74" s="324">
        <v>8072.22</v>
      </c>
      <c r="K74" s="324">
        <v>108088.64</v>
      </c>
      <c r="L74" s="324">
        <v>6337.27</v>
      </c>
      <c r="M74" s="324">
        <v>108088.64</v>
      </c>
      <c r="N74" s="324">
        <v>7901.85</v>
      </c>
      <c r="O74" s="324">
        <v>109957.52</v>
      </c>
      <c r="P74" s="324">
        <v>9466.43</v>
      </c>
      <c r="Q74" s="324">
        <v>98185.52</v>
      </c>
      <c r="R74" s="324">
        <v>-713.93000000000006</v>
      </c>
      <c r="S74" s="324">
        <v>98185.52</v>
      </c>
      <c r="T74" s="324">
        <v>707.31000000000006</v>
      </c>
      <c r="U74" s="324">
        <v>98185.52</v>
      </c>
      <c r="V74" s="324">
        <v>2128.5500000000002</v>
      </c>
      <c r="W74" s="324">
        <v>98185.52</v>
      </c>
      <c r="X74" s="324">
        <v>3549.79</v>
      </c>
      <c r="Y74" s="324">
        <v>98185.52</v>
      </c>
      <c r="Z74" s="324">
        <v>4971.03</v>
      </c>
      <c r="AA74" s="324">
        <v>98185.52</v>
      </c>
      <c r="AB74" s="324">
        <v>6392.27</v>
      </c>
      <c r="AC74" s="324">
        <v>98185.52</v>
      </c>
      <c r="AD74" s="324">
        <v>7813.51</v>
      </c>
      <c r="AE74" s="324">
        <f t="shared" si="4"/>
        <v>105459.64041666668</v>
      </c>
      <c r="AF74" s="324">
        <f t="shared" si="4"/>
        <v>6988.190833333334</v>
      </c>
    </row>
    <row r="75" spans="1:32">
      <c r="A75" s="16">
        <v>67</v>
      </c>
      <c r="C75" s="3" t="s">
        <v>1384</v>
      </c>
      <c r="D75" s="3" t="str">
        <f t="shared" si="5"/>
        <v>00048</v>
      </c>
      <c r="E75" s="324">
        <v>405458.97000000003</v>
      </c>
      <c r="F75" s="324">
        <v>78546.759999999995</v>
      </c>
      <c r="G75" s="324">
        <v>390507.36</v>
      </c>
      <c r="H75" s="324">
        <v>65277.8</v>
      </c>
      <c r="I75" s="324">
        <v>390507.36</v>
      </c>
      <c r="J75" s="324">
        <v>66898.41</v>
      </c>
      <c r="K75" s="324">
        <v>390507.36</v>
      </c>
      <c r="L75" s="324">
        <v>68519.02</v>
      </c>
      <c r="M75" s="324">
        <v>390507.36</v>
      </c>
      <c r="N75" s="324">
        <v>70139.63</v>
      </c>
      <c r="O75" s="324">
        <v>390507.36</v>
      </c>
      <c r="P75" s="324">
        <v>71760.240000000005</v>
      </c>
      <c r="Q75" s="324">
        <v>416985.31</v>
      </c>
      <c r="R75" s="324">
        <v>73078.86</v>
      </c>
      <c r="S75" s="324">
        <v>416985.31</v>
      </c>
      <c r="T75" s="324">
        <v>74809.350000000006</v>
      </c>
      <c r="U75" s="324">
        <v>416985.31</v>
      </c>
      <c r="V75" s="324">
        <v>76539.839999999997</v>
      </c>
      <c r="W75" s="324">
        <v>416985.31</v>
      </c>
      <c r="X75" s="324">
        <v>78270.33</v>
      </c>
      <c r="Y75" s="324">
        <v>416985.31</v>
      </c>
      <c r="Z75" s="324">
        <v>80000.820000000007</v>
      </c>
      <c r="AA75" s="324">
        <v>416985.31</v>
      </c>
      <c r="AB75" s="324">
        <v>81731.31</v>
      </c>
      <c r="AC75" s="324">
        <v>416985.31</v>
      </c>
      <c r="AD75" s="324">
        <v>83461.8</v>
      </c>
      <c r="AE75" s="324">
        <f t="shared" si="4"/>
        <v>405472.56666666665</v>
      </c>
      <c r="AF75" s="324">
        <f t="shared" si="4"/>
        <v>74002.490833333344</v>
      </c>
    </row>
    <row r="76" spans="1:32">
      <c r="A76" s="16">
        <v>68</v>
      </c>
      <c r="C76" s="3" t="s">
        <v>1385</v>
      </c>
      <c r="D76" s="3" t="str">
        <f t="shared" si="5"/>
        <v>00048</v>
      </c>
      <c r="E76" s="324">
        <v>229070.62</v>
      </c>
      <c r="F76" s="324">
        <v>97535.14</v>
      </c>
      <c r="G76" s="324">
        <v>229070.62</v>
      </c>
      <c r="H76" s="324">
        <v>98136.45</v>
      </c>
      <c r="I76" s="324">
        <v>229070.62</v>
      </c>
      <c r="J76" s="324">
        <v>98737.760000000009</v>
      </c>
      <c r="K76" s="324">
        <v>229070.62</v>
      </c>
      <c r="L76" s="324">
        <v>99339.07</v>
      </c>
      <c r="M76" s="324">
        <v>229070.62</v>
      </c>
      <c r="N76" s="324">
        <v>99940.38</v>
      </c>
      <c r="O76" s="324">
        <v>229070.62</v>
      </c>
      <c r="P76" s="324">
        <v>100541.69</v>
      </c>
      <c r="Q76" s="324">
        <v>229070.62</v>
      </c>
      <c r="R76" s="324">
        <v>101143</v>
      </c>
      <c r="S76" s="324">
        <v>229070.62</v>
      </c>
      <c r="T76" s="324">
        <v>101744.31</v>
      </c>
      <c r="U76" s="324">
        <v>229070.62</v>
      </c>
      <c r="V76" s="324">
        <v>102345.62</v>
      </c>
      <c r="W76" s="324">
        <v>213725.31</v>
      </c>
      <c r="X76" s="324">
        <v>87601.62</v>
      </c>
      <c r="Y76" s="324">
        <v>213725.31</v>
      </c>
      <c r="Z76" s="324">
        <v>88162.650000000009</v>
      </c>
      <c r="AA76" s="324">
        <v>213725.31</v>
      </c>
      <c r="AB76" s="324">
        <v>88723.680000000008</v>
      </c>
      <c r="AC76" s="324">
        <v>213725.31</v>
      </c>
      <c r="AD76" s="324">
        <v>89284.71</v>
      </c>
      <c r="AE76" s="324">
        <f t="shared" si="4"/>
        <v>224594.90458333338</v>
      </c>
      <c r="AF76" s="324">
        <f t="shared" si="4"/>
        <v>96652.17958333336</v>
      </c>
    </row>
    <row r="77" spans="1:32">
      <c r="A77" s="16">
        <v>69</v>
      </c>
      <c r="C77" s="3" t="s">
        <v>1386</v>
      </c>
      <c r="D77" s="3" t="str">
        <f t="shared" si="5"/>
        <v>00048</v>
      </c>
      <c r="E77" s="324">
        <v>8760593.6600000001</v>
      </c>
      <c r="F77" s="324">
        <v>3138126.48</v>
      </c>
      <c r="G77" s="324">
        <v>8818649.2400000002</v>
      </c>
      <c r="H77" s="324">
        <v>3183024.52</v>
      </c>
      <c r="I77" s="324">
        <v>8868940.7200000007</v>
      </c>
      <c r="J77" s="324">
        <v>3211362</v>
      </c>
      <c r="K77" s="324">
        <v>8750125.9000000004</v>
      </c>
      <c r="L77" s="324">
        <v>3113550.25</v>
      </c>
      <c r="M77" s="324">
        <v>8805451.2899999991</v>
      </c>
      <c r="N77" s="324">
        <v>3111198.95</v>
      </c>
      <c r="O77" s="324">
        <v>8921776.3699999992</v>
      </c>
      <c r="P77" s="324">
        <v>3166426.89</v>
      </c>
      <c r="Q77" s="324">
        <v>9083479.9000000004</v>
      </c>
      <c r="R77" s="324">
        <v>3212503.31</v>
      </c>
      <c r="S77" s="324">
        <v>9223031.8399999999</v>
      </c>
      <c r="T77" s="324">
        <v>3242782.82</v>
      </c>
      <c r="U77" s="324">
        <v>9494482.4299999997</v>
      </c>
      <c r="V77" s="324">
        <v>3270750.74</v>
      </c>
      <c r="W77" s="324">
        <v>9417208.1799999997</v>
      </c>
      <c r="X77" s="324">
        <v>3263819.7800000003</v>
      </c>
      <c r="Y77" s="324">
        <v>9352511.5899999999</v>
      </c>
      <c r="Z77" s="324">
        <v>3274068.69</v>
      </c>
      <c r="AA77" s="324">
        <v>9460510.1699999999</v>
      </c>
      <c r="AB77" s="324">
        <v>3314102.13</v>
      </c>
      <c r="AC77" s="324">
        <v>9743723.7799999993</v>
      </c>
      <c r="AD77" s="324">
        <v>3362587.25</v>
      </c>
      <c r="AE77" s="324">
        <f t="shared" si="4"/>
        <v>9120693.8625000007</v>
      </c>
      <c r="AF77" s="324">
        <f t="shared" si="4"/>
        <v>3217828.9120833334</v>
      </c>
    </row>
    <row r="78" spans="1:32">
      <c r="A78" s="16">
        <v>70</v>
      </c>
      <c r="C78" s="3" t="s">
        <v>1387</v>
      </c>
      <c r="D78" s="3" t="str">
        <f t="shared" si="5"/>
        <v>00048</v>
      </c>
      <c r="E78" s="324">
        <v>23837.02</v>
      </c>
      <c r="F78" s="324">
        <v>7873.37</v>
      </c>
      <c r="G78" s="324">
        <v>23837.02</v>
      </c>
      <c r="H78" s="324">
        <v>7979.4400000000005</v>
      </c>
      <c r="I78" s="324">
        <v>23837.02</v>
      </c>
      <c r="J78" s="324">
        <v>8085.51</v>
      </c>
      <c r="K78" s="324">
        <v>23837.02</v>
      </c>
      <c r="L78" s="324">
        <v>8191.58</v>
      </c>
      <c r="M78" s="324">
        <v>23837.02</v>
      </c>
      <c r="N78" s="324">
        <v>8297.65</v>
      </c>
      <c r="O78" s="324">
        <v>23837.02</v>
      </c>
      <c r="P78" s="324">
        <v>8403.7199999999993</v>
      </c>
      <c r="Q78" s="324">
        <v>23837.02</v>
      </c>
      <c r="R78" s="324">
        <v>8509.7900000000009</v>
      </c>
      <c r="S78" s="324">
        <v>23837.02</v>
      </c>
      <c r="T78" s="324">
        <v>8615.86</v>
      </c>
      <c r="U78" s="324">
        <v>23837.02</v>
      </c>
      <c r="V78" s="324">
        <v>8721.93</v>
      </c>
      <c r="W78" s="324">
        <v>23837.02</v>
      </c>
      <c r="X78" s="324">
        <v>8828</v>
      </c>
      <c r="Y78" s="324">
        <v>23837.02</v>
      </c>
      <c r="Z78" s="324">
        <v>8934.07</v>
      </c>
      <c r="AA78" s="324">
        <v>23837.02</v>
      </c>
      <c r="AB78" s="324">
        <v>9040.14</v>
      </c>
      <c r="AC78" s="324">
        <v>23837.02</v>
      </c>
      <c r="AD78" s="324">
        <v>9146.2100000000009</v>
      </c>
      <c r="AE78" s="324">
        <f t="shared" si="4"/>
        <v>23837.02</v>
      </c>
      <c r="AF78" s="324">
        <f t="shared" si="4"/>
        <v>8509.7900000000009</v>
      </c>
    </row>
    <row r="79" spans="1:32">
      <c r="A79" s="16">
        <v>71</v>
      </c>
      <c r="C79" s="3" t="s">
        <v>1388</v>
      </c>
      <c r="D79" s="3" t="str">
        <f t="shared" si="5"/>
        <v>00048</v>
      </c>
      <c r="E79" s="324">
        <v>3971799.3200000003</v>
      </c>
      <c r="F79" s="324">
        <v>1312806.96</v>
      </c>
      <c r="G79" s="324">
        <v>3863493.63</v>
      </c>
      <c r="H79" s="324">
        <v>1194522.3</v>
      </c>
      <c r="I79" s="324">
        <v>3878926.6</v>
      </c>
      <c r="J79" s="324">
        <v>1205984</v>
      </c>
      <c r="K79" s="324">
        <v>3849269.2199999997</v>
      </c>
      <c r="L79" s="324">
        <v>1142869.51</v>
      </c>
      <c r="M79" s="324">
        <v>3872066.56</v>
      </c>
      <c r="N79" s="324">
        <v>1154589.01</v>
      </c>
      <c r="O79" s="324">
        <v>3874271.3</v>
      </c>
      <c r="P79" s="324">
        <v>1166076.1400000001</v>
      </c>
      <c r="Q79" s="324">
        <v>3850816.8</v>
      </c>
      <c r="R79" s="324">
        <v>1141452.55</v>
      </c>
      <c r="S79" s="324">
        <v>3849567.26</v>
      </c>
      <c r="T79" s="324">
        <v>1152876.6400000001</v>
      </c>
      <c r="U79" s="324">
        <v>3894827.79</v>
      </c>
      <c r="V79" s="324">
        <v>1164297.02</v>
      </c>
      <c r="W79" s="324">
        <v>3936679.34</v>
      </c>
      <c r="X79" s="324">
        <v>1175851.68</v>
      </c>
      <c r="Y79" s="324">
        <v>4028179.52</v>
      </c>
      <c r="Z79" s="324">
        <v>1187530.5</v>
      </c>
      <c r="AA79" s="324">
        <v>4030331.48</v>
      </c>
      <c r="AB79" s="324">
        <v>1199480.77</v>
      </c>
      <c r="AC79" s="324">
        <v>4107335.77</v>
      </c>
      <c r="AD79" s="324">
        <v>1211437.42</v>
      </c>
      <c r="AE79" s="324">
        <f t="shared" si="4"/>
        <v>3913999.7537500001</v>
      </c>
      <c r="AF79" s="324">
        <f t="shared" si="4"/>
        <v>1178971.0258333331</v>
      </c>
    </row>
    <row r="80" spans="1:32">
      <c r="A80" s="16">
        <v>72</v>
      </c>
      <c r="C80" s="3" t="s">
        <v>1389</v>
      </c>
      <c r="D80" s="3" t="str">
        <f t="shared" si="5"/>
        <v>00048</v>
      </c>
      <c r="E80" s="324">
        <v>127444.74</v>
      </c>
      <c r="F80" s="324">
        <v>113108.3</v>
      </c>
      <c r="G80" s="324">
        <v>127444.74</v>
      </c>
      <c r="H80" s="324">
        <v>113303.72</v>
      </c>
      <c r="I80" s="324">
        <v>127444.74</v>
      </c>
      <c r="J80" s="324">
        <v>113499.14</v>
      </c>
      <c r="K80" s="324">
        <v>127444.74</v>
      </c>
      <c r="L80" s="324">
        <v>113694.56</v>
      </c>
      <c r="M80" s="324">
        <v>127444.74</v>
      </c>
      <c r="N80" s="324">
        <v>113889.98</v>
      </c>
      <c r="O80" s="324">
        <v>127444.74</v>
      </c>
      <c r="P80" s="324">
        <v>114085.40000000001</v>
      </c>
      <c r="Q80" s="324">
        <v>127444.74</v>
      </c>
      <c r="R80" s="324">
        <v>114280.82</v>
      </c>
      <c r="S80" s="324">
        <v>127444.74</v>
      </c>
      <c r="T80" s="324">
        <v>114476.24</v>
      </c>
      <c r="U80" s="324">
        <v>127444.74</v>
      </c>
      <c r="V80" s="324">
        <v>114671.66</v>
      </c>
      <c r="W80" s="324">
        <v>127444.74</v>
      </c>
      <c r="X80" s="324">
        <v>114867.08</v>
      </c>
      <c r="Y80" s="324">
        <v>127444.74</v>
      </c>
      <c r="Z80" s="324">
        <v>115062.5</v>
      </c>
      <c r="AA80" s="324">
        <v>131231.01999999999</v>
      </c>
      <c r="AB80" s="324">
        <v>115257.92</v>
      </c>
      <c r="AC80" s="324">
        <v>131231.01999999999</v>
      </c>
      <c r="AD80" s="324">
        <v>115459.14</v>
      </c>
      <c r="AE80" s="324">
        <f t="shared" si="4"/>
        <v>127918.02500000002</v>
      </c>
      <c r="AF80" s="324">
        <f t="shared" si="4"/>
        <v>114281.06166666665</v>
      </c>
    </row>
    <row r="81" spans="1:32">
      <c r="A81" s="16">
        <v>73</v>
      </c>
      <c r="C81" s="3" t="s">
        <v>1390</v>
      </c>
      <c r="D81" s="3" t="str">
        <f t="shared" si="5"/>
        <v>00048</v>
      </c>
      <c r="E81" s="324">
        <v>29277.34</v>
      </c>
      <c r="F81" s="324">
        <v>17773.5</v>
      </c>
      <c r="G81" s="324">
        <v>29277.34</v>
      </c>
      <c r="H81" s="324">
        <v>17885.73</v>
      </c>
      <c r="I81" s="324">
        <v>29277.34</v>
      </c>
      <c r="J81" s="324">
        <v>17997.96</v>
      </c>
      <c r="K81" s="324">
        <v>29277.34</v>
      </c>
      <c r="L81" s="324">
        <v>18110.189999999999</v>
      </c>
      <c r="M81" s="324">
        <v>29277.34</v>
      </c>
      <c r="N81" s="324">
        <v>18222.420000000002</v>
      </c>
      <c r="O81" s="324">
        <v>29277.34</v>
      </c>
      <c r="P81" s="324">
        <v>18334.650000000001</v>
      </c>
      <c r="Q81" s="324">
        <v>29277.34</v>
      </c>
      <c r="R81" s="324">
        <v>18446.88</v>
      </c>
      <c r="S81" s="324">
        <v>29277.34</v>
      </c>
      <c r="T81" s="324">
        <v>18559.11</v>
      </c>
      <c r="U81" s="324">
        <v>29277.34</v>
      </c>
      <c r="V81" s="324">
        <v>18671.34</v>
      </c>
      <c r="W81" s="324">
        <v>29277.34</v>
      </c>
      <c r="X81" s="324">
        <v>18783.57</v>
      </c>
      <c r="Y81" s="324">
        <v>29277.34</v>
      </c>
      <c r="Z81" s="324">
        <v>18895.8</v>
      </c>
      <c r="AA81" s="324">
        <v>29277.34</v>
      </c>
      <c r="AB81" s="324">
        <v>19008.03</v>
      </c>
      <c r="AC81" s="324">
        <v>29277.34</v>
      </c>
      <c r="AD81" s="324">
        <v>19120.260000000002</v>
      </c>
      <c r="AE81" s="324">
        <f t="shared" si="4"/>
        <v>29277.340000000007</v>
      </c>
      <c r="AF81" s="324">
        <f t="shared" si="4"/>
        <v>18446.88</v>
      </c>
    </row>
    <row r="82" spans="1:32">
      <c r="A82" s="16">
        <v>74</v>
      </c>
      <c r="C82" s="3" t="s">
        <v>1391</v>
      </c>
      <c r="D82" s="3" t="str">
        <f t="shared" si="5"/>
        <v>00048</v>
      </c>
      <c r="E82" s="324">
        <v>2049363.37</v>
      </c>
      <c r="F82" s="324">
        <v>-57559.61</v>
      </c>
      <c r="G82" s="324">
        <v>2046909.69</v>
      </c>
      <c r="H82" s="324">
        <v>-47789.93</v>
      </c>
      <c r="I82" s="324">
        <v>2046909.69</v>
      </c>
      <c r="J82" s="324">
        <v>-38954.1</v>
      </c>
      <c r="K82" s="324">
        <v>2049564.57</v>
      </c>
      <c r="L82" s="324">
        <v>-30118.27</v>
      </c>
      <c r="M82" s="324">
        <v>2171182.4</v>
      </c>
      <c r="N82" s="324">
        <v>-20938.61</v>
      </c>
      <c r="O82" s="324">
        <v>2157237.2999999998</v>
      </c>
      <c r="P82" s="324">
        <v>-21649.010000000002</v>
      </c>
      <c r="Q82" s="324">
        <v>2009336.78</v>
      </c>
      <c r="R82" s="324">
        <v>-12336.94</v>
      </c>
      <c r="S82" s="324">
        <v>2013824.82</v>
      </c>
      <c r="T82" s="324">
        <v>-3663.3</v>
      </c>
      <c r="U82" s="324">
        <v>2013673.54</v>
      </c>
      <c r="V82" s="324">
        <v>-32883.51</v>
      </c>
      <c r="W82" s="324">
        <v>2013673.54</v>
      </c>
      <c r="X82" s="324">
        <v>-24191.16</v>
      </c>
      <c r="Y82" s="324">
        <v>2025302.52</v>
      </c>
      <c r="Z82" s="324">
        <v>-15498.81</v>
      </c>
      <c r="AA82" s="324">
        <v>2050850.76</v>
      </c>
      <c r="AB82" s="324">
        <v>-51808.15</v>
      </c>
      <c r="AC82" s="324">
        <v>2034522.57</v>
      </c>
      <c r="AD82" s="324">
        <v>-169172.19</v>
      </c>
      <c r="AE82" s="324">
        <f t="shared" si="4"/>
        <v>2053367.3816666666</v>
      </c>
      <c r="AF82" s="324">
        <f t="shared" si="4"/>
        <v>-34433.140833333338</v>
      </c>
    </row>
    <row r="83" spans="1:32">
      <c r="A83" s="16">
        <v>75</v>
      </c>
      <c r="C83" s="3" t="s">
        <v>1392</v>
      </c>
      <c r="D83" s="3" t="str">
        <f t="shared" si="5"/>
        <v>00048</v>
      </c>
      <c r="E83" s="324">
        <v>545338.96</v>
      </c>
      <c r="F83" s="324">
        <v>127285.94</v>
      </c>
      <c r="G83" s="324">
        <v>546461.77</v>
      </c>
      <c r="H83" s="324">
        <v>128703.82</v>
      </c>
      <c r="I83" s="324">
        <v>546461.77</v>
      </c>
      <c r="J83" s="324">
        <v>130124.62000000001</v>
      </c>
      <c r="K83" s="324">
        <v>546461.77</v>
      </c>
      <c r="L83" s="324">
        <v>131545.42000000001</v>
      </c>
      <c r="M83" s="324">
        <v>546461.77</v>
      </c>
      <c r="N83" s="324">
        <v>132966.22</v>
      </c>
      <c r="O83" s="324">
        <v>579833.59</v>
      </c>
      <c r="P83" s="324">
        <v>134387.01999999999</v>
      </c>
      <c r="Q83" s="324">
        <v>579833.59</v>
      </c>
      <c r="R83" s="324">
        <v>135894.59</v>
      </c>
      <c r="S83" s="324">
        <v>579833.59</v>
      </c>
      <c r="T83" s="324">
        <v>137402.16</v>
      </c>
      <c r="U83" s="324">
        <v>579833.59</v>
      </c>
      <c r="V83" s="324">
        <v>138909.73000000001</v>
      </c>
      <c r="W83" s="324">
        <v>579833.59</v>
      </c>
      <c r="X83" s="324">
        <v>141167.30000000002</v>
      </c>
      <c r="Y83" s="324">
        <v>579833.59</v>
      </c>
      <c r="Z83" s="324">
        <v>142674.87</v>
      </c>
      <c r="AA83" s="324">
        <v>579833.59</v>
      </c>
      <c r="AB83" s="324">
        <v>144182.44</v>
      </c>
      <c r="AC83" s="324">
        <v>579833.59</v>
      </c>
      <c r="AD83" s="324">
        <v>145690.01</v>
      </c>
      <c r="AE83" s="324">
        <f t="shared" si="4"/>
        <v>567272.37374999991</v>
      </c>
      <c r="AF83" s="324">
        <f t="shared" si="4"/>
        <v>136203.84708333333</v>
      </c>
    </row>
    <row r="84" spans="1:32">
      <c r="A84" s="16">
        <v>76</v>
      </c>
      <c r="C84" s="3" t="s">
        <v>1393</v>
      </c>
      <c r="D84" s="3" t="str">
        <f t="shared" si="5"/>
        <v>00048</v>
      </c>
      <c r="E84" s="324">
        <v>201807.75</v>
      </c>
      <c r="F84" s="324">
        <v>102554</v>
      </c>
      <c r="G84" s="324">
        <v>201807.75</v>
      </c>
      <c r="H84" s="324">
        <v>103320.87</v>
      </c>
      <c r="I84" s="324">
        <v>201807.75</v>
      </c>
      <c r="J84" s="324">
        <v>104087.74</v>
      </c>
      <c r="K84" s="324">
        <v>201807.75</v>
      </c>
      <c r="L84" s="324">
        <v>104854.61</v>
      </c>
      <c r="M84" s="324">
        <v>201807.75</v>
      </c>
      <c r="N84" s="324">
        <v>105621.48</v>
      </c>
      <c r="O84" s="324">
        <v>201807.75</v>
      </c>
      <c r="P84" s="324">
        <v>106388.35</v>
      </c>
      <c r="Q84" s="324">
        <v>194646.76</v>
      </c>
      <c r="R84" s="324">
        <v>99994.23</v>
      </c>
      <c r="S84" s="324">
        <v>194646.76</v>
      </c>
      <c r="T84" s="324">
        <v>100733.89</v>
      </c>
      <c r="U84" s="324">
        <v>194646.76</v>
      </c>
      <c r="V84" s="324">
        <v>101473.55</v>
      </c>
      <c r="W84" s="324">
        <v>194646.76</v>
      </c>
      <c r="X84" s="324">
        <v>102213.21</v>
      </c>
      <c r="Y84" s="324">
        <v>194646.76</v>
      </c>
      <c r="Z84" s="324">
        <v>102952.87</v>
      </c>
      <c r="AA84" s="324">
        <v>194646.76</v>
      </c>
      <c r="AB84" s="324">
        <v>103692.53</v>
      </c>
      <c r="AC84" s="324">
        <v>194646.76</v>
      </c>
      <c r="AD84" s="324">
        <v>104432.19</v>
      </c>
      <c r="AE84" s="324">
        <f t="shared" si="4"/>
        <v>197928.88041666665</v>
      </c>
      <c r="AF84" s="324">
        <f t="shared" si="4"/>
        <v>103235.53541666665</v>
      </c>
    </row>
    <row r="85" spans="1:32">
      <c r="A85" s="16">
        <v>77</v>
      </c>
      <c r="C85" s="3" t="s">
        <v>1394</v>
      </c>
      <c r="D85" s="3" t="str">
        <f t="shared" si="5"/>
        <v>00048</v>
      </c>
      <c r="E85" s="324">
        <v>927395.86</v>
      </c>
      <c r="F85" s="324">
        <v>47660.840000000004</v>
      </c>
      <c r="G85" s="324">
        <v>924527.73</v>
      </c>
      <c r="H85" s="324">
        <v>52034.130000000005</v>
      </c>
      <c r="I85" s="324">
        <v>924527.73</v>
      </c>
      <c r="J85" s="324">
        <v>59253.15</v>
      </c>
      <c r="K85" s="324">
        <v>924527.73</v>
      </c>
      <c r="L85" s="324">
        <v>66472.17</v>
      </c>
      <c r="M85" s="324">
        <v>924527.73</v>
      </c>
      <c r="N85" s="324">
        <v>73691.19</v>
      </c>
      <c r="O85" s="324">
        <v>924527.73</v>
      </c>
      <c r="P85" s="324">
        <v>80910.210000000006</v>
      </c>
      <c r="Q85" s="324">
        <v>924527.73</v>
      </c>
      <c r="R85" s="324">
        <v>88129.23</v>
      </c>
      <c r="S85" s="324">
        <v>924527.73</v>
      </c>
      <c r="T85" s="324">
        <v>95348.25</v>
      </c>
      <c r="U85" s="324">
        <v>924527.73</v>
      </c>
      <c r="V85" s="324">
        <v>102567.27</v>
      </c>
      <c r="W85" s="324">
        <v>927875.3</v>
      </c>
      <c r="X85" s="324">
        <v>109786.29000000001</v>
      </c>
      <c r="Y85" s="324">
        <v>927875.3</v>
      </c>
      <c r="Z85" s="324">
        <v>117031.45</v>
      </c>
      <c r="AA85" s="324">
        <v>934040.91</v>
      </c>
      <c r="AB85" s="324">
        <v>124276.61</v>
      </c>
      <c r="AC85" s="324">
        <v>934040.91</v>
      </c>
      <c r="AD85" s="324">
        <v>131569.91</v>
      </c>
      <c r="AE85" s="324">
        <f t="shared" si="4"/>
        <v>926394.31125000014</v>
      </c>
      <c r="AF85" s="324">
        <f t="shared" si="4"/>
        <v>88259.610416666663</v>
      </c>
    </row>
    <row r="86" spans="1:32">
      <c r="A86" s="16">
        <v>78</v>
      </c>
      <c r="C86" s="3" t="s">
        <v>1395</v>
      </c>
      <c r="D86" s="3" t="str">
        <f t="shared" si="5"/>
        <v>00048</v>
      </c>
      <c r="E86" s="324">
        <v>3110302.22</v>
      </c>
      <c r="F86" s="324">
        <v>2475171.79</v>
      </c>
      <c r="G86" s="324">
        <v>3110302.22</v>
      </c>
      <c r="H86" s="324">
        <v>2475508.7400000002</v>
      </c>
      <c r="I86" s="324">
        <v>3110436.9</v>
      </c>
      <c r="J86" s="324">
        <v>2475845.69</v>
      </c>
      <c r="K86" s="324">
        <v>3111725.53</v>
      </c>
      <c r="L86" s="324">
        <v>2476182.65</v>
      </c>
      <c r="M86" s="324">
        <v>3111725.53</v>
      </c>
      <c r="N86" s="324">
        <v>2476519.75</v>
      </c>
      <c r="O86" s="324">
        <v>3111603.35</v>
      </c>
      <c r="P86" s="324">
        <v>2476856.85</v>
      </c>
      <c r="Q86" s="324">
        <v>3111603.35</v>
      </c>
      <c r="R86" s="324">
        <v>2477193.94</v>
      </c>
      <c r="S86" s="324">
        <v>3111603.35</v>
      </c>
      <c r="T86" s="324">
        <v>2477531.0300000003</v>
      </c>
      <c r="U86" s="324">
        <v>3117022.37</v>
      </c>
      <c r="V86" s="324">
        <v>2477868.12</v>
      </c>
      <c r="W86" s="324">
        <v>3121124.58</v>
      </c>
      <c r="X86" s="324">
        <v>2478205.7999999998</v>
      </c>
      <c r="Y86" s="324">
        <v>3121124.58</v>
      </c>
      <c r="Z86" s="324">
        <v>2478543.92</v>
      </c>
      <c r="AA86" s="324">
        <v>3121124.58</v>
      </c>
      <c r="AB86" s="324">
        <v>2478882.04</v>
      </c>
      <c r="AC86" s="324">
        <v>3154329.2</v>
      </c>
      <c r="AD86" s="324">
        <v>2479220.16</v>
      </c>
      <c r="AE86" s="324">
        <f t="shared" si="4"/>
        <v>3115976.0041666664</v>
      </c>
      <c r="AF86" s="324">
        <f t="shared" si="4"/>
        <v>2477194.5420833337</v>
      </c>
    </row>
    <row r="87" spans="1:32">
      <c r="A87" s="16">
        <v>79</v>
      </c>
      <c r="C87" s="3" t="s">
        <v>1396</v>
      </c>
      <c r="D87" s="3" t="str">
        <f t="shared" si="5"/>
        <v>00048</v>
      </c>
      <c r="E87" s="324">
        <v>550206.34</v>
      </c>
      <c r="F87" s="324">
        <v>320770.28000000003</v>
      </c>
      <c r="G87" s="324">
        <v>550206.34</v>
      </c>
      <c r="H87" s="324">
        <v>324979.36</v>
      </c>
      <c r="I87" s="324">
        <v>550206.34</v>
      </c>
      <c r="J87" s="324">
        <v>329188.44</v>
      </c>
      <c r="K87" s="324">
        <v>550206.34</v>
      </c>
      <c r="L87" s="324">
        <v>333397.52</v>
      </c>
      <c r="M87" s="324">
        <v>550206.34</v>
      </c>
      <c r="N87" s="324">
        <v>337606.60000000003</v>
      </c>
      <c r="O87" s="324">
        <v>550206.34</v>
      </c>
      <c r="P87" s="324">
        <v>341815.68</v>
      </c>
      <c r="Q87" s="324">
        <v>525951.92000000004</v>
      </c>
      <c r="R87" s="324">
        <v>321770.34000000003</v>
      </c>
      <c r="S87" s="324">
        <v>525951.92000000004</v>
      </c>
      <c r="T87" s="324">
        <v>325793.87</v>
      </c>
      <c r="U87" s="324">
        <v>525951.92000000004</v>
      </c>
      <c r="V87" s="324">
        <v>329817.40000000002</v>
      </c>
      <c r="W87" s="324">
        <v>525951.92000000004</v>
      </c>
      <c r="X87" s="324">
        <v>333840.93</v>
      </c>
      <c r="Y87" s="324">
        <v>525951.92000000004</v>
      </c>
      <c r="Z87" s="324">
        <v>337864.46</v>
      </c>
      <c r="AA87" s="324">
        <v>525951.92000000004</v>
      </c>
      <c r="AB87" s="324">
        <v>341887.99</v>
      </c>
      <c r="AC87" s="324">
        <v>525951.92000000004</v>
      </c>
      <c r="AD87" s="324">
        <v>345911.52</v>
      </c>
      <c r="AE87" s="324">
        <f t="shared" si="4"/>
        <v>537068.52916666667</v>
      </c>
      <c r="AF87" s="324">
        <f t="shared" si="4"/>
        <v>332608.62416666665</v>
      </c>
    </row>
    <row r="88" spans="1:32">
      <c r="A88" s="16">
        <v>80</v>
      </c>
      <c r="C88" s="3" t="s">
        <v>1397</v>
      </c>
      <c r="D88" s="3" t="str">
        <f t="shared" si="5"/>
        <v>00048</v>
      </c>
      <c r="E88" s="324">
        <v>10888.06</v>
      </c>
      <c r="F88" s="324">
        <v>-4395.76</v>
      </c>
      <c r="G88" s="324">
        <v>10888.06</v>
      </c>
      <c r="H88" s="324">
        <v>-4300.3999999999996</v>
      </c>
      <c r="I88" s="324">
        <v>10888.06</v>
      </c>
      <c r="J88" s="324">
        <v>-4205.04</v>
      </c>
      <c r="K88" s="324">
        <v>10888.06</v>
      </c>
      <c r="L88" s="324">
        <v>-4109.68</v>
      </c>
      <c r="M88" s="324">
        <v>10888.06</v>
      </c>
      <c r="N88" s="324">
        <v>-4014.32</v>
      </c>
      <c r="O88" s="324">
        <v>12985.710000000001</v>
      </c>
      <c r="P88" s="324">
        <v>-3918.96</v>
      </c>
      <c r="Q88" s="324">
        <v>12985.710000000001</v>
      </c>
      <c r="R88" s="324">
        <v>-3805.23</v>
      </c>
      <c r="S88" s="324">
        <v>12985.710000000001</v>
      </c>
      <c r="T88" s="324">
        <v>-3691.5</v>
      </c>
      <c r="U88" s="324">
        <v>12985.710000000001</v>
      </c>
      <c r="V88" s="324">
        <v>-3577.77</v>
      </c>
      <c r="W88" s="324">
        <v>12985.710000000001</v>
      </c>
      <c r="X88" s="324">
        <v>-3464.04</v>
      </c>
      <c r="Y88" s="324">
        <v>12985.710000000001</v>
      </c>
      <c r="Z88" s="324">
        <v>-3350.31</v>
      </c>
      <c r="AA88" s="324">
        <v>12985.710000000001</v>
      </c>
      <c r="AB88" s="324">
        <v>-3236.58</v>
      </c>
      <c r="AC88" s="324">
        <v>12985.710000000001</v>
      </c>
      <c r="AD88" s="324">
        <v>-3122.85</v>
      </c>
      <c r="AE88" s="324">
        <f t="shared" si="4"/>
        <v>12199.091250000003</v>
      </c>
      <c r="AF88" s="324">
        <f t="shared" si="4"/>
        <v>-3786.094583333333</v>
      </c>
    </row>
    <row r="89" spans="1:32" ht="16.2">
      <c r="A89" s="16">
        <v>81</v>
      </c>
      <c r="B89" s="326" t="s">
        <v>104</v>
      </c>
      <c r="C89" s="327"/>
      <c r="D89" s="326" t="s">
        <v>1398</v>
      </c>
      <c r="E89" s="328">
        <f t="shared" ref="E89:AF89" si="6">SUBTOTAL(9,E48:E88)</f>
        <v>576210019.71000016</v>
      </c>
      <c r="F89" s="328">
        <f t="shared" si="6"/>
        <v>304692694.86999989</v>
      </c>
      <c r="G89" s="328">
        <f t="shared" si="6"/>
        <v>577681602.6400001</v>
      </c>
      <c r="H89" s="328">
        <f t="shared" si="6"/>
        <v>309480837.00000012</v>
      </c>
      <c r="I89" s="328">
        <f t="shared" si="6"/>
        <v>578887129.49000013</v>
      </c>
      <c r="J89" s="328">
        <f t="shared" si="6"/>
        <v>310705295.72999996</v>
      </c>
      <c r="K89" s="328">
        <f t="shared" si="6"/>
        <v>580920985.41999996</v>
      </c>
      <c r="L89" s="328">
        <f t="shared" si="6"/>
        <v>311239204.5999999</v>
      </c>
      <c r="M89" s="328">
        <f t="shared" si="6"/>
        <v>583272418.28999996</v>
      </c>
      <c r="N89" s="328">
        <f t="shared" si="6"/>
        <v>312471439.2100001</v>
      </c>
      <c r="O89" s="328">
        <f t="shared" si="6"/>
        <v>584216840.6500001</v>
      </c>
      <c r="P89" s="328">
        <f t="shared" si="6"/>
        <v>313749995.52000004</v>
      </c>
      <c r="Q89" s="328">
        <f t="shared" si="6"/>
        <v>585599739.0799998</v>
      </c>
      <c r="R89" s="328">
        <f t="shared" si="6"/>
        <v>314596173.39999992</v>
      </c>
      <c r="S89" s="328">
        <f t="shared" si="6"/>
        <v>588618364.70000005</v>
      </c>
      <c r="T89" s="328">
        <f t="shared" si="6"/>
        <v>315768871.25</v>
      </c>
      <c r="U89" s="328">
        <f t="shared" si="6"/>
        <v>598832328.44999993</v>
      </c>
      <c r="V89" s="328">
        <f t="shared" si="6"/>
        <v>316875748.73000002</v>
      </c>
      <c r="W89" s="328">
        <f t="shared" si="6"/>
        <v>601967532.84999979</v>
      </c>
      <c r="X89" s="328">
        <f t="shared" si="6"/>
        <v>317897034.14999998</v>
      </c>
      <c r="Y89" s="328">
        <f t="shared" si="6"/>
        <v>607446404.66999972</v>
      </c>
      <c r="Z89" s="328">
        <f t="shared" si="6"/>
        <v>319107740.81999993</v>
      </c>
      <c r="AA89" s="328">
        <f t="shared" si="6"/>
        <v>608700709.48999977</v>
      </c>
      <c r="AB89" s="328">
        <f t="shared" si="6"/>
        <v>320289045.50000006</v>
      </c>
      <c r="AC89" s="328">
        <f t="shared" si="6"/>
        <v>614373017.27999997</v>
      </c>
      <c r="AD89" s="328">
        <f t="shared" si="6"/>
        <v>321296055.43999994</v>
      </c>
      <c r="AE89" s="328">
        <f t="shared" si="6"/>
        <v>590952964.51874983</v>
      </c>
      <c r="AF89" s="328">
        <f t="shared" si="6"/>
        <v>314597980.08874995</v>
      </c>
    </row>
    <row r="90" spans="1:32" ht="16.2">
      <c r="A90" s="16">
        <v>82</v>
      </c>
      <c r="B90" s="322" t="s">
        <v>1399</v>
      </c>
      <c r="C90" s="322" t="s">
        <v>1400</v>
      </c>
      <c r="D90" s="329"/>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row>
    <row r="91" spans="1:32">
      <c r="A91" s="16">
        <v>83</v>
      </c>
      <c r="C91" s="3" t="s">
        <v>1401</v>
      </c>
      <c r="D91" s="3" t="str">
        <f>RIGHT(C91,5)</f>
        <v>00100</v>
      </c>
      <c r="E91" s="324">
        <v>152066.08000000002</v>
      </c>
      <c r="F91" s="324">
        <v>0</v>
      </c>
      <c r="G91" s="324">
        <v>152066.08000000002</v>
      </c>
      <c r="H91" s="324">
        <v>0</v>
      </c>
      <c r="I91" s="324">
        <v>152066.08000000002</v>
      </c>
      <c r="J91" s="324">
        <v>0</v>
      </c>
      <c r="K91" s="324">
        <v>152066.08000000002</v>
      </c>
      <c r="L91" s="324">
        <v>0</v>
      </c>
      <c r="M91" s="324">
        <v>152066.08000000002</v>
      </c>
      <c r="N91" s="324">
        <v>0</v>
      </c>
      <c r="O91" s="324">
        <v>152066.08000000002</v>
      </c>
      <c r="P91" s="324">
        <v>0</v>
      </c>
      <c r="Q91" s="324">
        <v>152066.08000000002</v>
      </c>
      <c r="R91" s="324">
        <v>0</v>
      </c>
      <c r="S91" s="324">
        <v>152066.08000000002</v>
      </c>
      <c r="T91" s="324">
        <v>0</v>
      </c>
      <c r="U91" s="324">
        <v>152066.08000000002</v>
      </c>
      <c r="V91" s="324">
        <v>0</v>
      </c>
      <c r="W91" s="324">
        <v>152066.08000000002</v>
      </c>
      <c r="X91" s="324">
        <v>0</v>
      </c>
      <c r="Y91" s="324">
        <v>152066.08000000002</v>
      </c>
      <c r="Z91" s="324">
        <v>0</v>
      </c>
      <c r="AA91" s="324">
        <v>152066.08000000002</v>
      </c>
      <c r="AB91" s="324">
        <v>0</v>
      </c>
      <c r="AC91" s="324">
        <v>152066.08000000002</v>
      </c>
      <c r="AD91" s="324">
        <v>0</v>
      </c>
      <c r="AE91" s="324">
        <f t="shared" ref="AE91:AF129" si="7">+(E91+AC91+(+G91+I91+K91+M91+O91+Q91+S91+U91+W91+Y91+AA91)*2)/24</f>
        <v>152066.08000000005</v>
      </c>
      <c r="AF91" s="324">
        <f t="shared" si="7"/>
        <v>0</v>
      </c>
    </row>
    <row r="92" spans="1:32">
      <c r="A92" s="16">
        <v>84</v>
      </c>
      <c r="C92" s="3" t="s">
        <v>1402</v>
      </c>
      <c r="D92" s="325" t="s">
        <v>1403</v>
      </c>
      <c r="E92" s="324">
        <v>0</v>
      </c>
      <c r="F92" s="324">
        <v>0</v>
      </c>
      <c r="G92" s="324">
        <v>0</v>
      </c>
      <c r="H92" s="324">
        <v>0</v>
      </c>
      <c r="I92" s="324">
        <v>0</v>
      </c>
      <c r="J92" s="324">
        <v>0</v>
      </c>
      <c r="K92" s="324">
        <v>0</v>
      </c>
      <c r="L92" s="324">
        <v>0</v>
      </c>
      <c r="M92" s="324">
        <v>0</v>
      </c>
      <c r="N92" s="324">
        <v>0</v>
      </c>
      <c r="O92" s="324">
        <v>0</v>
      </c>
      <c r="P92" s="324">
        <v>0</v>
      </c>
      <c r="Q92" s="324">
        <v>0</v>
      </c>
      <c r="R92" s="324">
        <v>0</v>
      </c>
      <c r="S92" s="324">
        <v>1826757.9</v>
      </c>
      <c r="T92" s="324">
        <v>578418.15</v>
      </c>
      <c r="U92" s="324">
        <v>1826757.9</v>
      </c>
      <c r="V92" s="324">
        <v>593641.13</v>
      </c>
      <c r="W92" s="324">
        <v>1826757.9</v>
      </c>
      <c r="X92" s="324">
        <v>608864.11</v>
      </c>
      <c r="Y92" s="324">
        <v>1826757.9</v>
      </c>
      <c r="Z92" s="324">
        <v>624087.09</v>
      </c>
      <c r="AA92" s="324">
        <v>1826757.9</v>
      </c>
      <c r="AB92" s="324">
        <v>639310.07000000007</v>
      </c>
      <c r="AC92" s="324">
        <v>1826757.9</v>
      </c>
      <c r="AD92" s="324">
        <v>654533.05000000005</v>
      </c>
      <c r="AE92" s="324">
        <f t="shared" si="7"/>
        <v>837264.03749999998</v>
      </c>
      <c r="AF92" s="324">
        <f t="shared" si="7"/>
        <v>280965.58958333329</v>
      </c>
    </row>
    <row r="93" spans="1:32">
      <c r="A93" s="16">
        <v>85</v>
      </c>
      <c r="C93" s="3" t="s">
        <v>1404</v>
      </c>
      <c r="D93" s="325" t="s">
        <v>1403</v>
      </c>
      <c r="E93" s="324">
        <v>0</v>
      </c>
      <c r="F93" s="324">
        <v>0</v>
      </c>
      <c r="G93" s="324">
        <v>0</v>
      </c>
      <c r="H93" s="324">
        <v>0</v>
      </c>
      <c r="I93" s="324">
        <v>0</v>
      </c>
      <c r="J93" s="324">
        <v>0</v>
      </c>
      <c r="K93" s="324">
        <v>0</v>
      </c>
      <c r="L93" s="324">
        <v>0</v>
      </c>
      <c r="M93" s="324">
        <v>0</v>
      </c>
      <c r="N93" s="324">
        <v>0</v>
      </c>
      <c r="O93" s="324">
        <v>0</v>
      </c>
      <c r="P93" s="324">
        <v>0</v>
      </c>
      <c r="Q93" s="324">
        <v>0</v>
      </c>
      <c r="R93" s="324">
        <v>0</v>
      </c>
      <c r="S93" s="324">
        <v>2070368.79</v>
      </c>
      <c r="T93" s="324">
        <v>183036.69</v>
      </c>
      <c r="U93" s="324">
        <v>2070368.79</v>
      </c>
      <c r="V93" s="324">
        <v>200289.76</v>
      </c>
      <c r="W93" s="324">
        <v>2070368.79</v>
      </c>
      <c r="X93" s="324">
        <v>217542.83000000002</v>
      </c>
      <c r="Y93" s="324">
        <v>2070368.79</v>
      </c>
      <c r="Z93" s="324">
        <v>234795.9</v>
      </c>
      <c r="AA93" s="324">
        <v>2076102.74</v>
      </c>
      <c r="AB93" s="324">
        <v>252611.99000000002</v>
      </c>
      <c r="AC93" s="324">
        <v>2077384.42</v>
      </c>
      <c r="AD93" s="324">
        <v>269912.84999999998</v>
      </c>
      <c r="AE93" s="324">
        <f t="shared" si="7"/>
        <v>949689.17583333328</v>
      </c>
      <c r="AF93" s="324">
        <f t="shared" si="7"/>
        <v>101936.13291666668</v>
      </c>
    </row>
    <row r="94" spans="1:32">
      <c r="A94" s="16">
        <v>86</v>
      </c>
      <c r="C94" s="3" t="s">
        <v>1405</v>
      </c>
      <c r="D94" s="325" t="s">
        <v>1403</v>
      </c>
      <c r="E94" s="324">
        <v>0</v>
      </c>
      <c r="F94" s="324">
        <v>0</v>
      </c>
      <c r="G94" s="324">
        <v>0</v>
      </c>
      <c r="H94" s="324">
        <v>0</v>
      </c>
      <c r="I94" s="324">
        <v>0</v>
      </c>
      <c r="J94" s="324">
        <v>0</v>
      </c>
      <c r="K94" s="324">
        <v>0</v>
      </c>
      <c r="L94" s="324">
        <v>0</v>
      </c>
      <c r="M94" s="324">
        <v>0</v>
      </c>
      <c r="N94" s="324">
        <v>0</v>
      </c>
      <c r="O94" s="324">
        <v>0</v>
      </c>
      <c r="P94" s="324">
        <v>0</v>
      </c>
      <c r="Q94" s="324">
        <v>0</v>
      </c>
      <c r="R94" s="324">
        <v>0</v>
      </c>
      <c r="S94" s="324">
        <v>0</v>
      </c>
      <c r="T94" s="324">
        <v>0</v>
      </c>
      <c r="U94" s="324">
        <v>0</v>
      </c>
      <c r="V94" s="324">
        <v>0</v>
      </c>
      <c r="W94" s="324">
        <v>0</v>
      </c>
      <c r="X94" s="324">
        <v>0</v>
      </c>
      <c r="Y94" s="324">
        <v>0</v>
      </c>
      <c r="Z94" s="324">
        <v>0</v>
      </c>
      <c r="AA94" s="324">
        <v>0</v>
      </c>
      <c r="AB94" s="324">
        <v>0</v>
      </c>
      <c r="AC94" s="324">
        <v>0</v>
      </c>
      <c r="AD94" s="324">
        <v>0</v>
      </c>
      <c r="AE94" s="324">
        <f t="shared" si="7"/>
        <v>0</v>
      </c>
      <c r="AF94" s="324">
        <f t="shared" si="7"/>
        <v>0</v>
      </c>
    </row>
    <row r="95" spans="1:32">
      <c r="A95" s="16">
        <v>87</v>
      </c>
      <c r="C95" s="3" t="s">
        <v>1406</v>
      </c>
      <c r="D95" s="325" t="s">
        <v>1403</v>
      </c>
      <c r="E95" s="324">
        <v>0</v>
      </c>
      <c r="F95" s="324">
        <v>0</v>
      </c>
      <c r="G95" s="324">
        <v>0</v>
      </c>
      <c r="H95" s="324">
        <v>0</v>
      </c>
      <c r="I95" s="324">
        <v>0</v>
      </c>
      <c r="J95" s="324">
        <v>0</v>
      </c>
      <c r="K95" s="324">
        <v>0</v>
      </c>
      <c r="L95" s="324">
        <v>0</v>
      </c>
      <c r="M95" s="324">
        <v>0</v>
      </c>
      <c r="N95" s="324">
        <v>0</v>
      </c>
      <c r="O95" s="324">
        <v>0</v>
      </c>
      <c r="P95" s="324">
        <v>0</v>
      </c>
      <c r="Q95" s="324">
        <v>0</v>
      </c>
      <c r="R95" s="324">
        <v>0</v>
      </c>
      <c r="S95" s="324">
        <v>4188146.93</v>
      </c>
      <c r="T95" s="324">
        <v>1247308.1499999999</v>
      </c>
      <c r="U95" s="324">
        <v>4188146.93</v>
      </c>
      <c r="V95" s="324">
        <v>1274147.19</v>
      </c>
      <c r="W95" s="324">
        <v>4188146.93</v>
      </c>
      <c r="X95" s="324">
        <v>1300986.23</v>
      </c>
      <c r="Y95" s="324">
        <v>4188146.93</v>
      </c>
      <c r="Z95" s="324">
        <v>1327825.27</v>
      </c>
      <c r="AA95" s="324">
        <v>4188146.93</v>
      </c>
      <c r="AB95" s="324">
        <v>1354664.31</v>
      </c>
      <c r="AC95" s="324">
        <v>4188146.93</v>
      </c>
      <c r="AD95" s="324">
        <v>1381503.35</v>
      </c>
      <c r="AE95" s="324">
        <f t="shared" si="7"/>
        <v>1919567.3429166668</v>
      </c>
      <c r="AF95" s="324">
        <f t="shared" si="7"/>
        <v>599640.23541666672</v>
      </c>
    </row>
    <row r="96" spans="1:32">
      <c r="A96" s="16">
        <v>88</v>
      </c>
      <c r="C96" s="3" t="s">
        <v>1407</v>
      </c>
      <c r="D96" s="325" t="s">
        <v>1403</v>
      </c>
      <c r="E96" s="324">
        <v>0</v>
      </c>
      <c r="F96" s="324">
        <v>0</v>
      </c>
      <c r="G96" s="324">
        <v>0</v>
      </c>
      <c r="H96" s="324">
        <v>0</v>
      </c>
      <c r="I96" s="324">
        <v>0</v>
      </c>
      <c r="J96" s="324">
        <v>0</v>
      </c>
      <c r="K96" s="324">
        <v>0</v>
      </c>
      <c r="L96" s="324">
        <v>0</v>
      </c>
      <c r="M96" s="324">
        <v>0</v>
      </c>
      <c r="N96" s="324">
        <v>0</v>
      </c>
      <c r="O96" s="324">
        <v>0</v>
      </c>
      <c r="P96" s="324">
        <v>0</v>
      </c>
      <c r="Q96" s="324">
        <v>0</v>
      </c>
      <c r="R96" s="324">
        <v>0</v>
      </c>
      <c r="S96" s="324">
        <v>695173.17</v>
      </c>
      <c r="T96" s="324">
        <v>266316</v>
      </c>
      <c r="U96" s="324">
        <v>695173.17</v>
      </c>
      <c r="V96" s="324">
        <v>270452.28000000003</v>
      </c>
      <c r="W96" s="324">
        <v>695173.17</v>
      </c>
      <c r="X96" s="324">
        <v>274588.56</v>
      </c>
      <c r="Y96" s="324">
        <v>695173.17</v>
      </c>
      <c r="Z96" s="324">
        <v>278724.84000000003</v>
      </c>
      <c r="AA96" s="324">
        <v>695173.17</v>
      </c>
      <c r="AB96" s="324">
        <v>282861.12</v>
      </c>
      <c r="AC96" s="324">
        <v>695173.17</v>
      </c>
      <c r="AD96" s="324">
        <v>286997.40000000002</v>
      </c>
      <c r="AE96" s="324">
        <f t="shared" si="7"/>
        <v>318621.03625</v>
      </c>
      <c r="AF96" s="324">
        <f t="shared" si="7"/>
        <v>126370.12500000001</v>
      </c>
    </row>
    <row r="97" spans="1:32">
      <c r="A97" s="16">
        <v>89</v>
      </c>
      <c r="C97" s="3" t="s">
        <v>1408</v>
      </c>
      <c r="D97" s="325" t="s">
        <v>1403</v>
      </c>
      <c r="E97" s="324">
        <v>0</v>
      </c>
      <c r="F97" s="324">
        <v>0</v>
      </c>
      <c r="G97" s="324">
        <v>0</v>
      </c>
      <c r="H97" s="324">
        <v>0</v>
      </c>
      <c r="I97" s="324">
        <v>0</v>
      </c>
      <c r="J97" s="324">
        <v>0</v>
      </c>
      <c r="K97" s="324">
        <v>0</v>
      </c>
      <c r="L97" s="324">
        <v>0</v>
      </c>
      <c r="M97" s="324">
        <v>0</v>
      </c>
      <c r="N97" s="324">
        <v>0</v>
      </c>
      <c r="O97" s="324">
        <v>0</v>
      </c>
      <c r="P97" s="324">
        <v>0</v>
      </c>
      <c r="Q97" s="324">
        <v>0</v>
      </c>
      <c r="R97" s="324">
        <v>0</v>
      </c>
      <c r="S97" s="324">
        <v>2037970.86</v>
      </c>
      <c r="T97" s="324">
        <v>705285.65</v>
      </c>
      <c r="U97" s="324">
        <v>2037970.86</v>
      </c>
      <c r="V97" s="324">
        <v>717411.58</v>
      </c>
      <c r="W97" s="324">
        <v>2037970.86</v>
      </c>
      <c r="X97" s="324">
        <v>729537.51</v>
      </c>
      <c r="Y97" s="324">
        <v>2037970.86</v>
      </c>
      <c r="Z97" s="324">
        <v>741663.44000000006</v>
      </c>
      <c r="AA97" s="324">
        <v>2037970.86</v>
      </c>
      <c r="AB97" s="324">
        <v>753789.37</v>
      </c>
      <c r="AC97" s="324">
        <v>2037970.86</v>
      </c>
      <c r="AD97" s="324">
        <v>765915.3</v>
      </c>
      <c r="AE97" s="324">
        <f t="shared" si="7"/>
        <v>934069.97750000004</v>
      </c>
      <c r="AF97" s="324">
        <f t="shared" si="7"/>
        <v>335887.10000000003</v>
      </c>
    </row>
    <row r="98" spans="1:32">
      <c r="A98" s="16">
        <v>90</v>
      </c>
      <c r="C98" s="3" t="s">
        <v>1409</v>
      </c>
      <c r="D98" s="325" t="s">
        <v>1403</v>
      </c>
      <c r="E98" s="324">
        <v>0</v>
      </c>
      <c r="F98" s="324">
        <v>0</v>
      </c>
      <c r="G98" s="324">
        <v>0</v>
      </c>
      <c r="H98" s="324">
        <v>0</v>
      </c>
      <c r="I98" s="324">
        <v>0</v>
      </c>
      <c r="J98" s="324">
        <v>0</v>
      </c>
      <c r="K98" s="324">
        <v>0</v>
      </c>
      <c r="L98" s="324">
        <v>0</v>
      </c>
      <c r="M98" s="324">
        <v>0</v>
      </c>
      <c r="N98" s="324">
        <v>0</v>
      </c>
      <c r="O98" s="324">
        <v>0</v>
      </c>
      <c r="P98" s="324">
        <v>0</v>
      </c>
      <c r="Q98" s="324">
        <v>0</v>
      </c>
      <c r="R98" s="324">
        <v>0</v>
      </c>
      <c r="S98" s="324">
        <v>17063587.219999999</v>
      </c>
      <c r="T98" s="324">
        <v>5112326.0599999996</v>
      </c>
      <c r="U98" s="324">
        <v>17063587.219999999</v>
      </c>
      <c r="V98" s="324">
        <v>5207171.17</v>
      </c>
      <c r="W98" s="324">
        <v>17063587.219999999</v>
      </c>
      <c r="X98" s="324">
        <v>5302016.28</v>
      </c>
      <c r="Y98" s="324">
        <v>17063587.219999999</v>
      </c>
      <c r="Z98" s="324">
        <v>5396861.3899999997</v>
      </c>
      <c r="AA98" s="324">
        <v>17063587.219999999</v>
      </c>
      <c r="AB98" s="324">
        <v>5491706.5</v>
      </c>
      <c r="AC98" s="324">
        <v>17063587.219999999</v>
      </c>
      <c r="AD98" s="324">
        <v>5586551.6100000003</v>
      </c>
      <c r="AE98" s="324">
        <f t="shared" si="7"/>
        <v>7820810.8091666661</v>
      </c>
      <c r="AF98" s="324">
        <f t="shared" si="7"/>
        <v>2441946.4337500003</v>
      </c>
    </row>
    <row r="99" spans="1:32">
      <c r="A99" s="16">
        <v>91</v>
      </c>
      <c r="C99" s="3" t="s">
        <v>1410</v>
      </c>
      <c r="D99" s="325" t="s">
        <v>1403</v>
      </c>
      <c r="E99" s="324">
        <v>0</v>
      </c>
      <c r="F99" s="324">
        <v>0</v>
      </c>
      <c r="G99" s="324">
        <v>0</v>
      </c>
      <c r="H99" s="324">
        <v>0</v>
      </c>
      <c r="I99" s="324">
        <v>0</v>
      </c>
      <c r="J99" s="324">
        <v>0</v>
      </c>
      <c r="K99" s="324">
        <v>0</v>
      </c>
      <c r="L99" s="324">
        <v>0</v>
      </c>
      <c r="M99" s="324">
        <v>0</v>
      </c>
      <c r="N99" s="324">
        <v>0</v>
      </c>
      <c r="O99" s="324">
        <v>0</v>
      </c>
      <c r="P99" s="324">
        <v>0</v>
      </c>
      <c r="Q99" s="324">
        <v>0</v>
      </c>
      <c r="R99" s="324">
        <v>0</v>
      </c>
      <c r="S99" s="324">
        <v>541240.59</v>
      </c>
      <c r="T99" s="324">
        <v>137962.07</v>
      </c>
      <c r="U99" s="324">
        <v>541240.59</v>
      </c>
      <c r="V99" s="324">
        <v>140970.47</v>
      </c>
      <c r="W99" s="324">
        <v>541240.59</v>
      </c>
      <c r="X99" s="324">
        <v>143978.87</v>
      </c>
      <c r="Y99" s="324">
        <v>541240.59</v>
      </c>
      <c r="Z99" s="324">
        <v>146987.26999999999</v>
      </c>
      <c r="AA99" s="324">
        <v>541240.59</v>
      </c>
      <c r="AB99" s="324">
        <v>149995.67000000001</v>
      </c>
      <c r="AC99" s="324">
        <v>541240.59</v>
      </c>
      <c r="AD99" s="324">
        <v>153004.07</v>
      </c>
      <c r="AE99" s="324">
        <f t="shared" si="7"/>
        <v>248068.60374999998</v>
      </c>
      <c r="AF99" s="324">
        <f t="shared" si="7"/>
        <v>66366.365416666682</v>
      </c>
    </row>
    <row r="100" spans="1:32">
      <c r="A100" s="16">
        <v>92</v>
      </c>
      <c r="C100" s="3" t="s">
        <v>1411</v>
      </c>
      <c r="D100" s="325" t="s">
        <v>1403</v>
      </c>
      <c r="E100" s="324">
        <v>0</v>
      </c>
      <c r="F100" s="324">
        <v>0</v>
      </c>
      <c r="G100" s="324">
        <v>0</v>
      </c>
      <c r="H100" s="324">
        <v>0</v>
      </c>
      <c r="I100" s="324">
        <v>0</v>
      </c>
      <c r="J100" s="324">
        <v>0</v>
      </c>
      <c r="K100" s="324">
        <v>0</v>
      </c>
      <c r="L100" s="324">
        <v>0</v>
      </c>
      <c r="M100" s="324">
        <v>0</v>
      </c>
      <c r="N100" s="324">
        <v>0</v>
      </c>
      <c r="O100" s="324">
        <v>0</v>
      </c>
      <c r="P100" s="324">
        <v>0</v>
      </c>
      <c r="Q100" s="324">
        <v>0</v>
      </c>
      <c r="R100" s="324">
        <v>0</v>
      </c>
      <c r="S100" s="324">
        <v>7720.22</v>
      </c>
      <c r="T100" s="324">
        <v>7720.22</v>
      </c>
      <c r="U100" s="324">
        <v>7720.22</v>
      </c>
      <c r="V100" s="324">
        <v>7720.22</v>
      </c>
      <c r="W100" s="324">
        <v>7720.22</v>
      </c>
      <c r="X100" s="324">
        <v>7720.22</v>
      </c>
      <c r="Y100" s="324">
        <v>7720.22</v>
      </c>
      <c r="Z100" s="324">
        <v>7720.22</v>
      </c>
      <c r="AA100" s="324">
        <v>7720.22</v>
      </c>
      <c r="AB100" s="324">
        <v>7720.22</v>
      </c>
      <c r="AC100" s="324">
        <v>7720.22</v>
      </c>
      <c r="AD100" s="324">
        <v>7720.22</v>
      </c>
      <c r="AE100" s="324">
        <f t="shared" si="7"/>
        <v>3538.4341666666664</v>
      </c>
      <c r="AF100" s="324">
        <f t="shared" si="7"/>
        <v>3538.4341666666664</v>
      </c>
    </row>
    <row r="101" spans="1:32">
      <c r="A101" s="16">
        <v>93</v>
      </c>
      <c r="C101" s="3" t="s">
        <v>1412</v>
      </c>
      <c r="D101" s="325" t="s">
        <v>1403</v>
      </c>
      <c r="E101" s="324">
        <v>0</v>
      </c>
      <c r="F101" s="324">
        <v>0</v>
      </c>
      <c r="G101" s="324">
        <v>0</v>
      </c>
      <c r="H101" s="324">
        <v>0</v>
      </c>
      <c r="I101" s="324">
        <v>0</v>
      </c>
      <c r="J101" s="324">
        <v>0</v>
      </c>
      <c r="K101" s="324">
        <v>0</v>
      </c>
      <c r="L101" s="324">
        <v>0</v>
      </c>
      <c r="M101" s="324">
        <v>0</v>
      </c>
      <c r="N101" s="324">
        <v>0</v>
      </c>
      <c r="O101" s="324">
        <v>0</v>
      </c>
      <c r="P101" s="324">
        <v>0</v>
      </c>
      <c r="Q101" s="324">
        <v>0</v>
      </c>
      <c r="R101" s="324">
        <v>0</v>
      </c>
      <c r="S101" s="324">
        <v>14271.5</v>
      </c>
      <c r="T101" s="324">
        <v>13082.23</v>
      </c>
      <c r="U101" s="324">
        <v>14271.5</v>
      </c>
      <c r="V101" s="324">
        <v>13320.09</v>
      </c>
      <c r="W101" s="324">
        <v>14271.5</v>
      </c>
      <c r="X101" s="324">
        <v>13557.95</v>
      </c>
      <c r="Y101" s="324">
        <v>14271.5</v>
      </c>
      <c r="Z101" s="324">
        <v>13795.81</v>
      </c>
      <c r="AA101" s="324">
        <v>14271.5</v>
      </c>
      <c r="AB101" s="324">
        <v>14033.67</v>
      </c>
      <c r="AC101" s="324">
        <v>14271.5</v>
      </c>
      <c r="AD101" s="324">
        <v>14271.5</v>
      </c>
      <c r="AE101" s="324">
        <f t="shared" si="7"/>
        <v>6541.104166666667</v>
      </c>
      <c r="AF101" s="324">
        <f t="shared" si="7"/>
        <v>6243.791666666667</v>
      </c>
    </row>
    <row r="102" spans="1:32">
      <c r="A102" s="16">
        <v>94</v>
      </c>
      <c r="C102" s="3" t="s">
        <v>1413</v>
      </c>
      <c r="D102" s="325" t="s">
        <v>1403</v>
      </c>
      <c r="E102" s="324">
        <v>0</v>
      </c>
      <c r="F102" s="324">
        <v>0</v>
      </c>
      <c r="G102" s="324">
        <v>0</v>
      </c>
      <c r="H102" s="324">
        <v>0</v>
      </c>
      <c r="I102" s="324">
        <v>0</v>
      </c>
      <c r="J102" s="324">
        <v>0</v>
      </c>
      <c r="K102" s="324">
        <v>0</v>
      </c>
      <c r="L102" s="324">
        <v>0</v>
      </c>
      <c r="M102" s="324">
        <v>0</v>
      </c>
      <c r="N102" s="324">
        <v>0</v>
      </c>
      <c r="O102" s="324">
        <v>0</v>
      </c>
      <c r="P102" s="324">
        <v>0</v>
      </c>
      <c r="Q102" s="324">
        <v>0</v>
      </c>
      <c r="R102" s="324">
        <v>0</v>
      </c>
      <c r="S102" s="324">
        <v>131168.49</v>
      </c>
      <c r="T102" s="324">
        <v>70938.94</v>
      </c>
      <c r="U102" s="324">
        <v>131168.49</v>
      </c>
      <c r="V102" s="324">
        <v>72500.94</v>
      </c>
      <c r="W102" s="324">
        <v>131168.49</v>
      </c>
      <c r="X102" s="324">
        <v>74062.94</v>
      </c>
      <c r="Y102" s="324">
        <v>131168.49</v>
      </c>
      <c r="Z102" s="324">
        <v>75624.94</v>
      </c>
      <c r="AA102" s="324">
        <v>131168.49</v>
      </c>
      <c r="AB102" s="324">
        <v>77186.94</v>
      </c>
      <c r="AC102" s="324">
        <v>131168.49</v>
      </c>
      <c r="AD102" s="324">
        <v>78748.94</v>
      </c>
      <c r="AE102" s="324">
        <f t="shared" si="7"/>
        <v>60118.891249999993</v>
      </c>
      <c r="AF102" s="324">
        <f t="shared" si="7"/>
        <v>34140.764166666668</v>
      </c>
    </row>
    <row r="103" spans="1:32">
      <c r="A103" s="16">
        <v>95</v>
      </c>
      <c r="C103" s="3" t="s">
        <v>1414</v>
      </c>
      <c r="D103" s="325" t="s">
        <v>1403</v>
      </c>
      <c r="E103" s="324">
        <v>0</v>
      </c>
      <c r="F103" s="324">
        <v>0</v>
      </c>
      <c r="G103" s="324">
        <v>0</v>
      </c>
      <c r="H103" s="324">
        <v>0</v>
      </c>
      <c r="I103" s="324">
        <v>0</v>
      </c>
      <c r="J103" s="324">
        <v>0</v>
      </c>
      <c r="K103" s="324">
        <v>0</v>
      </c>
      <c r="L103" s="324">
        <v>0</v>
      </c>
      <c r="M103" s="324">
        <v>0</v>
      </c>
      <c r="N103" s="324">
        <v>0</v>
      </c>
      <c r="O103" s="324">
        <v>0</v>
      </c>
      <c r="P103" s="324">
        <v>0</v>
      </c>
      <c r="Q103" s="324">
        <v>0</v>
      </c>
      <c r="R103" s="324">
        <v>0</v>
      </c>
      <c r="S103" s="324">
        <v>3004957.37</v>
      </c>
      <c r="T103" s="324">
        <v>1192409.98</v>
      </c>
      <c r="U103" s="324">
        <v>3004957.37</v>
      </c>
      <c r="V103" s="324">
        <v>1228194.01</v>
      </c>
      <c r="W103" s="324">
        <v>3004957.37</v>
      </c>
      <c r="X103" s="324">
        <v>1263978.04</v>
      </c>
      <c r="Y103" s="324">
        <v>3004957.37</v>
      </c>
      <c r="Z103" s="324">
        <v>1299762.07</v>
      </c>
      <c r="AA103" s="324">
        <v>3004957.37</v>
      </c>
      <c r="AB103" s="324">
        <v>1335546.1000000001</v>
      </c>
      <c r="AC103" s="324">
        <v>3004957.37</v>
      </c>
      <c r="AD103" s="324">
        <v>1371330.13</v>
      </c>
      <c r="AE103" s="324">
        <f t="shared" si="7"/>
        <v>1377272.1279166669</v>
      </c>
      <c r="AF103" s="324">
        <f t="shared" si="7"/>
        <v>583796.27208333334</v>
      </c>
    </row>
    <row r="104" spans="1:32">
      <c r="A104" s="16">
        <v>96</v>
      </c>
      <c r="C104" s="3" t="s">
        <v>1415</v>
      </c>
      <c r="D104" s="325" t="s">
        <v>1403</v>
      </c>
      <c r="E104" s="324">
        <v>0</v>
      </c>
      <c r="F104" s="324">
        <v>0</v>
      </c>
      <c r="G104" s="324">
        <v>0</v>
      </c>
      <c r="H104" s="324">
        <v>0</v>
      </c>
      <c r="I104" s="324">
        <v>0</v>
      </c>
      <c r="J104" s="324">
        <v>0</v>
      </c>
      <c r="K104" s="324">
        <v>0</v>
      </c>
      <c r="L104" s="324">
        <v>0</v>
      </c>
      <c r="M104" s="324">
        <v>0</v>
      </c>
      <c r="N104" s="324">
        <v>0</v>
      </c>
      <c r="O104" s="324">
        <v>0</v>
      </c>
      <c r="P104" s="324">
        <v>0</v>
      </c>
      <c r="Q104" s="324">
        <v>0</v>
      </c>
      <c r="R104" s="324">
        <v>0</v>
      </c>
      <c r="S104" s="324">
        <v>585144.89</v>
      </c>
      <c r="T104" s="324">
        <v>151336.06</v>
      </c>
      <c r="U104" s="324">
        <v>585144.89</v>
      </c>
      <c r="V104" s="324">
        <v>158304.16</v>
      </c>
      <c r="W104" s="324">
        <v>585144.89</v>
      </c>
      <c r="X104" s="324">
        <v>165272.26</v>
      </c>
      <c r="Y104" s="324">
        <v>585144.89</v>
      </c>
      <c r="Z104" s="324">
        <v>172240.36000000002</v>
      </c>
      <c r="AA104" s="324">
        <v>585144.89</v>
      </c>
      <c r="AB104" s="324">
        <v>179208.46</v>
      </c>
      <c r="AC104" s="324">
        <v>585144.89</v>
      </c>
      <c r="AD104" s="324">
        <v>186176.56</v>
      </c>
      <c r="AE104" s="324">
        <f t="shared" si="7"/>
        <v>268191.40791666665</v>
      </c>
      <c r="AF104" s="324">
        <f t="shared" si="7"/>
        <v>76620.798333333325</v>
      </c>
    </row>
    <row r="105" spans="1:32">
      <c r="A105" s="16">
        <v>97</v>
      </c>
      <c r="C105" s="3" t="s">
        <v>1416</v>
      </c>
      <c r="D105" s="325" t="s">
        <v>1403</v>
      </c>
      <c r="E105" s="324">
        <v>0</v>
      </c>
      <c r="F105" s="324">
        <v>0</v>
      </c>
      <c r="G105" s="324">
        <v>0</v>
      </c>
      <c r="H105" s="324">
        <v>0</v>
      </c>
      <c r="I105" s="324">
        <v>0</v>
      </c>
      <c r="J105" s="324">
        <v>0</v>
      </c>
      <c r="K105" s="324">
        <v>0</v>
      </c>
      <c r="L105" s="324">
        <v>0</v>
      </c>
      <c r="M105" s="324">
        <v>0</v>
      </c>
      <c r="N105" s="324">
        <v>0</v>
      </c>
      <c r="O105" s="324">
        <v>0</v>
      </c>
      <c r="P105" s="324">
        <v>0</v>
      </c>
      <c r="Q105" s="324">
        <v>0</v>
      </c>
      <c r="R105" s="324">
        <v>0</v>
      </c>
      <c r="S105" s="324">
        <v>20560.650000000001</v>
      </c>
      <c r="T105" s="324">
        <v>4873.57</v>
      </c>
      <c r="U105" s="324">
        <v>20560.650000000001</v>
      </c>
      <c r="V105" s="324">
        <v>5118.41</v>
      </c>
      <c r="W105" s="324">
        <v>20560.650000000001</v>
      </c>
      <c r="X105" s="324">
        <v>5363.25</v>
      </c>
      <c r="Y105" s="324">
        <v>20560.650000000001</v>
      </c>
      <c r="Z105" s="324">
        <v>5608.09</v>
      </c>
      <c r="AA105" s="324">
        <v>20560.650000000001</v>
      </c>
      <c r="AB105" s="324">
        <v>5852.93</v>
      </c>
      <c r="AC105" s="324">
        <v>20560.650000000001</v>
      </c>
      <c r="AD105" s="324">
        <v>6097.77</v>
      </c>
      <c r="AE105" s="324">
        <f t="shared" si="7"/>
        <v>9423.6312500000004</v>
      </c>
      <c r="AF105" s="324">
        <f t="shared" si="7"/>
        <v>2488.76125</v>
      </c>
    </row>
    <row r="106" spans="1:32">
      <c r="A106" s="16">
        <v>98</v>
      </c>
      <c r="C106" s="3" t="s">
        <v>1417</v>
      </c>
      <c r="D106" s="3" t="str">
        <f t="shared" ref="D106:D129" si="8">RIGHT(C106,5)</f>
        <v>00100</v>
      </c>
      <c r="E106" s="324">
        <v>31960507.600000001</v>
      </c>
      <c r="F106" s="324">
        <v>8053426.4299999997</v>
      </c>
      <c r="G106" s="324">
        <v>32108431.690000001</v>
      </c>
      <c r="H106" s="324">
        <v>8284691.1200000001</v>
      </c>
      <c r="I106" s="324">
        <v>32116587.800000001</v>
      </c>
      <c r="J106" s="324">
        <v>8518849.4199999999</v>
      </c>
      <c r="K106" s="324">
        <v>32173607.18</v>
      </c>
      <c r="L106" s="324">
        <v>8751831.6600000001</v>
      </c>
      <c r="M106" s="324">
        <v>32184081.329999998</v>
      </c>
      <c r="N106" s="324">
        <v>8985449.9299999997</v>
      </c>
      <c r="O106" s="324">
        <v>32187271.329999998</v>
      </c>
      <c r="P106" s="324">
        <v>9219219.6500000004</v>
      </c>
      <c r="Q106" s="324">
        <v>32192427.940000001</v>
      </c>
      <c r="R106" s="324">
        <v>9453029.7300000004</v>
      </c>
      <c r="S106" s="324">
        <v>0</v>
      </c>
      <c r="T106" s="324">
        <v>0</v>
      </c>
      <c r="U106" s="324">
        <v>0</v>
      </c>
      <c r="V106" s="324">
        <v>0</v>
      </c>
      <c r="W106" s="324">
        <v>4302.82</v>
      </c>
      <c r="X106" s="324">
        <v>0</v>
      </c>
      <c r="Y106" s="324">
        <v>5733.95</v>
      </c>
      <c r="Z106" s="324">
        <v>563.02</v>
      </c>
      <c r="AA106" s="324">
        <v>0</v>
      </c>
      <c r="AB106" s="324">
        <v>0</v>
      </c>
      <c r="AC106" s="324">
        <v>0</v>
      </c>
      <c r="AD106" s="324">
        <v>0</v>
      </c>
      <c r="AE106" s="324">
        <f t="shared" si="7"/>
        <v>17412724.819999997</v>
      </c>
      <c r="AF106" s="324">
        <f t="shared" si="7"/>
        <v>4770028.9787499988</v>
      </c>
    </row>
    <row r="107" spans="1:32">
      <c r="A107" s="16">
        <v>99</v>
      </c>
      <c r="C107" s="3" t="s">
        <v>1418</v>
      </c>
      <c r="D107" s="3" t="str">
        <f t="shared" si="8"/>
        <v>00100</v>
      </c>
      <c r="E107" s="324">
        <v>94899.76</v>
      </c>
      <c r="F107" s="324">
        <v>0</v>
      </c>
      <c r="G107" s="324">
        <v>94899.76</v>
      </c>
      <c r="H107" s="324">
        <v>0</v>
      </c>
      <c r="I107" s="324">
        <v>94899.76</v>
      </c>
      <c r="J107" s="324">
        <v>0</v>
      </c>
      <c r="K107" s="324">
        <v>94899.76</v>
      </c>
      <c r="L107" s="324">
        <v>0</v>
      </c>
      <c r="M107" s="324">
        <v>94899.76</v>
      </c>
      <c r="N107" s="324">
        <v>0</v>
      </c>
      <c r="O107" s="324">
        <v>94899.76</v>
      </c>
      <c r="P107" s="324">
        <v>0</v>
      </c>
      <c r="Q107" s="324">
        <v>94899.76</v>
      </c>
      <c r="R107" s="324">
        <v>0</v>
      </c>
      <c r="S107" s="324">
        <v>94899.76</v>
      </c>
      <c r="T107" s="324">
        <v>0</v>
      </c>
      <c r="U107" s="324">
        <v>94899.76</v>
      </c>
      <c r="V107" s="324">
        <v>0</v>
      </c>
      <c r="W107" s="324">
        <v>94899.76</v>
      </c>
      <c r="X107" s="324">
        <v>0</v>
      </c>
      <c r="Y107" s="324">
        <v>94899.76</v>
      </c>
      <c r="Z107" s="324">
        <v>0</v>
      </c>
      <c r="AA107" s="324">
        <v>94899.76</v>
      </c>
      <c r="AB107" s="324">
        <v>0</v>
      </c>
      <c r="AC107" s="324">
        <v>94899.76</v>
      </c>
      <c r="AD107" s="324">
        <v>0</v>
      </c>
      <c r="AE107" s="324">
        <f t="shared" si="7"/>
        <v>94899.76</v>
      </c>
      <c r="AF107" s="324">
        <f t="shared" si="7"/>
        <v>0</v>
      </c>
    </row>
    <row r="108" spans="1:32">
      <c r="A108" s="16">
        <v>100</v>
      </c>
      <c r="C108" s="3" t="s">
        <v>1419</v>
      </c>
      <c r="D108" s="3" t="str">
        <f t="shared" si="8"/>
        <v>00100</v>
      </c>
      <c r="E108" s="324">
        <v>399189.10000000003</v>
      </c>
      <c r="F108" s="324">
        <v>419149.75</v>
      </c>
      <c r="G108" s="324">
        <v>399189.10000000003</v>
      </c>
      <c r="H108" s="324">
        <v>419149.75</v>
      </c>
      <c r="I108" s="324">
        <v>399189.10000000003</v>
      </c>
      <c r="J108" s="324">
        <v>419149.75</v>
      </c>
      <c r="K108" s="324">
        <v>399189.10000000003</v>
      </c>
      <c r="L108" s="324">
        <v>419149.75</v>
      </c>
      <c r="M108" s="324">
        <v>399189.10000000003</v>
      </c>
      <c r="N108" s="324">
        <v>419149.75</v>
      </c>
      <c r="O108" s="324">
        <v>399189.10000000003</v>
      </c>
      <c r="P108" s="324">
        <v>419149.75</v>
      </c>
      <c r="Q108" s="324">
        <v>399189.10000000003</v>
      </c>
      <c r="R108" s="324">
        <v>419149.75</v>
      </c>
      <c r="S108" s="324">
        <v>399189.10000000003</v>
      </c>
      <c r="T108" s="324">
        <v>419149.75</v>
      </c>
      <c r="U108" s="324">
        <v>399189.10000000003</v>
      </c>
      <c r="V108" s="324">
        <v>419149.75</v>
      </c>
      <c r="W108" s="324">
        <v>399189.10000000003</v>
      </c>
      <c r="X108" s="324">
        <v>419228.09</v>
      </c>
      <c r="Y108" s="324">
        <v>399189.10000000003</v>
      </c>
      <c r="Z108" s="324">
        <v>419228.09</v>
      </c>
      <c r="AA108" s="324">
        <v>399189.10000000003</v>
      </c>
      <c r="AB108" s="324">
        <v>419228.09</v>
      </c>
      <c r="AC108" s="324">
        <v>399189.10000000003</v>
      </c>
      <c r="AD108" s="324">
        <v>419228.09</v>
      </c>
      <c r="AE108" s="324">
        <f t="shared" si="7"/>
        <v>399189.10000000003</v>
      </c>
      <c r="AF108" s="324">
        <f t="shared" si="7"/>
        <v>419172.59916666662</v>
      </c>
    </row>
    <row r="109" spans="1:32">
      <c r="A109" s="16">
        <v>101</v>
      </c>
      <c r="C109" s="3" t="s">
        <v>1420</v>
      </c>
      <c r="D109" s="3" t="str">
        <f t="shared" si="8"/>
        <v>00100</v>
      </c>
      <c r="E109" s="324">
        <v>954713.11</v>
      </c>
      <c r="F109" s="324">
        <v>696776.97</v>
      </c>
      <c r="G109" s="324">
        <v>954713.11</v>
      </c>
      <c r="H109" s="324">
        <v>696776.97</v>
      </c>
      <c r="I109" s="324">
        <v>954713.11</v>
      </c>
      <c r="J109" s="324">
        <v>696776.97</v>
      </c>
      <c r="K109" s="324">
        <v>954713.11</v>
      </c>
      <c r="L109" s="324">
        <v>696776.97</v>
      </c>
      <c r="M109" s="324">
        <v>954713.11</v>
      </c>
      <c r="N109" s="324">
        <v>696776.97</v>
      </c>
      <c r="O109" s="324">
        <v>954713.11</v>
      </c>
      <c r="P109" s="324">
        <v>696776.97</v>
      </c>
      <c r="Q109" s="324">
        <v>954713.11</v>
      </c>
      <c r="R109" s="324">
        <v>696776.97</v>
      </c>
      <c r="S109" s="324">
        <v>954713.11</v>
      </c>
      <c r="T109" s="324">
        <v>696776.97</v>
      </c>
      <c r="U109" s="324">
        <v>954713.11</v>
      </c>
      <c r="V109" s="324">
        <v>696776.97</v>
      </c>
      <c r="W109" s="324">
        <v>954713.11</v>
      </c>
      <c r="X109" s="324">
        <v>696776.97</v>
      </c>
      <c r="Y109" s="324">
        <v>954713.11</v>
      </c>
      <c r="Z109" s="324">
        <v>696776.97</v>
      </c>
      <c r="AA109" s="324">
        <v>954713.11</v>
      </c>
      <c r="AB109" s="324">
        <v>696776.97</v>
      </c>
      <c r="AC109" s="324">
        <v>954713.11</v>
      </c>
      <c r="AD109" s="324">
        <v>696776.97</v>
      </c>
      <c r="AE109" s="324">
        <f t="shared" si="7"/>
        <v>954713.10999999987</v>
      </c>
      <c r="AF109" s="324">
        <f t="shared" si="7"/>
        <v>696776.96999999986</v>
      </c>
    </row>
    <row r="110" spans="1:32">
      <c r="A110" s="16">
        <v>102</v>
      </c>
      <c r="C110" s="3" t="s">
        <v>1421</v>
      </c>
      <c r="D110" s="3" t="str">
        <f t="shared" si="8"/>
        <v>00100</v>
      </c>
      <c r="E110" s="324">
        <v>5807881.5899999999</v>
      </c>
      <c r="F110" s="324">
        <v>5322633.72</v>
      </c>
      <c r="G110" s="324">
        <v>5807881.5899999999</v>
      </c>
      <c r="H110" s="324">
        <v>5328635.2</v>
      </c>
      <c r="I110" s="324">
        <v>5819580.5999999996</v>
      </c>
      <c r="J110" s="324">
        <v>5334636.68</v>
      </c>
      <c r="K110" s="324">
        <v>5819580.5999999996</v>
      </c>
      <c r="L110" s="324">
        <v>5340650.25</v>
      </c>
      <c r="M110" s="324">
        <v>5819580.5999999996</v>
      </c>
      <c r="N110" s="324">
        <v>5346663.82</v>
      </c>
      <c r="O110" s="324">
        <v>5819148.3499999996</v>
      </c>
      <c r="P110" s="324">
        <v>5352677.3899999997</v>
      </c>
      <c r="Q110" s="324">
        <v>5819148.3499999996</v>
      </c>
      <c r="R110" s="324">
        <v>5358690.51</v>
      </c>
      <c r="S110" s="324">
        <v>5819148.3499999996</v>
      </c>
      <c r="T110" s="324">
        <v>5364703.63</v>
      </c>
      <c r="U110" s="324">
        <v>5862351.0199999996</v>
      </c>
      <c r="V110" s="324">
        <v>5370716.75</v>
      </c>
      <c r="W110" s="324">
        <v>5862351.0199999996</v>
      </c>
      <c r="X110" s="324">
        <v>5376774.5099999998</v>
      </c>
      <c r="Y110" s="324">
        <v>5862351.0199999996</v>
      </c>
      <c r="Z110" s="324">
        <v>5382832.2699999996</v>
      </c>
      <c r="AA110" s="324">
        <v>5862351.0199999996</v>
      </c>
      <c r="AB110" s="324">
        <v>5388890.0300000003</v>
      </c>
      <c r="AC110" s="324">
        <v>5862351.0199999996</v>
      </c>
      <c r="AD110" s="324">
        <v>5394947.79</v>
      </c>
      <c r="AE110" s="324">
        <f t="shared" si="7"/>
        <v>5834049.0687499987</v>
      </c>
      <c r="AF110" s="324">
        <f t="shared" si="7"/>
        <v>5358721.8162500011</v>
      </c>
    </row>
    <row r="111" spans="1:32">
      <c r="A111" s="16">
        <v>103</v>
      </c>
      <c r="C111" s="3" t="s">
        <v>1422</v>
      </c>
      <c r="D111" s="3" t="str">
        <f t="shared" si="8"/>
        <v>00100</v>
      </c>
      <c r="E111" s="324">
        <v>2184217.88</v>
      </c>
      <c r="F111" s="324">
        <v>-128808.1</v>
      </c>
      <c r="G111" s="324">
        <v>2306513.11</v>
      </c>
      <c r="H111" s="324">
        <v>-99248.35</v>
      </c>
      <c r="I111" s="324">
        <v>2308364.84</v>
      </c>
      <c r="J111" s="324">
        <v>-68033.540000000008</v>
      </c>
      <c r="K111" s="324">
        <v>2308364.84</v>
      </c>
      <c r="L111" s="324">
        <v>-36793.67</v>
      </c>
      <c r="M111" s="324">
        <v>2359058.62</v>
      </c>
      <c r="N111" s="324">
        <v>-5553.8</v>
      </c>
      <c r="O111" s="324">
        <v>2359058.62</v>
      </c>
      <c r="P111" s="324">
        <v>26372.13</v>
      </c>
      <c r="Q111" s="324">
        <v>2350808.7800000003</v>
      </c>
      <c r="R111" s="324">
        <v>58298.06</v>
      </c>
      <c r="S111" s="324">
        <v>2356168.14</v>
      </c>
      <c r="T111" s="324">
        <v>90355.94</v>
      </c>
      <c r="U111" s="324">
        <v>2356168.14</v>
      </c>
      <c r="V111" s="324">
        <v>122242.75</v>
      </c>
      <c r="W111" s="324">
        <v>2356168.14</v>
      </c>
      <c r="X111" s="324">
        <v>154129.56</v>
      </c>
      <c r="Y111" s="324">
        <v>2356168.14</v>
      </c>
      <c r="Z111" s="324">
        <v>186016.37</v>
      </c>
      <c r="AA111" s="324">
        <v>2356168.14</v>
      </c>
      <c r="AB111" s="324">
        <v>217903.18</v>
      </c>
      <c r="AC111" s="324">
        <v>2400564.7000000002</v>
      </c>
      <c r="AD111" s="324">
        <v>249789.99</v>
      </c>
      <c r="AE111" s="324">
        <f t="shared" si="7"/>
        <v>2338783.4000000004</v>
      </c>
      <c r="AF111" s="324">
        <f t="shared" si="7"/>
        <v>58848.297916666663</v>
      </c>
    </row>
    <row r="112" spans="1:32">
      <c r="A112" s="16">
        <v>104</v>
      </c>
      <c r="C112" s="3" t="s">
        <v>1423</v>
      </c>
      <c r="D112" s="3" t="str">
        <f t="shared" si="8"/>
        <v>00100</v>
      </c>
      <c r="E112" s="324">
        <v>0</v>
      </c>
      <c r="F112" s="324">
        <v>-5509.99</v>
      </c>
      <c r="G112" s="324">
        <v>0</v>
      </c>
      <c r="H112" s="324">
        <v>-5509.99</v>
      </c>
      <c r="I112" s="324">
        <v>0</v>
      </c>
      <c r="J112" s="324">
        <v>-5509.99</v>
      </c>
      <c r="K112" s="324">
        <v>0</v>
      </c>
      <c r="L112" s="324">
        <v>-5509.99</v>
      </c>
      <c r="M112" s="324">
        <v>0</v>
      </c>
      <c r="N112" s="324">
        <v>-5509.99</v>
      </c>
      <c r="O112" s="324">
        <v>0</v>
      </c>
      <c r="P112" s="324">
        <v>-5509.99</v>
      </c>
      <c r="Q112" s="324">
        <v>0</v>
      </c>
      <c r="R112" s="324">
        <v>-5509.99</v>
      </c>
      <c r="S112" s="324">
        <v>0</v>
      </c>
      <c r="T112" s="324">
        <v>-5509.99</v>
      </c>
      <c r="U112" s="324">
        <v>0</v>
      </c>
      <c r="V112" s="324">
        <v>0</v>
      </c>
      <c r="W112" s="324">
        <v>0</v>
      </c>
      <c r="X112" s="324">
        <v>0</v>
      </c>
      <c r="Y112" s="324">
        <v>0</v>
      </c>
      <c r="Z112" s="324">
        <v>0</v>
      </c>
      <c r="AA112" s="324">
        <v>0</v>
      </c>
      <c r="AB112" s="324">
        <v>0</v>
      </c>
      <c r="AC112" s="324">
        <v>0</v>
      </c>
      <c r="AD112" s="324">
        <v>0</v>
      </c>
      <c r="AE112" s="324">
        <f t="shared" si="7"/>
        <v>0</v>
      </c>
      <c r="AF112" s="324">
        <f t="shared" si="7"/>
        <v>-3443.7437499999996</v>
      </c>
    </row>
    <row r="113" spans="1:32">
      <c r="A113" s="16">
        <v>105</v>
      </c>
      <c r="C113" s="3" t="s">
        <v>1424</v>
      </c>
      <c r="D113" s="3" t="str">
        <f t="shared" si="8"/>
        <v>00100</v>
      </c>
      <c r="E113" s="324">
        <v>156470.54</v>
      </c>
      <c r="F113" s="324">
        <v>-275066.16000000003</v>
      </c>
      <c r="G113" s="324">
        <v>156470.54</v>
      </c>
      <c r="H113" s="324">
        <v>-272801.25</v>
      </c>
      <c r="I113" s="324">
        <v>156470.54</v>
      </c>
      <c r="J113" s="324">
        <v>-270536.34000000003</v>
      </c>
      <c r="K113" s="324">
        <v>156470.54</v>
      </c>
      <c r="L113" s="324">
        <v>-268271.43</v>
      </c>
      <c r="M113" s="324">
        <v>156470.54</v>
      </c>
      <c r="N113" s="324">
        <v>-266006.52</v>
      </c>
      <c r="O113" s="324">
        <v>156470.54</v>
      </c>
      <c r="P113" s="324">
        <v>-263741.61</v>
      </c>
      <c r="Q113" s="324">
        <v>156470.54</v>
      </c>
      <c r="R113" s="324">
        <v>-261476.7</v>
      </c>
      <c r="S113" s="324">
        <v>156470.54</v>
      </c>
      <c r="T113" s="324">
        <v>-259211.79</v>
      </c>
      <c r="U113" s="324">
        <v>156470.54</v>
      </c>
      <c r="V113" s="324">
        <v>-256946.88</v>
      </c>
      <c r="W113" s="324">
        <v>156470.54</v>
      </c>
      <c r="X113" s="324">
        <v>-254681.97</v>
      </c>
      <c r="Y113" s="324">
        <v>156470.54</v>
      </c>
      <c r="Z113" s="324">
        <v>-252417.06</v>
      </c>
      <c r="AA113" s="324">
        <v>156470.54</v>
      </c>
      <c r="AB113" s="324">
        <v>-250152.15</v>
      </c>
      <c r="AC113" s="324">
        <v>156470.54</v>
      </c>
      <c r="AD113" s="324">
        <v>-247887.24</v>
      </c>
      <c r="AE113" s="324">
        <f t="shared" si="7"/>
        <v>156470.54</v>
      </c>
      <c r="AF113" s="324">
        <f t="shared" si="7"/>
        <v>-261476.70000000004</v>
      </c>
    </row>
    <row r="114" spans="1:32">
      <c r="A114" s="16">
        <v>106</v>
      </c>
      <c r="C114" s="3" t="s">
        <v>1425</v>
      </c>
      <c r="D114" s="3" t="str">
        <f t="shared" si="8"/>
        <v>00100</v>
      </c>
      <c r="E114" s="324">
        <v>1276603.8500000001</v>
      </c>
      <c r="F114" s="324">
        <v>-130311.46</v>
      </c>
      <c r="G114" s="324">
        <v>1276603.8500000001</v>
      </c>
      <c r="H114" s="324">
        <v>-125013.55</v>
      </c>
      <c r="I114" s="324">
        <v>1276603.8500000001</v>
      </c>
      <c r="J114" s="324">
        <v>-119715.64</v>
      </c>
      <c r="K114" s="324">
        <v>1276603.8500000001</v>
      </c>
      <c r="L114" s="324">
        <v>-114417.73</v>
      </c>
      <c r="M114" s="324">
        <v>1276603.8500000001</v>
      </c>
      <c r="N114" s="324">
        <v>-109119.82</v>
      </c>
      <c r="O114" s="324">
        <v>1276603.8500000001</v>
      </c>
      <c r="P114" s="324">
        <v>-103821.91</v>
      </c>
      <c r="Q114" s="324">
        <v>1276603.8500000001</v>
      </c>
      <c r="R114" s="324">
        <v>-98524</v>
      </c>
      <c r="S114" s="324">
        <v>1276603.8500000001</v>
      </c>
      <c r="T114" s="324">
        <v>-93226.09</v>
      </c>
      <c r="U114" s="324">
        <v>1276603.8500000001</v>
      </c>
      <c r="V114" s="324">
        <v>-87928.180000000008</v>
      </c>
      <c r="W114" s="324">
        <v>1276603.8500000001</v>
      </c>
      <c r="X114" s="324">
        <v>-82630.27</v>
      </c>
      <c r="Y114" s="324">
        <v>1276603.8500000001</v>
      </c>
      <c r="Z114" s="324">
        <v>-77332.36</v>
      </c>
      <c r="AA114" s="324">
        <v>1276603.8500000001</v>
      </c>
      <c r="AB114" s="324">
        <v>-72034.45</v>
      </c>
      <c r="AC114" s="324">
        <v>1276603.8500000001</v>
      </c>
      <c r="AD114" s="324">
        <v>-66736.540000000008</v>
      </c>
      <c r="AE114" s="324">
        <f t="shared" si="7"/>
        <v>1276603.8499999999</v>
      </c>
      <c r="AF114" s="324">
        <f t="shared" si="7"/>
        <v>-98524</v>
      </c>
    </row>
    <row r="115" spans="1:32">
      <c r="A115" s="16">
        <v>107</v>
      </c>
      <c r="C115" s="3" t="s">
        <v>1426</v>
      </c>
      <c r="D115" s="3" t="str">
        <f t="shared" si="8"/>
        <v>00100</v>
      </c>
      <c r="E115" s="324">
        <v>2994409.61</v>
      </c>
      <c r="F115" s="324">
        <v>2994409.62</v>
      </c>
      <c r="G115" s="324">
        <v>2994409.61</v>
      </c>
      <c r="H115" s="324">
        <v>2994409.62</v>
      </c>
      <c r="I115" s="324">
        <v>2994409.61</v>
      </c>
      <c r="J115" s="324">
        <v>2994409.62</v>
      </c>
      <c r="K115" s="324">
        <v>2994409.61</v>
      </c>
      <c r="L115" s="324">
        <v>2994409.62</v>
      </c>
      <c r="M115" s="324">
        <v>2994409.61</v>
      </c>
      <c r="N115" s="324">
        <v>2994409.62</v>
      </c>
      <c r="O115" s="324">
        <v>2994409.61</v>
      </c>
      <c r="P115" s="324">
        <v>2994409.62</v>
      </c>
      <c r="Q115" s="324">
        <v>2994409.61</v>
      </c>
      <c r="R115" s="324">
        <v>2994409.62</v>
      </c>
      <c r="S115" s="324">
        <v>2994409.61</v>
      </c>
      <c r="T115" s="324">
        <v>2994409.62</v>
      </c>
      <c r="U115" s="324">
        <v>2994409.61</v>
      </c>
      <c r="V115" s="324">
        <v>2994409.62</v>
      </c>
      <c r="W115" s="324">
        <v>2994409.61</v>
      </c>
      <c r="X115" s="324">
        <v>2994409.62</v>
      </c>
      <c r="Y115" s="324">
        <v>2994409.61</v>
      </c>
      <c r="Z115" s="324">
        <v>2994409.62</v>
      </c>
      <c r="AA115" s="324">
        <v>2994409.61</v>
      </c>
      <c r="AB115" s="324">
        <v>2994409.62</v>
      </c>
      <c r="AC115" s="324">
        <v>2994409.61</v>
      </c>
      <c r="AD115" s="324">
        <v>2994409.62</v>
      </c>
      <c r="AE115" s="324">
        <f t="shared" si="7"/>
        <v>2994409.61</v>
      </c>
      <c r="AF115" s="324">
        <f t="shared" si="7"/>
        <v>2994409.6200000006</v>
      </c>
    </row>
    <row r="116" spans="1:32">
      <c r="A116" s="16">
        <v>108</v>
      </c>
      <c r="C116" s="3" t="s">
        <v>1427</v>
      </c>
      <c r="D116" s="3" t="str">
        <f t="shared" si="8"/>
        <v>00100</v>
      </c>
      <c r="E116" s="324">
        <v>48394.18</v>
      </c>
      <c r="F116" s="324">
        <v>34697.26</v>
      </c>
      <c r="G116" s="324">
        <v>48394.18</v>
      </c>
      <c r="H116" s="324">
        <v>34824.300000000003</v>
      </c>
      <c r="I116" s="324">
        <v>48394.18</v>
      </c>
      <c r="J116" s="324">
        <v>34951.340000000004</v>
      </c>
      <c r="K116" s="324">
        <v>48394.18</v>
      </c>
      <c r="L116" s="324">
        <v>35078.379999999997</v>
      </c>
      <c r="M116" s="324">
        <v>48394.18</v>
      </c>
      <c r="N116" s="324">
        <v>35205.42</v>
      </c>
      <c r="O116" s="324">
        <v>48394.18</v>
      </c>
      <c r="P116" s="324">
        <v>35332.46</v>
      </c>
      <c r="Q116" s="324">
        <v>48394.18</v>
      </c>
      <c r="R116" s="324">
        <v>35459.5</v>
      </c>
      <c r="S116" s="324">
        <v>48394.18</v>
      </c>
      <c r="T116" s="324">
        <v>35586.54</v>
      </c>
      <c r="U116" s="324">
        <v>48394.18</v>
      </c>
      <c r="V116" s="324">
        <v>35713.58</v>
      </c>
      <c r="W116" s="324">
        <v>48394.18</v>
      </c>
      <c r="X116" s="324">
        <v>35840.620000000003</v>
      </c>
      <c r="Y116" s="324">
        <v>48394.18</v>
      </c>
      <c r="Z116" s="324">
        <v>35967.660000000003</v>
      </c>
      <c r="AA116" s="324">
        <v>48394.18</v>
      </c>
      <c r="AB116" s="324">
        <v>36094.700000000004</v>
      </c>
      <c r="AC116" s="324">
        <v>48394.18</v>
      </c>
      <c r="AD116" s="324">
        <v>36221.74</v>
      </c>
      <c r="AE116" s="324">
        <f t="shared" si="7"/>
        <v>48394.18</v>
      </c>
      <c r="AF116" s="324">
        <f t="shared" si="7"/>
        <v>35459.500000000007</v>
      </c>
    </row>
    <row r="117" spans="1:32">
      <c r="A117" s="16">
        <v>109</v>
      </c>
      <c r="C117" s="3" t="s">
        <v>1428</v>
      </c>
      <c r="D117" s="3" t="str">
        <f t="shared" si="8"/>
        <v>00100</v>
      </c>
      <c r="E117" s="324">
        <v>1862879.1099999999</v>
      </c>
      <c r="F117" s="324">
        <v>610375.21</v>
      </c>
      <c r="G117" s="324">
        <v>1862879.1099999999</v>
      </c>
      <c r="H117" s="324">
        <v>619922.46</v>
      </c>
      <c r="I117" s="324">
        <v>1862879.1099999999</v>
      </c>
      <c r="J117" s="324">
        <v>629469.71</v>
      </c>
      <c r="K117" s="324">
        <v>1823644.54</v>
      </c>
      <c r="L117" s="324">
        <v>610782.39</v>
      </c>
      <c r="M117" s="324">
        <v>1690581.07</v>
      </c>
      <c r="N117" s="324">
        <v>560189.69000000006</v>
      </c>
      <c r="O117" s="324">
        <v>1727369.21</v>
      </c>
      <c r="P117" s="324">
        <v>568853.92000000004</v>
      </c>
      <c r="Q117" s="324">
        <v>1705419.3900000001</v>
      </c>
      <c r="R117" s="324">
        <v>557907.29</v>
      </c>
      <c r="S117" s="324">
        <v>1705435.58</v>
      </c>
      <c r="T117" s="324">
        <v>566647.56000000006</v>
      </c>
      <c r="U117" s="324">
        <v>1892475.26</v>
      </c>
      <c r="V117" s="324">
        <v>575387.91</v>
      </c>
      <c r="W117" s="324">
        <v>1893123.4500000002</v>
      </c>
      <c r="X117" s="324">
        <v>595086.85</v>
      </c>
      <c r="Y117" s="324">
        <v>1885880.23</v>
      </c>
      <c r="Z117" s="324">
        <v>604789.11</v>
      </c>
      <c r="AA117" s="324">
        <v>1889123.29</v>
      </c>
      <c r="AB117" s="324">
        <v>614454.24</v>
      </c>
      <c r="AC117" s="324">
        <v>1889123.29</v>
      </c>
      <c r="AD117" s="324">
        <v>624136</v>
      </c>
      <c r="AE117" s="324">
        <f t="shared" si="7"/>
        <v>1817900.9533333331</v>
      </c>
      <c r="AF117" s="324">
        <f t="shared" si="7"/>
        <v>593395.56124999991</v>
      </c>
    </row>
    <row r="118" spans="1:32">
      <c r="A118" s="16">
        <v>110</v>
      </c>
      <c r="C118" s="3" t="s">
        <v>1429</v>
      </c>
      <c r="D118" s="3" t="str">
        <f t="shared" si="8"/>
        <v>00100</v>
      </c>
      <c r="E118" s="324">
        <v>43088.19</v>
      </c>
      <c r="F118" s="324">
        <v>11433.29</v>
      </c>
      <c r="G118" s="324">
        <v>43088.19</v>
      </c>
      <c r="H118" s="324">
        <v>11625.03</v>
      </c>
      <c r="I118" s="324">
        <v>43088.19</v>
      </c>
      <c r="J118" s="324">
        <v>11816.77</v>
      </c>
      <c r="K118" s="324">
        <v>43088.19</v>
      </c>
      <c r="L118" s="324">
        <v>12008.51</v>
      </c>
      <c r="M118" s="324">
        <v>43088.19</v>
      </c>
      <c r="N118" s="324">
        <v>12200.25</v>
      </c>
      <c r="O118" s="324">
        <v>43088.19</v>
      </c>
      <c r="P118" s="324">
        <v>12391.99</v>
      </c>
      <c r="Q118" s="324">
        <v>43088.19</v>
      </c>
      <c r="R118" s="324">
        <v>12583.73</v>
      </c>
      <c r="S118" s="324">
        <v>43088.19</v>
      </c>
      <c r="T118" s="324">
        <v>12775.470000000001</v>
      </c>
      <c r="U118" s="324">
        <v>43088.19</v>
      </c>
      <c r="V118" s="324">
        <v>12967.210000000001</v>
      </c>
      <c r="W118" s="324">
        <v>43088.19</v>
      </c>
      <c r="X118" s="324">
        <v>13158.95</v>
      </c>
      <c r="Y118" s="324">
        <v>43088.19</v>
      </c>
      <c r="Z118" s="324">
        <v>13350.69</v>
      </c>
      <c r="AA118" s="324">
        <v>43088.19</v>
      </c>
      <c r="AB118" s="324">
        <v>13542.43</v>
      </c>
      <c r="AC118" s="324">
        <v>43088.19</v>
      </c>
      <c r="AD118" s="324">
        <v>13734.17</v>
      </c>
      <c r="AE118" s="324">
        <f t="shared" si="7"/>
        <v>43088.19</v>
      </c>
      <c r="AF118" s="324">
        <f t="shared" si="7"/>
        <v>12583.730000000001</v>
      </c>
    </row>
    <row r="119" spans="1:32">
      <c r="A119" s="16">
        <v>111</v>
      </c>
      <c r="C119" s="3" t="s">
        <v>1430</v>
      </c>
      <c r="D119" s="3" t="str">
        <f t="shared" si="8"/>
        <v>00100</v>
      </c>
      <c r="E119" s="324">
        <v>1807005.17</v>
      </c>
      <c r="F119" s="324">
        <v>407255.12</v>
      </c>
      <c r="G119" s="324">
        <v>1771449.29</v>
      </c>
      <c r="H119" s="324">
        <v>372322.8</v>
      </c>
      <c r="I119" s="324">
        <v>1773147.3599999999</v>
      </c>
      <c r="J119" s="324">
        <v>377578.10000000003</v>
      </c>
      <c r="K119" s="324">
        <v>1797236.25</v>
      </c>
      <c r="L119" s="324">
        <v>369616.56</v>
      </c>
      <c r="M119" s="324">
        <v>1797236.25</v>
      </c>
      <c r="N119" s="324">
        <v>374948.36</v>
      </c>
      <c r="O119" s="324">
        <v>1797236.25</v>
      </c>
      <c r="P119" s="324">
        <v>380280.16000000003</v>
      </c>
      <c r="Q119" s="324">
        <v>1797236.25</v>
      </c>
      <c r="R119" s="324">
        <v>385611.96</v>
      </c>
      <c r="S119" s="324">
        <v>1803466.4300000002</v>
      </c>
      <c r="T119" s="324">
        <v>390943.76</v>
      </c>
      <c r="U119" s="324">
        <v>1807125.4300000002</v>
      </c>
      <c r="V119" s="324">
        <v>396294.04000000004</v>
      </c>
      <c r="W119" s="324">
        <v>1807125.4300000002</v>
      </c>
      <c r="X119" s="324">
        <v>401655.18</v>
      </c>
      <c r="Y119" s="324">
        <v>1831828.1</v>
      </c>
      <c r="Z119" s="324">
        <v>407016.32</v>
      </c>
      <c r="AA119" s="324">
        <v>1832746.1600000001</v>
      </c>
      <c r="AB119" s="324">
        <v>412450.74</v>
      </c>
      <c r="AC119" s="324">
        <v>1832745.72</v>
      </c>
      <c r="AD119" s="324">
        <v>417887.89</v>
      </c>
      <c r="AE119" s="324">
        <f t="shared" si="7"/>
        <v>1802975.7204166667</v>
      </c>
      <c r="AF119" s="324">
        <f t="shared" si="7"/>
        <v>390107.45708333334</v>
      </c>
    </row>
    <row r="120" spans="1:32">
      <c r="A120" s="16">
        <v>112</v>
      </c>
      <c r="C120" s="3" t="s">
        <v>1431</v>
      </c>
      <c r="D120" s="3" t="str">
        <f t="shared" si="8"/>
        <v>00100</v>
      </c>
      <c r="E120" s="324">
        <v>96880.82</v>
      </c>
      <c r="F120" s="324">
        <v>35862.69</v>
      </c>
      <c r="G120" s="324">
        <v>96880.82</v>
      </c>
      <c r="H120" s="324">
        <v>36234.07</v>
      </c>
      <c r="I120" s="324">
        <v>96880.82</v>
      </c>
      <c r="J120" s="324">
        <v>36605.450000000004</v>
      </c>
      <c r="K120" s="324">
        <v>96880.82</v>
      </c>
      <c r="L120" s="324">
        <v>36976.83</v>
      </c>
      <c r="M120" s="324">
        <v>96880.82</v>
      </c>
      <c r="N120" s="324">
        <v>37348.21</v>
      </c>
      <c r="O120" s="324">
        <v>96880.82</v>
      </c>
      <c r="P120" s="324">
        <v>37719.590000000004</v>
      </c>
      <c r="Q120" s="324">
        <v>96880.82</v>
      </c>
      <c r="R120" s="324">
        <v>38090.97</v>
      </c>
      <c r="S120" s="324">
        <v>96880.82</v>
      </c>
      <c r="T120" s="324">
        <v>38462.35</v>
      </c>
      <c r="U120" s="324">
        <v>96880.82</v>
      </c>
      <c r="V120" s="324">
        <v>38833.730000000003</v>
      </c>
      <c r="W120" s="324">
        <v>96880.82</v>
      </c>
      <c r="X120" s="324">
        <v>39205.11</v>
      </c>
      <c r="Y120" s="324">
        <v>96880.82</v>
      </c>
      <c r="Z120" s="324">
        <v>39576.49</v>
      </c>
      <c r="AA120" s="324">
        <v>96880.82</v>
      </c>
      <c r="AB120" s="324">
        <v>39947.870000000003</v>
      </c>
      <c r="AC120" s="324">
        <v>96880.82</v>
      </c>
      <c r="AD120" s="324">
        <v>40319.25</v>
      </c>
      <c r="AE120" s="324">
        <f t="shared" si="7"/>
        <v>96880.820000000022</v>
      </c>
      <c r="AF120" s="324">
        <f t="shared" si="7"/>
        <v>38090.97</v>
      </c>
    </row>
    <row r="121" spans="1:32">
      <c r="A121" s="16">
        <v>113</v>
      </c>
      <c r="C121" s="3" t="s">
        <v>1432</v>
      </c>
      <c r="D121" s="3" t="str">
        <f t="shared" si="8"/>
        <v>00100</v>
      </c>
      <c r="E121" s="324">
        <v>-101377.08</v>
      </c>
      <c r="F121" s="324">
        <v>14178.11</v>
      </c>
      <c r="G121" s="324">
        <v>-101377.08</v>
      </c>
      <c r="H121" s="324">
        <v>13740.5</v>
      </c>
      <c r="I121" s="324">
        <v>-101377.08</v>
      </c>
      <c r="J121" s="324">
        <v>13302.89</v>
      </c>
      <c r="K121" s="324">
        <v>-101377.08</v>
      </c>
      <c r="L121" s="324">
        <v>12865.28</v>
      </c>
      <c r="M121" s="324">
        <v>-95577.35</v>
      </c>
      <c r="N121" s="324">
        <v>12095.300000000001</v>
      </c>
      <c r="O121" s="324">
        <v>-95577.35</v>
      </c>
      <c r="P121" s="324">
        <v>11682.73</v>
      </c>
      <c r="Q121" s="324">
        <v>-95577.35</v>
      </c>
      <c r="R121" s="324">
        <v>11270.16</v>
      </c>
      <c r="S121" s="324">
        <v>-95577.35</v>
      </c>
      <c r="T121" s="324">
        <v>10857.59</v>
      </c>
      <c r="U121" s="324">
        <v>-95577.35</v>
      </c>
      <c r="V121" s="324">
        <v>10445.02</v>
      </c>
      <c r="W121" s="324">
        <v>-95577.35</v>
      </c>
      <c r="X121" s="324">
        <v>10032.450000000001</v>
      </c>
      <c r="Y121" s="324">
        <v>-95577.35</v>
      </c>
      <c r="Z121" s="324">
        <v>9619.880000000001</v>
      </c>
      <c r="AA121" s="324">
        <v>-95577.35</v>
      </c>
      <c r="AB121" s="324">
        <v>9207.31</v>
      </c>
      <c r="AC121" s="324">
        <v>-95577.35</v>
      </c>
      <c r="AD121" s="324">
        <v>8794.74</v>
      </c>
      <c r="AE121" s="324">
        <f t="shared" si="7"/>
        <v>-97268.937916666662</v>
      </c>
      <c r="AF121" s="324">
        <f t="shared" si="7"/>
        <v>11383.794583333334</v>
      </c>
    </row>
    <row r="122" spans="1:32">
      <c r="A122" s="16">
        <v>114</v>
      </c>
      <c r="C122" s="3" t="s">
        <v>1433</v>
      </c>
      <c r="D122" s="3" t="str">
        <f t="shared" si="8"/>
        <v>00100</v>
      </c>
      <c r="E122" s="324">
        <v>26798.560000000001</v>
      </c>
      <c r="F122" s="324">
        <v>-2175.2600000000002</v>
      </c>
      <c r="G122" s="324">
        <v>26798.560000000001</v>
      </c>
      <c r="H122" s="324">
        <v>-2105.59</v>
      </c>
      <c r="I122" s="324">
        <v>26798.560000000001</v>
      </c>
      <c r="J122" s="324">
        <v>-2035.92</v>
      </c>
      <c r="K122" s="324">
        <v>26798.560000000001</v>
      </c>
      <c r="L122" s="324">
        <v>-1966.25</v>
      </c>
      <c r="M122" s="324">
        <v>26798.560000000001</v>
      </c>
      <c r="N122" s="324">
        <v>-1896.58</v>
      </c>
      <c r="O122" s="324">
        <v>26798.560000000001</v>
      </c>
      <c r="P122" s="324">
        <v>-1826.91</v>
      </c>
      <c r="Q122" s="324">
        <v>26798.560000000001</v>
      </c>
      <c r="R122" s="324">
        <v>-1757.24</v>
      </c>
      <c r="S122" s="324">
        <v>26798.560000000001</v>
      </c>
      <c r="T122" s="324">
        <v>-1687.57</v>
      </c>
      <c r="U122" s="324">
        <v>26798.560000000001</v>
      </c>
      <c r="V122" s="324">
        <v>-1617.9</v>
      </c>
      <c r="W122" s="324">
        <v>26798.560000000001</v>
      </c>
      <c r="X122" s="324">
        <v>-1548.23</v>
      </c>
      <c r="Y122" s="324">
        <v>26798.560000000001</v>
      </c>
      <c r="Z122" s="324">
        <v>-1478.56</v>
      </c>
      <c r="AA122" s="324">
        <v>26798.560000000001</v>
      </c>
      <c r="AB122" s="324">
        <v>-1408.89</v>
      </c>
      <c r="AC122" s="324">
        <v>26798.560000000001</v>
      </c>
      <c r="AD122" s="324">
        <v>-1339.22</v>
      </c>
      <c r="AE122" s="324">
        <f t="shared" si="7"/>
        <v>26798.560000000001</v>
      </c>
      <c r="AF122" s="324">
        <f t="shared" si="7"/>
        <v>-1757.24</v>
      </c>
    </row>
    <row r="123" spans="1:32">
      <c r="A123" s="16">
        <v>115</v>
      </c>
      <c r="C123" s="3" t="s">
        <v>1434</v>
      </c>
      <c r="D123" s="3" t="str">
        <f t="shared" si="8"/>
        <v>00100</v>
      </c>
      <c r="E123" s="324">
        <v>10882.89</v>
      </c>
      <c r="F123" s="324">
        <v>2068.25</v>
      </c>
      <c r="G123" s="324">
        <v>10882.89</v>
      </c>
      <c r="H123" s="324">
        <v>2153.23</v>
      </c>
      <c r="I123" s="324">
        <v>10882.89</v>
      </c>
      <c r="J123" s="324">
        <v>2238.21</v>
      </c>
      <c r="K123" s="324">
        <v>10882.89</v>
      </c>
      <c r="L123" s="324">
        <v>2323.19</v>
      </c>
      <c r="M123" s="324">
        <v>10882.89</v>
      </c>
      <c r="N123" s="324">
        <v>2408.17</v>
      </c>
      <c r="O123" s="324">
        <v>10882.89</v>
      </c>
      <c r="P123" s="324">
        <v>2493.15</v>
      </c>
      <c r="Q123" s="324">
        <v>10882.89</v>
      </c>
      <c r="R123" s="324">
        <v>2578.13</v>
      </c>
      <c r="S123" s="324">
        <v>10882.89</v>
      </c>
      <c r="T123" s="324">
        <v>2663.11</v>
      </c>
      <c r="U123" s="324">
        <v>10882.89</v>
      </c>
      <c r="V123" s="324">
        <v>2748.09</v>
      </c>
      <c r="W123" s="324">
        <v>10882.89</v>
      </c>
      <c r="X123" s="324">
        <v>2833.07</v>
      </c>
      <c r="Y123" s="324">
        <v>10882.89</v>
      </c>
      <c r="Z123" s="324">
        <v>2918.05</v>
      </c>
      <c r="AA123" s="324">
        <v>10882.89</v>
      </c>
      <c r="AB123" s="324">
        <v>3003.03</v>
      </c>
      <c r="AC123" s="324">
        <v>10882.89</v>
      </c>
      <c r="AD123" s="324">
        <v>3088.01</v>
      </c>
      <c r="AE123" s="324">
        <f t="shared" si="7"/>
        <v>10882.89</v>
      </c>
      <c r="AF123" s="324">
        <f t="shared" si="7"/>
        <v>2578.13</v>
      </c>
    </row>
    <row r="124" spans="1:32">
      <c r="A124" s="16">
        <v>116</v>
      </c>
      <c r="C124" s="3" t="s">
        <v>1435</v>
      </c>
      <c r="D124" s="3" t="str">
        <f t="shared" si="8"/>
        <v>00100</v>
      </c>
      <c r="E124" s="324">
        <v>699164.71</v>
      </c>
      <c r="F124" s="324">
        <v>658405.49</v>
      </c>
      <c r="G124" s="324">
        <v>699164.71</v>
      </c>
      <c r="H124" s="324">
        <v>658481.23</v>
      </c>
      <c r="I124" s="324">
        <v>699164.71</v>
      </c>
      <c r="J124" s="324">
        <v>658556.97</v>
      </c>
      <c r="K124" s="324">
        <v>699164.71</v>
      </c>
      <c r="L124" s="324">
        <v>658632.71</v>
      </c>
      <c r="M124" s="324">
        <v>699164.71</v>
      </c>
      <c r="N124" s="324">
        <v>658708.45000000007</v>
      </c>
      <c r="O124" s="324">
        <v>699164.71</v>
      </c>
      <c r="P124" s="324">
        <v>658784.19000000006</v>
      </c>
      <c r="Q124" s="324">
        <v>699164.71</v>
      </c>
      <c r="R124" s="324">
        <v>658859.93000000005</v>
      </c>
      <c r="S124" s="324">
        <v>699164.71</v>
      </c>
      <c r="T124" s="324">
        <v>658935.67000000004</v>
      </c>
      <c r="U124" s="324">
        <v>699164.71</v>
      </c>
      <c r="V124" s="324">
        <v>659011.41</v>
      </c>
      <c r="W124" s="324">
        <v>699164.71</v>
      </c>
      <c r="X124" s="324">
        <v>659087.15</v>
      </c>
      <c r="Y124" s="324">
        <v>699164.71</v>
      </c>
      <c r="Z124" s="324">
        <v>659162.89</v>
      </c>
      <c r="AA124" s="324">
        <v>755929.81</v>
      </c>
      <c r="AB124" s="324">
        <v>659238.63</v>
      </c>
      <c r="AC124" s="324">
        <v>755929.81</v>
      </c>
      <c r="AD124" s="324">
        <v>659320.52</v>
      </c>
      <c r="AE124" s="324">
        <f t="shared" si="7"/>
        <v>706260.34750000003</v>
      </c>
      <c r="AF124" s="324">
        <f t="shared" si="7"/>
        <v>658860.18625000003</v>
      </c>
    </row>
    <row r="125" spans="1:32">
      <c r="A125" s="16">
        <v>117</v>
      </c>
      <c r="C125" s="3" t="s">
        <v>1436</v>
      </c>
      <c r="D125" s="3" t="str">
        <f t="shared" si="8"/>
        <v>00100</v>
      </c>
      <c r="E125" s="324">
        <v>134305.54</v>
      </c>
      <c r="F125" s="324">
        <v>-70992.490000000005</v>
      </c>
      <c r="G125" s="324">
        <v>134305.54</v>
      </c>
      <c r="H125" s="324">
        <v>-69965.05</v>
      </c>
      <c r="I125" s="324">
        <v>134305.54</v>
      </c>
      <c r="J125" s="324">
        <v>-68937.61</v>
      </c>
      <c r="K125" s="324">
        <v>134305.54</v>
      </c>
      <c r="L125" s="324">
        <v>-67910.17</v>
      </c>
      <c r="M125" s="324">
        <v>134305.54</v>
      </c>
      <c r="N125" s="324">
        <v>-66882.73</v>
      </c>
      <c r="O125" s="324">
        <v>134305.54</v>
      </c>
      <c r="P125" s="324">
        <v>-65855.290000000008</v>
      </c>
      <c r="Q125" s="324">
        <v>134305.54</v>
      </c>
      <c r="R125" s="324">
        <v>-64827.85</v>
      </c>
      <c r="S125" s="324">
        <v>134305.54</v>
      </c>
      <c r="T125" s="324">
        <v>-63800.41</v>
      </c>
      <c r="U125" s="324">
        <v>134305.54</v>
      </c>
      <c r="V125" s="324">
        <v>-62772.97</v>
      </c>
      <c r="W125" s="324">
        <v>134305.54</v>
      </c>
      <c r="X125" s="324">
        <v>-61745.53</v>
      </c>
      <c r="Y125" s="324">
        <v>134305.54</v>
      </c>
      <c r="Z125" s="324">
        <v>-60718.090000000004</v>
      </c>
      <c r="AA125" s="324">
        <v>134305.54</v>
      </c>
      <c r="AB125" s="324">
        <v>-59690.65</v>
      </c>
      <c r="AC125" s="324">
        <v>134305.54</v>
      </c>
      <c r="AD125" s="324">
        <v>-58663.21</v>
      </c>
      <c r="AE125" s="324">
        <f t="shared" si="7"/>
        <v>134305.54</v>
      </c>
      <c r="AF125" s="324">
        <f t="shared" si="7"/>
        <v>-64827.85</v>
      </c>
    </row>
    <row r="126" spans="1:32">
      <c r="A126" s="16">
        <v>118</v>
      </c>
      <c r="C126" s="3" t="s">
        <v>1437</v>
      </c>
      <c r="D126" s="3" t="str">
        <f t="shared" si="8"/>
        <v>00100</v>
      </c>
      <c r="E126" s="324">
        <v>59484.53</v>
      </c>
      <c r="F126" s="324">
        <v>-749.38</v>
      </c>
      <c r="G126" s="324">
        <v>59484.53</v>
      </c>
      <c r="H126" s="324">
        <v>-228.39000000000001</v>
      </c>
      <c r="I126" s="324">
        <v>59484.53</v>
      </c>
      <c r="J126" s="324">
        <v>292.60000000000002</v>
      </c>
      <c r="K126" s="324">
        <v>59484.53</v>
      </c>
      <c r="L126" s="324">
        <v>813.59</v>
      </c>
      <c r="M126" s="324">
        <v>59484.53</v>
      </c>
      <c r="N126" s="324">
        <v>1334.58</v>
      </c>
      <c r="O126" s="324">
        <v>59484.53</v>
      </c>
      <c r="P126" s="324">
        <v>1855.57</v>
      </c>
      <c r="Q126" s="324">
        <v>59484.53</v>
      </c>
      <c r="R126" s="324">
        <v>2376.56</v>
      </c>
      <c r="S126" s="324">
        <v>59484.53</v>
      </c>
      <c r="T126" s="324">
        <v>2897.55</v>
      </c>
      <c r="U126" s="324">
        <v>59484.53</v>
      </c>
      <c r="V126" s="324">
        <v>3418.54</v>
      </c>
      <c r="W126" s="324">
        <v>59484.53</v>
      </c>
      <c r="X126" s="324">
        <v>3939.53</v>
      </c>
      <c r="Y126" s="324">
        <v>59484.53</v>
      </c>
      <c r="Z126" s="324">
        <v>4460.5200000000004</v>
      </c>
      <c r="AA126" s="324">
        <v>59484.53</v>
      </c>
      <c r="AB126" s="324">
        <v>4981.51</v>
      </c>
      <c r="AC126" s="324">
        <v>59484.53</v>
      </c>
      <c r="AD126" s="324">
        <v>5502.5</v>
      </c>
      <c r="AE126" s="324">
        <f t="shared" si="7"/>
        <v>59484.530000000021</v>
      </c>
      <c r="AF126" s="324">
        <f t="shared" si="7"/>
        <v>2376.5600000000004</v>
      </c>
    </row>
    <row r="127" spans="1:32">
      <c r="A127" s="16">
        <v>119</v>
      </c>
      <c r="C127" s="3" t="s">
        <v>1438</v>
      </c>
      <c r="D127" s="3" t="str">
        <f t="shared" si="8"/>
        <v>00101</v>
      </c>
      <c r="E127" s="324">
        <v>152895.69</v>
      </c>
      <c r="F127" s="324">
        <v>877.88</v>
      </c>
      <c r="G127" s="324">
        <v>152895.69</v>
      </c>
      <c r="H127" s="324">
        <v>1755.76</v>
      </c>
      <c r="I127" s="324">
        <v>152895.69</v>
      </c>
      <c r="J127" s="324">
        <v>2633.64</v>
      </c>
      <c r="K127" s="324">
        <v>160441.69</v>
      </c>
      <c r="L127" s="324">
        <v>-5239.4800000000005</v>
      </c>
      <c r="M127" s="324">
        <v>1711691.02</v>
      </c>
      <c r="N127" s="324">
        <v>-4318.28</v>
      </c>
      <c r="O127" s="324">
        <v>1814160.85</v>
      </c>
      <c r="P127" s="324">
        <v>5501.22</v>
      </c>
      <c r="Q127" s="324">
        <v>1841077.5899999999</v>
      </c>
      <c r="R127" s="324">
        <v>15917.53</v>
      </c>
      <c r="S127" s="324">
        <v>1841077.5899999999</v>
      </c>
      <c r="T127" s="324">
        <v>26470.74</v>
      </c>
      <c r="U127" s="324">
        <v>1932569.9300000002</v>
      </c>
      <c r="V127" s="324">
        <v>37041.590000000004</v>
      </c>
      <c r="W127" s="324">
        <v>2015329.4</v>
      </c>
      <c r="X127" s="324">
        <v>52694.76</v>
      </c>
      <c r="Y127" s="324">
        <v>2093935.68</v>
      </c>
      <c r="Z127" s="324">
        <v>64266.11</v>
      </c>
      <c r="AA127" s="324">
        <v>2094021.05</v>
      </c>
      <c r="AB127" s="324">
        <v>76288.790000000008</v>
      </c>
      <c r="AC127" s="324">
        <v>2097605.38</v>
      </c>
      <c r="AD127" s="324">
        <v>88311.96</v>
      </c>
      <c r="AE127" s="324">
        <f t="shared" si="7"/>
        <v>1411278.8929166666</v>
      </c>
      <c r="AF127" s="324">
        <f t="shared" si="7"/>
        <v>26467.274999999998</v>
      </c>
    </row>
    <row r="128" spans="1:32">
      <c r="A128" s="16">
        <v>120</v>
      </c>
      <c r="C128" s="3" t="s">
        <v>1439</v>
      </c>
      <c r="D128" s="3" t="str">
        <f t="shared" si="8"/>
        <v>00101</v>
      </c>
      <c r="E128" s="324">
        <v>51182030.329999998</v>
      </c>
      <c r="F128" s="324">
        <v>16837378.149999999</v>
      </c>
      <c r="G128" s="324">
        <v>51160208.359999999</v>
      </c>
      <c r="H128" s="324">
        <v>16899812.190000001</v>
      </c>
      <c r="I128" s="324">
        <v>51060135.469999999</v>
      </c>
      <c r="J128" s="324">
        <v>16852905.27</v>
      </c>
      <c r="K128" s="324">
        <v>51639163.960000001</v>
      </c>
      <c r="L128" s="324">
        <v>16920899.539999999</v>
      </c>
      <c r="M128" s="324">
        <v>50406543.200000003</v>
      </c>
      <c r="N128" s="324">
        <v>16957899.129999999</v>
      </c>
      <c r="O128" s="324">
        <v>51892286.270000003</v>
      </c>
      <c r="P128" s="324">
        <v>17019364.969999999</v>
      </c>
      <c r="Q128" s="324">
        <v>52379921.789999999</v>
      </c>
      <c r="R128" s="324">
        <v>17013189.66</v>
      </c>
      <c r="S128" s="324">
        <v>52727038.460000001</v>
      </c>
      <c r="T128" s="324">
        <v>17083649.920000002</v>
      </c>
      <c r="U128" s="324">
        <v>52882327.759999998</v>
      </c>
      <c r="V128" s="324">
        <v>17183391.899999999</v>
      </c>
      <c r="W128" s="324">
        <v>53103996.219999999</v>
      </c>
      <c r="X128" s="324">
        <v>17141518.27</v>
      </c>
      <c r="Y128" s="324">
        <v>53335011</v>
      </c>
      <c r="Z128" s="324">
        <v>17129958.969999999</v>
      </c>
      <c r="AA128" s="324">
        <v>53897711.869999997</v>
      </c>
      <c r="AB128" s="324">
        <v>17190421.510000002</v>
      </c>
      <c r="AC128" s="324">
        <v>54174250</v>
      </c>
      <c r="AD128" s="324">
        <v>17253698.82</v>
      </c>
      <c r="AE128" s="324">
        <f t="shared" si="7"/>
        <v>52263540.377083331</v>
      </c>
      <c r="AF128" s="324">
        <f t="shared" si="7"/>
        <v>17036545.817916665</v>
      </c>
    </row>
    <row r="129" spans="1:32">
      <c r="A129" s="16">
        <v>121</v>
      </c>
      <c r="C129" s="3" t="s">
        <v>1440</v>
      </c>
      <c r="D129" s="3" t="str">
        <f t="shared" si="8"/>
        <v>00101</v>
      </c>
      <c r="E129" s="324">
        <v>10358744.91</v>
      </c>
      <c r="F129" s="324">
        <v>3715135.11</v>
      </c>
      <c r="G129" s="324">
        <v>10355536.439999999</v>
      </c>
      <c r="H129" s="324">
        <v>3726929.45</v>
      </c>
      <c r="I129" s="324">
        <v>10315040.960000001</v>
      </c>
      <c r="J129" s="324">
        <v>3706454.67</v>
      </c>
      <c r="K129" s="324">
        <v>10333469.91</v>
      </c>
      <c r="L129" s="324">
        <v>3719301.89</v>
      </c>
      <c r="M129" s="324">
        <v>10338986.5</v>
      </c>
      <c r="N129" s="324">
        <v>3725738.58</v>
      </c>
      <c r="O129" s="324">
        <v>10366133.07</v>
      </c>
      <c r="P129" s="324">
        <v>3725109.34</v>
      </c>
      <c r="Q129" s="324">
        <v>10339476.75</v>
      </c>
      <c r="R129" s="324">
        <v>3712275.58</v>
      </c>
      <c r="S129" s="324">
        <v>10339574.16</v>
      </c>
      <c r="T129" s="324">
        <v>3722128.14</v>
      </c>
      <c r="U129" s="324">
        <v>10368697.16</v>
      </c>
      <c r="V129" s="324">
        <v>3742117.98</v>
      </c>
      <c r="W129" s="324">
        <v>10393997.16</v>
      </c>
      <c r="X129" s="324">
        <v>3729577.88</v>
      </c>
      <c r="Y129" s="324">
        <v>10378396.300000001</v>
      </c>
      <c r="Z129" s="324">
        <v>3703590.21</v>
      </c>
      <c r="AA129" s="324">
        <v>10373562.83</v>
      </c>
      <c r="AB129" s="324">
        <v>3707805.92</v>
      </c>
      <c r="AC129" s="324">
        <v>10387456.75</v>
      </c>
      <c r="AD129" s="324">
        <v>3712345.17</v>
      </c>
      <c r="AE129" s="324">
        <f t="shared" si="7"/>
        <v>10356331.005833333</v>
      </c>
      <c r="AF129" s="324">
        <f t="shared" si="7"/>
        <v>3719564.1483333334</v>
      </c>
    </row>
    <row r="130" spans="1:32" ht="16.2">
      <c r="A130" s="16">
        <v>122</v>
      </c>
      <c r="B130" s="326" t="s">
        <v>1399</v>
      </c>
      <c r="C130" s="327"/>
      <c r="D130" s="326" t="s">
        <v>1441</v>
      </c>
      <c r="E130" s="328">
        <f>SUM(E91:E129)</f>
        <v>112362136.67000002</v>
      </c>
      <c r="F130" s="328">
        <f t="shared" ref="F130:AF130" si="9">SUM(F91:F129)</f>
        <v>39200450.210000001</v>
      </c>
      <c r="G130" s="328">
        <f t="shared" si="9"/>
        <v>112571769.66999999</v>
      </c>
      <c r="H130" s="328">
        <f t="shared" si="9"/>
        <v>39526591.510000013</v>
      </c>
      <c r="I130" s="328">
        <f t="shared" si="9"/>
        <v>112454606.22</v>
      </c>
      <c r="J130" s="328">
        <f t="shared" si="9"/>
        <v>39755859.020000003</v>
      </c>
      <c r="K130" s="328">
        <f t="shared" si="9"/>
        <v>113101483.36</v>
      </c>
      <c r="L130" s="328">
        <f t="shared" si="9"/>
        <v>40082008.399999999</v>
      </c>
      <c r="M130" s="328">
        <f t="shared" si="9"/>
        <v>113359532.71000001</v>
      </c>
      <c r="N130" s="328">
        <f t="shared" si="9"/>
        <v>40361238.510000005</v>
      </c>
      <c r="O130" s="328">
        <f t="shared" si="9"/>
        <v>115014438.06999999</v>
      </c>
      <c r="P130" s="328">
        <f t="shared" si="9"/>
        <v>40727219.090000004</v>
      </c>
      <c r="Q130" s="328">
        <f t="shared" si="9"/>
        <v>115477290.96000001</v>
      </c>
      <c r="R130" s="328">
        <f t="shared" si="9"/>
        <v>40994379.859999999</v>
      </c>
      <c r="S130" s="328">
        <f t="shared" si="9"/>
        <v>115830751.41</v>
      </c>
      <c r="T130" s="328">
        <f t="shared" si="9"/>
        <v>41364992.230000004</v>
      </c>
      <c r="U130" s="328">
        <f t="shared" si="9"/>
        <v>116340557.40000001</v>
      </c>
      <c r="V130" s="328">
        <f t="shared" si="9"/>
        <v>41780642.32</v>
      </c>
      <c r="W130" s="328">
        <f t="shared" si="9"/>
        <v>116675236.34</v>
      </c>
      <c r="X130" s="328">
        <f t="shared" si="9"/>
        <v>42032811.619999997</v>
      </c>
      <c r="Y130" s="328">
        <f t="shared" si="9"/>
        <v>116988147.11999999</v>
      </c>
      <c r="Z130" s="328">
        <f t="shared" si="9"/>
        <v>42288253.859999999</v>
      </c>
      <c r="AA130" s="328">
        <f t="shared" si="9"/>
        <v>117607026.10999998</v>
      </c>
      <c r="AB130" s="328">
        <f t="shared" si="9"/>
        <v>42645845.780000001</v>
      </c>
      <c r="AC130" s="328">
        <f t="shared" si="9"/>
        <v>117946720.29000001</v>
      </c>
      <c r="AD130" s="328">
        <f t="shared" si="9"/>
        <v>43006649.770000011</v>
      </c>
      <c r="AE130" s="328">
        <f t="shared" si="9"/>
        <v>115047938.98749998</v>
      </c>
      <c r="AF130" s="328">
        <f t="shared" si="9"/>
        <v>41055282.682499997</v>
      </c>
    </row>
    <row r="131" spans="1:32" ht="16.2">
      <c r="A131" s="16">
        <v>123</v>
      </c>
      <c r="B131" s="1242" t="s">
        <v>1442</v>
      </c>
      <c r="C131" s="1242"/>
      <c r="D131" s="329"/>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row>
    <row r="132" spans="1:32">
      <c r="A132" s="16">
        <v>124</v>
      </c>
      <c r="C132" s="3" t="s">
        <v>1443</v>
      </c>
      <c r="E132" s="324">
        <v>0</v>
      </c>
      <c r="F132" s="324">
        <v>0</v>
      </c>
      <c r="G132" s="324">
        <v>0</v>
      </c>
      <c r="H132" s="324">
        <v>0</v>
      </c>
      <c r="I132" s="324">
        <v>0</v>
      </c>
      <c r="J132" s="324">
        <v>0</v>
      </c>
      <c r="K132" s="324">
        <v>0</v>
      </c>
      <c r="L132" s="324">
        <v>0</v>
      </c>
      <c r="M132" s="324">
        <v>0</v>
      </c>
      <c r="N132" s="324">
        <v>0</v>
      </c>
      <c r="O132" s="324">
        <v>0</v>
      </c>
      <c r="P132" s="324">
        <v>0</v>
      </c>
      <c r="Q132" s="324">
        <v>0</v>
      </c>
      <c r="R132" s="324">
        <v>0</v>
      </c>
      <c r="S132" s="324">
        <v>0</v>
      </c>
      <c r="T132" s="324">
        <v>0</v>
      </c>
      <c r="U132" s="324">
        <v>87147.19</v>
      </c>
      <c r="V132" s="324">
        <v>30084.41</v>
      </c>
      <c r="W132" s="324">
        <v>87147.19</v>
      </c>
      <c r="X132" s="324">
        <v>30154.9</v>
      </c>
      <c r="Y132" s="324">
        <v>87147.19</v>
      </c>
      <c r="Z132" s="324">
        <v>30225.39</v>
      </c>
      <c r="AA132" s="324">
        <v>87147.19</v>
      </c>
      <c r="AB132" s="324">
        <v>30295.88</v>
      </c>
      <c r="AC132" s="324">
        <v>87147.19</v>
      </c>
      <c r="AD132" s="324">
        <v>30366.37</v>
      </c>
      <c r="AE132" s="324">
        <f t="shared" ref="AE132:AF134" si="10">+(E132+AC132+(+G132+I132+K132+M132+O132+Q132+S132+U132+W132+Y132+AA132)*2)/24</f>
        <v>32680.196249999997</v>
      </c>
      <c r="AF132" s="324">
        <f t="shared" si="10"/>
        <v>11328.647083333335</v>
      </c>
    </row>
    <row r="133" spans="1:32">
      <c r="A133" s="16">
        <v>125</v>
      </c>
      <c r="C133" s="3" t="s">
        <v>1444</v>
      </c>
      <c r="E133" s="324">
        <v>4535.99</v>
      </c>
      <c r="F133" s="324">
        <v>2551.4299999999998</v>
      </c>
      <c r="G133" s="324">
        <v>4535.99</v>
      </c>
      <c r="H133" s="324">
        <v>2559.54</v>
      </c>
      <c r="I133" s="324">
        <v>4535.99</v>
      </c>
      <c r="J133" s="324">
        <v>2567.65</v>
      </c>
      <c r="K133" s="324">
        <v>4535.99</v>
      </c>
      <c r="L133" s="324">
        <v>2575.75</v>
      </c>
      <c r="M133" s="324">
        <v>4535.99</v>
      </c>
      <c r="N133" s="324">
        <v>2583.86</v>
      </c>
      <c r="O133" s="324">
        <v>4535.99</v>
      </c>
      <c r="P133" s="324">
        <v>2591.96</v>
      </c>
      <c r="Q133" s="324">
        <v>4535.99</v>
      </c>
      <c r="R133" s="324">
        <v>2600.0700000000002</v>
      </c>
      <c r="S133" s="324">
        <v>4535.99</v>
      </c>
      <c r="T133" s="324">
        <v>2608.17</v>
      </c>
      <c r="U133" s="324">
        <v>4535.99</v>
      </c>
      <c r="V133" s="324">
        <v>2616.27</v>
      </c>
      <c r="W133" s="324">
        <v>0</v>
      </c>
      <c r="X133" s="324">
        <v>0</v>
      </c>
      <c r="Y133" s="324">
        <v>0</v>
      </c>
      <c r="Z133" s="324">
        <v>0</v>
      </c>
      <c r="AA133" s="324">
        <v>0</v>
      </c>
      <c r="AB133" s="324">
        <v>0</v>
      </c>
      <c r="AC133" s="324">
        <v>0</v>
      </c>
      <c r="AD133" s="324">
        <v>0</v>
      </c>
      <c r="AE133" s="324">
        <f t="shared" si="10"/>
        <v>3212.9929166666661</v>
      </c>
      <c r="AF133" s="324">
        <f t="shared" si="10"/>
        <v>1831.5820833333335</v>
      </c>
    </row>
    <row r="134" spans="1:32">
      <c r="A134" s="16">
        <v>126</v>
      </c>
      <c r="C134" s="3" t="s">
        <v>1445</v>
      </c>
      <c r="E134" s="324">
        <v>15387550.01</v>
      </c>
      <c r="F134" s="324">
        <v>8466077.3900000341</v>
      </c>
      <c r="G134" s="324">
        <v>15387550.01</v>
      </c>
      <c r="H134" s="324">
        <v>3731275.7599998023</v>
      </c>
      <c r="I134" s="324">
        <v>15387550.01</v>
      </c>
      <c r="J134" s="324">
        <v>3731319.9400000405</v>
      </c>
      <c r="K134" s="324">
        <v>15428541.02</v>
      </c>
      <c r="L134" s="324">
        <v>3756741.1300001</v>
      </c>
      <c r="M134" s="324">
        <v>15428541.02</v>
      </c>
      <c r="N134" s="324">
        <v>3756785.3299999214</v>
      </c>
      <c r="O134" s="324">
        <v>15428541.02</v>
      </c>
      <c r="P134" s="324">
        <v>3756829.5099999215</v>
      </c>
      <c r="Q134" s="324">
        <v>15513606.02</v>
      </c>
      <c r="R134" s="324">
        <v>3751844.7100001597</v>
      </c>
      <c r="S134" s="324">
        <v>15513606.02</v>
      </c>
      <c r="T134" s="324">
        <v>3751888.8900000406</v>
      </c>
      <c r="U134" s="324">
        <v>15349364.130000001</v>
      </c>
      <c r="V134" s="324">
        <v>3897392.37</v>
      </c>
      <c r="W134" s="324">
        <v>15304937.890000001</v>
      </c>
      <c r="X134" s="324">
        <v>3875947.42</v>
      </c>
      <c r="Y134" s="324">
        <v>15304937.890000001</v>
      </c>
      <c r="Z134" s="324">
        <v>3893544.55</v>
      </c>
      <c r="AA134" s="324">
        <v>15304937.890000001</v>
      </c>
      <c r="AB134" s="324">
        <v>3911141.64</v>
      </c>
      <c r="AC134" s="324">
        <v>16492357.26</v>
      </c>
      <c r="AD134" s="324">
        <v>3912178.58</v>
      </c>
      <c r="AE134" s="324">
        <f t="shared" si="10"/>
        <v>15441005.546249995</v>
      </c>
      <c r="AF134" s="324">
        <f t="shared" si="10"/>
        <v>4000319.9362499998</v>
      </c>
    </row>
    <row r="135" spans="1:32" ht="16.2">
      <c r="A135" s="16">
        <v>127</v>
      </c>
      <c r="B135" s="1243" t="s">
        <v>1442</v>
      </c>
      <c r="C135" s="1243"/>
      <c r="D135" s="326"/>
      <c r="E135" s="328">
        <f>SUM(E132:E134)</f>
        <v>15392086</v>
      </c>
      <c r="F135" s="328">
        <f t="shared" ref="F135:AF135" si="11">SUM(F132:F134)</f>
        <v>8468628.8200000338</v>
      </c>
      <c r="G135" s="328">
        <f t="shared" si="11"/>
        <v>15392086</v>
      </c>
      <c r="H135" s="328">
        <f t="shared" si="11"/>
        <v>3733835.2999998024</v>
      </c>
      <c r="I135" s="328">
        <f t="shared" si="11"/>
        <v>15392086</v>
      </c>
      <c r="J135" s="328">
        <f t="shared" si="11"/>
        <v>3733887.5900000404</v>
      </c>
      <c r="K135" s="328">
        <f t="shared" si="11"/>
        <v>15433077.01</v>
      </c>
      <c r="L135" s="328">
        <f t="shared" si="11"/>
        <v>3759316.8800001</v>
      </c>
      <c r="M135" s="328">
        <f t="shared" si="11"/>
        <v>15433077.01</v>
      </c>
      <c r="N135" s="328">
        <f t="shared" si="11"/>
        <v>3759369.1899999212</v>
      </c>
      <c r="O135" s="328">
        <f t="shared" si="11"/>
        <v>15433077.01</v>
      </c>
      <c r="P135" s="328">
        <f t="shared" si="11"/>
        <v>3759421.4699999215</v>
      </c>
      <c r="Q135" s="328">
        <f t="shared" si="11"/>
        <v>15518142.01</v>
      </c>
      <c r="R135" s="328">
        <f t="shared" si="11"/>
        <v>3754444.7800001595</v>
      </c>
      <c r="S135" s="328">
        <f t="shared" si="11"/>
        <v>15518142.01</v>
      </c>
      <c r="T135" s="328">
        <f t="shared" si="11"/>
        <v>3754497.0600000406</v>
      </c>
      <c r="U135" s="328">
        <f t="shared" si="11"/>
        <v>15441047.310000001</v>
      </c>
      <c r="V135" s="328">
        <f t="shared" si="11"/>
        <v>3930093.0500000003</v>
      </c>
      <c r="W135" s="328">
        <f t="shared" si="11"/>
        <v>15392085.08</v>
      </c>
      <c r="X135" s="328">
        <f t="shared" si="11"/>
        <v>3906102.32</v>
      </c>
      <c r="Y135" s="328">
        <f t="shared" si="11"/>
        <v>15392085.08</v>
      </c>
      <c r="Z135" s="328">
        <f t="shared" si="11"/>
        <v>3923769.94</v>
      </c>
      <c r="AA135" s="328">
        <f t="shared" si="11"/>
        <v>15392085.08</v>
      </c>
      <c r="AB135" s="328">
        <f t="shared" si="11"/>
        <v>3941437.52</v>
      </c>
      <c r="AC135" s="328">
        <f t="shared" si="11"/>
        <v>16579504.449999999</v>
      </c>
      <c r="AD135" s="328">
        <f t="shared" si="11"/>
        <v>3942544.95</v>
      </c>
      <c r="AE135" s="328">
        <f t="shared" si="11"/>
        <v>15476898.735416662</v>
      </c>
      <c r="AF135" s="328">
        <f t="shared" si="11"/>
        <v>4013480.1654166663</v>
      </c>
    </row>
    <row r="136" spans="1:32">
      <c r="A136" s="16">
        <v>128</v>
      </c>
    </row>
    <row r="137" spans="1:32" ht="16.8" thickBot="1">
      <c r="A137" s="16">
        <v>129</v>
      </c>
      <c r="B137" s="331"/>
      <c r="C137" s="332" t="s">
        <v>1446</v>
      </c>
      <c r="D137" s="331"/>
      <c r="E137" s="333">
        <f>SUM(E135,E130,E89,E46)</f>
        <v>870184135.21000016</v>
      </c>
      <c r="F137" s="334">
        <f t="shared" ref="F137:AF137" si="12">SUM(F135,F130,F89,F46)</f>
        <v>433067740.01999992</v>
      </c>
      <c r="G137" s="333">
        <f t="shared" si="12"/>
        <v>871816436.24000001</v>
      </c>
      <c r="H137" s="334">
        <f t="shared" si="12"/>
        <v>434697330.28999996</v>
      </c>
      <c r="I137" s="333">
        <f t="shared" si="12"/>
        <v>873088659.97000015</v>
      </c>
      <c r="J137" s="334">
        <f t="shared" si="12"/>
        <v>436498576.22000003</v>
      </c>
      <c r="K137" s="333">
        <f t="shared" si="12"/>
        <v>876255017.16999996</v>
      </c>
      <c r="L137" s="334">
        <f t="shared" si="12"/>
        <v>437711221.13999999</v>
      </c>
      <c r="M137" s="333">
        <f t="shared" si="12"/>
        <v>879184494.24000001</v>
      </c>
      <c r="N137" s="334">
        <f t="shared" si="12"/>
        <v>439640788.68000001</v>
      </c>
      <c r="O137" s="333">
        <f t="shared" si="12"/>
        <v>882225235.36000013</v>
      </c>
      <c r="P137" s="334">
        <f t="shared" si="12"/>
        <v>441710249.43999994</v>
      </c>
      <c r="Q137" s="333">
        <f t="shared" si="12"/>
        <v>884981171.16999984</v>
      </c>
      <c r="R137" s="334">
        <f t="shared" si="12"/>
        <v>443227594.39000005</v>
      </c>
      <c r="S137" s="333">
        <f t="shared" si="12"/>
        <v>888699901.63</v>
      </c>
      <c r="T137" s="334">
        <f t="shared" si="12"/>
        <v>445185388.59000003</v>
      </c>
      <c r="U137" s="333">
        <f t="shared" si="12"/>
        <v>900821526.50999999</v>
      </c>
      <c r="V137" s="334">
        <f t="shared" si="12"/>
        <v>447162143.47000003</v>
      </c>
      <c r="W137" s="333">
        <f t="shared" si="12"/>
        <v>904664746.21999979</v>
      </c>
      <c r="X137" s="334">
        <f t="shared" si="12"/>
        <v>448787560.88999999</v>
      </c>
      <c r="Y137" s="333">
        <f t="shared" si="12"/>
        <v>910978182.97999966</v>
      </c>
      <c r="Z137" s="334">
        <f t="shared" si="12"/>
        <v>450672015.14999998</v>
      </c>
      <c r="AA137" s="333">
        <f t="shared" si="12"/>
        <v>913158696.38999975</v>
      </c>
      <c r="AB137" s="334">
        <f t="shared" si="12"/>
        <v>452561850.26000011</v>
      </c>
      <c r="AC137" s="333">
        <f t="shared" si="12"/>
        <v>922694563.90999997</v>
      </c>
      <c r="AD137" s="334">
        <f t="shared" si="12"/>
        <v>454336084.94999993</v>
      </c>
      <c r="AE137" s="334">
        <f t="shared" si="12"/>
        <v>890192784.78666639</v>
      </c>
      <c r="AF137" s="334">
        <f t="shared" si="12"/>
        <v>443463052.58374989</v>
      </c>
    </row>
    <row r="138" spans="1:32" ht="16.2" thickTop="1">
      <c r="A138" s="16">
        <v>130</v>
      </c>
      <c r="F138" s="68"/>
      <c r="H138" s="68"/>
      <c r="J138" s="68"/>
      <c r="L138" s="68"/>
      <c r="N138" s="68"/>
      <c r="P138" s="68"/>
      <c r="R138" s="68"/>
      <c r="T138" s="68"/>
    </row>
    <row r="139" spans="1:32">
      <c r="A139" s="16">
        <v>131</v>
      </c>
      <c r="F139" s="68"/>
      <c r="H139" s="68"/>
      <c r="I139" s="68"/>
      <c r="J139" s="68"/>
      <c r="K139" s="68"/>
      <c r="L139" s="68"/>
      <c r="M139" s="68"/>
      <c r="N139" s="68"/>
      <c r="O139" s="68"/>
      <c r="P139" s="68"/>
      <c r="Q139" s="68"/>
      <c r="R139" s="68"/>
      <c r="S139" s="68"/>
      <c r="T139" s="68"/>
      <c r="X139" s="335" t="s">
        <v>1508</v>
      </c>
      <c r="Y139" s="335"/>
      <c r="Z139" s="335"/>
      <c r="AC139" s="336"/>
      <c r="AD139" s="336"/>
      <c r="AE139" s="68">
        <f>+'Working Capital Work Paper'!S11+'Working Capital Work Paper'!S12</f>
        <v>890192784.78249991</v>
      </c>
    </row>
    <row r="140" spans="1:32" ht="30">
      <c r="A140" s="16">
        <v>132</v>
      </c>
      <c r="B140" s="831" t="s">
        <v>1623</v>
      </c>
      <c r="D140" s="6"/>
      <c r="X140" s="335" t="s">
        <v>1509</v>
      </c>
      <c r="AA140" s="337"/>
      <c r="AB140" s="337"/>
      <c r="AC140" s="336"/>
      <c r="AD140" s="336"/>
      <c r="AE140" s="68"/>
      <c r="AF140" s="68">
        <f>-'Working Capital Work Paper'!S27+'Working Capital Work Paper'!S17</f>
        <v>443463061.80874997</v>
      </c>
    </row>
    <row r="141" spans="1:32">
      <c r="A141" s="16">
        <v>133</v>
      </c>
    </row>
    <row r="142" spans="1:32">
      <c r="A142" s="16">
        <v>134</v>
      </c>
      <c r="Q142" s="68"/>
    </row>
    <row r="143" spans="1:32">
      <c r="A143" s="16">
        <v>135</v>
      </c>
      <c r="D143" s="337" t="s">
        <v>1447</v>
      </c>
      <c r="F143" s="68">
        <f>E89</f>
        <v>576210019.71000016</v>
      </c>
      <c r="H143" s="68">
        <f>G89</f>
        <v>577681602.6400001</v>
      </c>
      <c r="J143" s="68">
        <f>I89</f>
        <v>578887129.49000013</v>
      </c>
      <c r="L143" s="68">
        <f>K89</f>
        <v>580920985.41999996</v>
      </c>
      <c r="N143" s="68">
        <f>M89</f>
        <v>583272418.28999996</v>
      </c>
      <c r="P143" s="68">
        <f>O89</f>
        <v>584216840.6500001</v>
      </c>
      <c r="R143" s="68">
        <f>Q89</f>
        <v>585599739.0799998</v>
      </c>
      <c r="T143" s="68">
        <f>S89</f>
        <v>588618364.70000005</v>
      </c>
      <c r="V143" s="68">
        <f>U89</f>
        <v>598832328.44999993</v>
      </c>
      <c r="X143" s="68">
        <f>W89</f>
        <v>601967532.84999979</v>
      </c>
      <c r="Z143" s="68">
        <f>Y89</f>
        <v>607446404.66999972</v>
      </c>
      <c r="AB143" s="68">
        <f>AA89</f>
        <v>608700709.48999977</v>
      </c>
      <c r="AD143" s="68">
        <f>AC89</f>
        <v>614373017.27999997</v>
      </c>
    </row>
    <row r="144" spans="1:32">
      <c r="A144" s="16">
        <v>136</v>
      </c>
      <c r="D144" s="337" t="s">
        <v>1448</v>
      </c>
      <c r="E144" s="338">
        <v>0.75729999999999997</v>
      </c>
      <c r="F144" s="68">
        <f>E144*SUM(E91:E126)</f>
        <v>38371229.104902014</v>
      </c>
      <c r="G144" s="338">
        <v>0.75270000000000004</v>
      </c>
      <c r="H144" s="68">
        <f>G144*SUM(G91:G126)</f>
        <v>38314785.333786003</v>
      </c>
      <c r="I144" s="338">
        <v>0.75270000000000004</v>
      </c>
      <c r="J144" s="68">
        <f>I144*SUM(I91:I126)</f>
        <v>38332402.217070006</v>
      </c>
      <c r="K144" s="338">
        <v>0.75270000000000004</v>
      </c>
      <c r="L144" s="68">
        <f>K144*SUM(K91:K126)</f>
        <v>38363920.551060006</v>
      </c>
      <c r="M144" s="338">
        <v>0.75270000000000004</v>
      </c>
      <c r="N144" s="68">
        <f>M144*SUM(M91:M126)</f>
        <v>38314170.234873004</v>
      </c>
      <c r="O144" s="338">
        <v>0.75270000000000004</v>
      </c>
      <c r="P144" s="68">
        <f>O144*SUM(O91:O126)</f>
        <v>38343936.426276006</v>
      </c>
      <c r="Q144" s="338">
        <v>0.75270000000000004</v>
      </c>
      <c r="R144" s="68">
        <f>Q144*SUM(Q91:Q126)</f>
        <v>38325086.522541009</v>
      </c>
      <c r="S144" s="338">
        <v>0.75270000000000004</v>
      </c>
      <c r="T144" s="68">
        <f>S144*SUM(S91:S126)</f>
        <v>38329788.165240005</v>
      </c>
      <c r="U144" s="338">
        <v>0.75270000000000004</v>
      </c>
      <c r="V144" s="68">
        <f>U144*SUM(U91:U126)</f>
        <v>38505845.711385004</v>
      </c>
      <c r="W144" s="338">
        <v>0.75270000000000004</v>
      </c>
      <c r="X144" s="68">
        <f>W144*SUM(W91:W126)</f>
        <v>38509572.336612001</v>
      </c>
      <c r="Y144" s="338">
        <v>0.75270000000000004</v>
      </c>
      <c r="Z144" s="68">
        <f>Y144*SUM(Y91:Y126)</f>
        <v>38523791.276177995</v>
      </c>
      <c r="AA144" s="338">
        <v>0.75270000000000004</v>
      </c>
      <c r="AB144" s="68">
        <f>AA144*SUM(AA91:AA126)</f>
        <v>38569650.441971995</v>
      </c>
      <c r="AC144" s="338">
        <v>0.75270000000000004</v>
      </c>
      <c r="AD144" s="68">
        <f>AC144*SUM(AC91:AC126)</f>
        <v>38604032.122032002</v>
      </c>
      <c r="AE144" s="68"/>
    </row>
    <row r="145" spans="1:32">
      <c r="A145" s="16">
        <v>137</v>
      </c>
      <c r="D145" s="337" t="s">
        <v>1449</v>
      </c>
      <c r="E145" s="338">
        <v>0.75060000000000004</v>
      </c>
      <c r="F145" s="68">
        <f>SUM(E127:E129)*E145</f>
        <v>46307269.400057994</v>
      </c>
      <c r="G145" s="338">
        <v>0.74880000000000002</v>
      </c>
      <c r="H145" s="68">
        <f>SUM(G127:G129)*G145</f>
        <v>46177477.998911999</v>
      </c>
      <c r="I145" s="338">
        <v>0.74880000000000002</v>
      </c>
      <c r="J145" s="68">
        <f>SUM(I127:I129)*I145</f>
        <v>46072220.403456002</v>
      </c>
      <c r="K145" s="338">
        <v>0.74880000000000002</v>
      </c>
      <c r="L145" s="68">
        <f>SUM(K127:K129)*K145</f>
        <v>46525246.979328007</v>
      </c>
      <c r="M145" s="338">
        <v>0.74880000000000002</v>
      </c>
      <c r="N145" s="68">
        <f>SUM(M127:M129)*M145</f>
        <v>46767966.875136003</v>
      </c>
      <c r="O145" s="338">
        <v>0.74880000000000002</v>
      </c>
      <c r="P145" s="68">
        <f>SUM(O127:O129)*O145</f>
        <v>47977548.046272002</v>
      </c>
      <c r="Q145" s="338">
        <v>0.74880000000000002</v>
      </c>
      <c r="R145" s="68">
        <f>SUM(Q127:Q129)*Q145</f>
        <v>48342884.526143998</v>
      </c>
      <c r="S145" s="338">
        <v>0.74880000000000002</v>
      </c>
      <c r="T145" s="68">
        <f>SUM(S127:S129)*S145</f>
        <v>48602878.429247998</v>
      </c>
      <c r="U145" s="338">
        <v>0.74880000000000002</v>
      </c>
      <c r="V145" s="68">
        <f>SUM(U127:U129)*U145</f>
        <v>48809475.823679999</v>
      </c>
      <c r="W145" s="338">
        <v>0.74880000000000002</v>
      </c>
      <c r="X145" s="68">
        <f>SUM(W127:W129)*W145</f>
        <v>49056376.097663999</v>
      </c>
      <c r="Y145" s="338">
        <v>0.74880000000000002</v>
      </c>
      <c r="Z145" s="68">
        <f>SUM(Y127:Y129)*Y145</f>
        <v>49276538.423424006</v>
      </c>
      <c r="AA145" s="338">
        <v>0.74880000000000002</v>
      </c>
      <c r="AB145" s="68">
        <f>SUM(AA127:AA129)*AA145</f>
        <v>49694333.457599998</v>
      </c>
      <c r="AC145" s="338">
        <v>0.74880000000000002</v>
      </c>
      <c r="AD145" s="68">
        <f>SUM(AC127:AC129)*AC145</f>
        <v>49914492.922944002</v>
      </c>
    </row>
    <row r="146" spans="1:32">
      <c r="A146" s="16">
        <v>138</v>
      </c>
      <c r="F146" s="68"/>
      <c r="H146" s="68"/>
      <c r="J146" s="68"/>
      <c r="L146" s="68"/>
      <c r="N146" s="68"/>
      <c r="P146" s="68"/>
      <c r="R146" s="68"/>
      <c r="T146" s="68"/>
      <c r="V146" s="68"/>
      <c r="X146" s="68"/>
      <c r="Z146" s="68"/>
      <c r="AB146" s="68"/>
      <c r="AD146" s="68"/>
    </row>
    <row r="147" spans="1:32">
      <c r="A147" s="16">
        <v>139</v>
      </c>
      <c r="D147" s="337" t="s">
        <v>1450</v>
      </c>
      <c r="F147" s="68">
        <f>SUM(F143:F145)</f>
        <v>660888518.21496022</v>
      </c>
      <c r="H147" s="68">
        <f>SUM(H143:H145)</f>
        <v>662173865.97269809</v>
      </c>
      <c r="J147" s="68">
        <f>SUM(J143:J145)</f>
        <v>663291752.11052608</v>
      </c>
      <c r="L147" s="68">
        <f>SUM(L143:L145)</f>
        <v>665810152.95038795</v>
      </c>
      <c r="N147" s="68">
        <f>SUM(N143:N145)</f>
        <v>668354555.40000904</v>
      </c>
      <c r="P147" s="68">
        <f>SUM(P143:P145)</f>
        <v>670538325.1225481</v>
      </c>
      <c r="R147" s="68">
        <f>SUM(R143:R145)</f>
        <v>672267710.12868488</v>
      </c>
      <c r="T147" s="68">
        <f>SUM(T143:T145)</f>
        <v>675551031.29448807</v>
      </c>
      <c r="V147" s="68">
        <f>SUM(V143:V145)</f>
        <v>686147649.98506498</v>
      </c>
      <c r="X147" s="68">
        <f>SUM(X143:X145)</f>
        <v>689533481.28427577</v>
      </c>
      <c r="Z147" s="68">
        <f>SUM(Z143:Z145)</f>
        <v>695246734.36960173</v>
      </c>
      <c r="AB147" s="68">
        <f>SUM(AB143:AB145)</f>
        <v>696964693.38957179</v>
      </c>
      <c r="AD147" s="68">
        <f>SUM(AD143:AD145)</f>
        <v>702891542.32497597</v>
      </c>
      <c r="AE147" s="3" t="s">
        <v>1458</v>
      </c>
      <c r="AF147" s="339">
        <f t="shared" ref="AF147" si="13">+(F147+AD147+(+H147+J147+L147+N147+P147+R147+T147+V147+X147+Z147+AB147)*2)/24</f>
        <v>677314165.18981874</v>
      </c>
    </row>
    <row r="148" spans="1:32">
      <c r="A148" s="16">
        <v>140</v>
      </c>
      <c r="AB148" s="68"/>
      <c r="AD148" s="68"/>
    </row>
    <row r="149" spans="1:32">
      <c r="A149" s="16">
        <v>141</v>
      </c>
      <c r="D149" s="337" t="s">
        <v>1447</v>
      </c>
      <c r="F149" s="68">
        <f>F89</f>
        <v>304692694.86999989</v>
      </c>
      <c r="H149" s="68">
        <f>H89</f>
        <v>309480837.00000012</v>
      </c>
      <c r="J149" s="68">
        <f>J89</f>
        <v>310705295.72999996</v>
      </c>
      <c r="L149" s="68">
        <f>L89</f>
        <v>311239204.5999999</v>
      </c>
      <c r="N149" s="68">
        <f>N89</f>
        <v>312471439.2100001</v>
      </c>
      <c r="P149" s="68">
        <f>P89</f>
        <v>313749995.52000004</v>
      </c>
      <c r="R149" s="68">
        <f>R89</f>
        <v>314596173.39999992</v>
      </c>
      <c r="T149" s="68">
        <f>T89</f>
        <v>315768871.25</v>
      </c>
      <c r="V149" s="68">
        <f>V89</f>
        <v>316875748.73000002</v>
      </c>
      <c r="X149" s="68">
        <f>X89</f>
        <v>317897034.14999998</v>
      </c>
      <c r="Z149" s="68">
        <f>Z89</f>
        <v>319107740.81999993</v>
      </c>
      <c r="AB149" s="68">
        <f>AB89</f>
        <v>320289045.50000006</v>
      </c>
      <c r="AD149" s="68">
        <f>AD89</f>
        <v>321296055.43999994</v>
      </c>
    </row>
    <row r="150" spans="1:32">
      <c r="A150" s="16">
        <v>142</v>
      </c>
      <c r="D150" s="337" t="s">
        <v>1448</v>
      </c>
      <c r="F150" s="68">
        <f>E144*SUM(F91:F126)</f>
        <v>14121417.833711002</v>
      </c>
      <c r="H150" s="68">
        <f>G144*SUM(H91:H126)</f>
        <v>14224595.436597006</v>
      </c>
      <c r="J150" s="68">
        <f>I144*SUM(J91:J126)</f>
        <v>14447222.516688002</v>
      </c>
      <c r="L150" s="68">
        <f>K144*SUM(L91:L126)</f>
        <v>14637791.862915</v>
      </c>
      <c r="N150" s="68">
        <f>M144*SUM(N91:N126)</f>
        <v>14814580.491516005</v>
      </c>
      <c r="P150" s="68">
        <f>O144*SUM(P91:P126)</f>
        <v>15036871.227612006</v>
      </c>
      <c r="R150" s="68">
        <f>Q144*SUM(R91:R126)</f>
        <v>15244430.909643</v>
      </c>
      <c r="T150" s="68">
        <f>S144*SUM(T91:T126)</f>
        <v>15454995.979761003</v>
      </c>
      <c r="V150" s="68">
        <f>U144*SUM(V91:V126)</f>
        <v>15669776.982795002</v>
      </c>
      <c r="X150" s="68">
        <f>W144*SUM(X91:X126)</f>
        <v>15888759.888416998</v>
      </c>
      <c r="Z150" s="68">
        <f>Y144*SUM(Z91:Z126)</f>
        <v>16100583.111639</v>
      </c>
      <c r="AB150" s="68">
        <f>AA144*SUM(AB91:AB126)</f>
        <v>16312009.759812003</v>
      </c>
      <c r="AD150" s="68">
        <f>AC144*SUM(AD91:AD126)</f>
        <v>16523491.558314003</v>
      </c>
    </row>
    <row r="151" spans="1:32">
      <c r="A151" s="16">
        <v>143</v>
      </c>
      <c r="D151" s="337" t="s">
        <v>1449</v>
      </c>
      <c r="F151" s="68">
        <f>SUM(F127:F129)*E145</f>
        <v>15427375.389683999</v>
      </c>
      <c r="H151" s="68">
        <f>SUM(H127:H129)*G145</f>
        <v>15446618.853120003</v>
      </c>
      <c r="J151" s="68">
        <f>SUM(J127:J129)*I145</f>
        <v>15396820.792703999</v>
      </c>
      <c r="L151" s="68">
        <f>SUM(L127:L129)*K145</f>
        <v>15451459.508160001</v>
      </c>
      <c r="N151" s="68">
        <f>SUM(N127:N129)*M145</f>
        <v>15484674.389184</v>
      </c>
      <c r="P151" s="68">
        <f>SUM(P127:P129)*O145</f>
        <v>15537581.676863998</v>
      </c>
      <c r="R151" s="68">
        <f>SUM(R127:R129)*Q145</f>
        <v>15531147.418176003</v>
      </c>
      <c r="T151" s="68">
        <f>SUM(T127:T129)*S145</f>
        <v>15599187.90144</v>
      </c>
      <c r="V151" s="68">
        <f>SUM(V127:V129)*U145</f>
        <v>15696758.540735999</v>
      </c>
      <c r="X151" s="68">
        <f>SUM(X127:X129)*W145</f>
        <v>15667734.633408001</v>
      </c>
      <c r="Z151" s="68">
        <f>SUM(Z127:Z129)*Y145</f>
        <v>15648284.089151999</v>
      </c>
      <c r="AB151" s="68">
        <f>SUM(AB127:AB129)*AA145</f>
        <v>15705717.745536</v>
      </c>
      <c r="AD151" s="68">
        <f>SUM(AD127:AD129)*AC145</f>
        <v>15765501.735360002</v>
      </c>
    </row>
    <row r="152" spans="1:32">
      <c r="A152" s="16">
        <v>144</v>
      </c>
      <c r="F152" s="68"/>
      <c r="H152" s="68"/>
      <c r="J152" s="68"/>
      <c r="L152" s="68"/>
      <c r="N152" s="68"/>
      <c r="P152" s="68"/>
      <c r="R152" s="68"/>
      <c r="T152" s="68"/>
      <c r="V152" s="68"/>
      <c r="X152" s="68"/>
      <c r="Z152" s="68"/>
      <c r="AB152" s="68"/>
      <c r="AD152" s="68"/>
    </row>
    <row r="153" spans="1:32">
      <c r="A153" s="16">
        <v>145</v>
      </c>
      <c r="D153" s="337" t="s">
        <v>1451</v>
      </c>
      <c r="F153" s="68">
        <f>SUM(F149:F151)</f>
        <v>334241488.09339494</v>
      </c>
      <c r="H153" s="68">
        <f>SUM(H149:H151)</f>
        <v>339152051.28971714</v>
      </c>
      <c r="J153" s="68">
        <f>SUM(J149:J151)</f>
        <v>340549339.03939193</v>
      </c>
      <c r="L153" s="68">
        <f>SUM(L149:L151)</f>
        <v>341328455.97107488</v>
      </c>
      <c r="N153" s="68">
        <f>SUM(N149:N151)</f>
        <v>342770694.09070009</v>
      </c>
      <c r="P153" s="68">
        <f>SUM(P149:P151)</f>
        <v>344324448.42447603</v>
      </c>
      <c r="R153" s="68">
        <f>SUM(R149:R151)</f>
        <v>345371751.72781891</v>
      </c>
      <c r="T153" s="68">
        <f>SUM(T149:T151)</f>
        <v>346823055.13120103</v>
      </c>
      <c r="V153" s="68">
        <f>SUM(V149:V151)</f>
        <v>348242284.25353104</v>
      </c>
      <c r="X153" s="68">
        <f>SUM(X149:X151)</f>
        <v>349453528.67182499</v>
      </c>
      <c r="Z153" s="68">
        <f>SUM(Z149:Z151)</f>
        <v>350856608.02079093</v>
      </c>
      <c r="AB153" s="68">
        <f>SUM(AB149:AB151)</f>
        <v>352306773.00534809</v>
      </c>
      <c r="AD153" s="68">
        <f>SUM(AD149:AD151)</f>
        <v>353585048.73367399</v>
      </c>
      <c r="AE153" s="3" t="s">
        <v>1459</v>
      </c>
      <c r="AF153" s="339">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8DC63-E8AC-4135-8948-CD75BE4C3AC4}">
  <ds:schemaRefs>
    <ds:schemaRef ds:uri="http://schemas.microsoft.com/sharepoint/v3/contenttype/forms"/>
  </ds:schemaRefs>
</ds:datastoreItem>
</file>

<file path=customXml/itemProps2.xml><?xml version="1.0" encoding="utf-8"?>
<ds:datastoreItem xmlns:ds="http://schemas.openxmlformats.org/officeDocument/2006/customXml" ds:itemID="{5C6099A7-AF3B-4A2F-8A2A-EE91784D0EAC}">
  <ds:schemaRefs>
    <ds:schemaRef ds:uri="http://purl.org/dc/elements/1.1/"/>
    <ds:schemaRef ds:uri="http://schemas.microsoft.com/office/2006/metadata/properties"/>
    <ds:schemaRef ds:uri="http://schemas.microsoft.com/office/infopath/2007/PartnerControls"/>
    <ds:schemaRef ds:uri="http://purl.org/dc/terms/"/>
    <ds:schemaRef ds:uri="24f70c62-691b-492e-ba59-9d389529a97e"/>
    <ds:schemaRef ds:uri="http://schemas.openxmlformats.org/package/2006/metadata/core-properties"/>
    <ds:schemaRef ds:uri="http://schemas.microsoft.com/office/2006/documentManagement/types"/>
    <ds:schemaRef ds:uri="a0689114-bdb9-4146-803a-240f5368dce0"/>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C1B33B4B-85CF-43D6-A8F9-9837D07277E7}"/>
</file>

<file path=customXml/itemProps4.xml><?xml version="1.0" encoding="utf-8"?>
<ds:datastoreItem xmlns:ds="http://schemas.openxmlformats.org/officeDocument/2006/customXml" ds:itemID="{C6349D06-6A73-42F4-9DB4-C39CD44575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ROO Summary Sheet</vt:lpstr>
      <vt:lpstr>Exh BAE-9</vt:lpstr>
      <vt:lpstr>Operating Report</vt:lpstr>
      <vt:lpstr>Conversion Factor using 21%</vt:lpstr>
      <vt:lpstr>Summary of Adjustments</vt:lpstr>
      <vt:lpstr>Capital Structure Calculation</vt:lpstr>
      <vt:lpstr>Rev Req Calc</vt:lpstr>
      <vt:lpstr>Rate Base</vt:lpstr>
      <vt:lpstr>Plant in Serv &amp; Accum Depr</vt:lpstr>
      <vt:lpstr>Adv for Const. &amp; Def Tax</vt:lpstr>
      <vt:lpstr>Working Capital</vt:lpstr>
      <vt:lpstr>State Allocation Formulas</vt:lpstr>
      <vt:lpstr>Adjustment Workpapers---&gt;</vt:lpstr>
      <vt:lpstr>Interest Coord. Adj.</vt:lpstr>
      <vt:lpstr>Pro Forma Wage Adjustment</vt:lpstr>
      <vt:lpstr>Rate Case Costs</vt:lpstr>
      <vt:lpstr>Pro Forma Compliance Department</vt:lpstr>
      <vt:lpstr>Amy's MAOP</vt:lpstr>
      <vt:lpstr>Miscellaneous Charges</vt:lpstr>
      <vt:lpstr>CRM Adjustment (a)</vt:lpstr>
      <vt:lpstr>CRM Adjustment (b)</vt:lpstr>
      <vt:lpstr>Revenue Adjustment</vt:lpstr>
      <vt:lpstr>Jings Rev Adj WP</vt:lpstr>
      <vt:lpstr>Working Capital Work Paper</vt:lpstr>
      <vt:lpstr>'Capital Structure Calculation'!Print_Area</vt:lpstr>
      <vt:lpstr>'CRM Adjustment (a)'!Print_Area</vt:lpstr>
      <vt:lpstr>'Exh BAE-9'!Print_Area</vt:lpstr>
      <vt:lpstr>'Miscellaneous Charges'!Print_Area</vt:lpstr>
      <vt:lpstr>'Operating Report'!Print_Area</vt:lpstr>
      <vt:lpstr>'Pro Forma Compliance Department'!Print_Area</vt:lpstr>
      <vt:lpstr>'Pro Forma Wage Adjustment'!Print_Area</vt:lpstr>
      <vt:lpstr>'Revenue Adjustment'!Print_Area</vt:lpstr>
      <vt:lpstr>'ROO Summary Sheet'!Print_Area</vt:lpstr>
      <vt:lpstr>'State Allocation Formulas'!Print_Area</vt:lpstr>
      <vt:lpstr>'Summary of Adjustments'!Print_Area</vt:lpstr>
      <vt:lpstr>'Working Capital Work Paper'!Print_Area</vt:lpstr>
      <vt:lpstr>'Adv for Const. &amp; Def Tax'!Print_Titles</vt:lpstr>
      <vt:lpstr>'CRM Adjustment (b)'!Print_Titles</vt:lpstr>
      <vt:lpstr>'Operating Report'!Print_Titles</vt:lpstr>
      <vt:lpstr>'Plant in Serv &amp; Accum Depr'!Print_Titles</vt:lpstr>
      <vt:lpstr>'Pro Forma Wage Adjustment'!Print_Titles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BAE-9</dc:title>
  <dc:creator>Cascade Natural Gas</dc:creator>
  <dc:description/>
  <cp:lastModifiedBy>Erdahl, Betty Ann (UTC)</cp:lastModifiedBy>
  <cp:lastPrinted>2018-02-09T20:22:53Z</cp:lastPrinted>
  <dcterms:created xsi:type="dcterms:W3CDTF">2014-12-11T21:48:04Z</dcterms:created>
  <dcterms:modified xsi:type="dcterms:W3CDTF">2018-02-14T17:17:03Z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