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ates\Public\Gas Sch. 141LNG Tacoma LNG\FILED\Initial (Filed 5-25-23)\John Taylor\Exhibits\"/>
    </mc:Choice>
  </mc:AlternateContent>
  <bookViews>
    <workbookView xWindow="0" yWindow="0" windowWidth="28800" windowHeight="12300"/>
  </bookViews>
  <sheets>
    <sheet name="Rate Design (Sch. 141D)" sheetId="1" r:id="rId1"/>
    <sheet name="Rate Spread (Sch. 141D Blocks)" sheetId="2" r:id="rId2"/>
    <sheet name="Rate Spread (Sch. 141D)" sheetId="3" r:id="rId3"/>
  </sheets>
  <definedNames>
    <definedName name="_xlnm.Print_Area" localSheetId="0">'Rate Design (Sch. 141D)'!$A$1:$G$34</definedName>
    <definedName name="_xlnm.Print_Area" localSheetId="1">'Rate Spread (Sch. 141D Blocks)'!$A$1:$I$28</definedName>
    <definedName name="_xlnm.Print_Area" localSheetId="2">'Rate Spread (Sch. 141D)'!$A$1:$H$22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3" l="1"/>
  <c r="A14" i="3" s="1"/>
  <c r="A15" i="3" s="1"/>
  <c r="A16" i="3" s="1"/>
  <c r="A17" i="3" s="1"/>
  <c r="A18" i="3" s="1"/>
  <c r="A19" i="3" s="1"/>
  <c r="A20" i="3" s="1"/>
  <c r="A21" i="3" s="1"/>
  <c r="A22" i="3" s="1"/>
  <c r="F27" i="2"/>
  <c r="F26" i="2"/>
  <c r="F25" i="2"/>
  <c r="F24" i="2"/>
  <c r="F23" i="2"/>
  <c r="F22" i="2"/>
  <c r="F18" i="2"/>
  <c r="E24" i="1"/>
  <c r="F17" i="2"/>
  <c r="F16" i="2"/>
  <c r="E22" i="1"/>
  <c r="F15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F14" i="2"/>
  <c r="E20" i="1"/>
  <c r="F13" i="2"/>
  <c r="A13" i="2"/>
  <c r="A14" i="2" s="1"/>
  <c r="E32" i="1"/>
  <c r="E31" i="1"/>
  <c r="E30" i="1"/>
  <c r="E29" i="1"/>
  <c r="E28" i="1"/>
  <c r="E27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E16" i="3" l="1"/>
  <c r="E12" i="3"/>
  <c r="E14" i="3"/>
  <c r="F19" i="2"/>
  <c r="F28" i="2"/>
  <c r="E15" i="3"/>
  <c r="D20" i="3"/>
  <c r="D19" i="2"/>
  <c r="D28" i="2"/>
  <c r="E19" i="1"/>
  <c r="E34" i="1" s="1"/>
  <c r="E21" i="1"/>
  <c r="E23" i="1"/>
  <c r="F19" i="3" l="1"/>
  <c r="E17" i="3"/>
  <c r="E13" i="3"/>
  <c r="E20" i="3" s="1"/>
  <c r="E18" i="3"/>
  <c r="F20" i="3" l="1"/>
  <c r="H19" i="3"/>
  <c r="G28" i="2" s="1"/>
  <c r="H27" i="2" l="1"/>
  <c r="I27" i="2" s="1"/>
  <c r="D32" i="1" s="1"/>
  <c r="F32" i="1" s="1"/>
  <c r="H25" i="2"/>
  <c r="I25" i="2" s="1"/>
  <c r="D30" i="1" s="1"/>
  <c r="F30" i="1" s="1"/>
  <c r="H23" i="2"/>
  <c r="I23" i="2" s="1"/>
  <c r="D28" i="1" s="1"/>
  <c r="F28" i="1" s="1"/>
  <c r="H24" i="2"/>
  <c r="I24" i="2" s="1"/>
  <c r="D29" i="1" s="1"/>
  <c r="F29" i="1" s="1"/>
  <c r="H28" i="2"/>
  <c r="H26" i="2"/>
  <c r="I26" i="2" s="1"/>
  <c r="D31" i="1" s="1"/>
  <c r="F31" i="1" s="1"/>
  <c r="H22" i="2"/>
  <c r="I22" i="2" s="1"/>
  <c r="G16" i="3"/>
  <c r="H16" i="3" s="1"/>
  <c r="D16" i="1" s="1"/>
  <c r="F16" i="1" s="1"/>
  <c r="G17" i="3"/>
  <c r="H17" i="3" s="1"/>
  <c r="G19" i="2" s="1"/>
  <c r="G18" i="3"/>
  <c r="H18" i="3" s="1"/>
  <c r="G13" i="3"/>
  <c r="H13" i="3" s="1"/>
  <c r="D13" i="1" s="1"/>
  <c r="F13" i="1" s="1"/>
  <c r="G15" i="3"/>
  <c r="H15" i="3" s="1"/>
  <c r="D15" i="1" s="1"/>
  <c r="F15" i="1" s="1"/>
  <c r="G12" i="3"/>
  <c r="G14" i="3"/>
  <c r="H14" i="3" s="1"/>
  <c r="D14" i="1" s="1"/>
  <c r="F14" i="1" s="1"/>
  <c r="D27" i="1" l="1"/>
  <c r="F27" i="1" s="1"/>
  <c r="I28" i="2"/>
  <c r="G20" i="3"/>
  <c r="H12" i="3"/>
  <c r="H19" i="2"/>
  <c r="H18" i="2" s="1"/>
  <c r="I18" i="2" s="1"/>
  <c r="D24" i="1" s="1"/>
  <c r="F24" i="1" s="1"/>
  <c r="D12" i="1" l="1"/>
  <c r="H20" i="3"/>
  <c r="H15" i="2"/>
  <c r="I15" i="2" s="1"/>
  <c r="D21" i="1" s="1"/>
  <c r="F21" i="1" s="1"/>
  <c r="H13" i="2"/>
  <c r="I13" i="2" s="1"/>
  <c r="H14" i="2"/>
  <c r="I14" i="2" s="1"/>
  <c r="D20" i="1" s="1"/>
  <c r="F20" i="1" s="1"/>
  <c r="H17" i="2"/>
  <c r="I17" i="2" s="1"/>
  <c r="D23" i="1" s="1"/>
  <c r="F23" i="1" s="1"/>
  <c r="H16" i="2"/>
  <c r="I16" i="2" s="1"/>
  <c r="D22" i="1" s="1"/>
  <c r="F22" i="1" s="1"/>
  <c r="I19" i="2" l="1"/>
  <c r="D19" i="1"/>
  <c r="F19" i="1" s="1"/>
  <c r="D34" i="1"/>
  <c r="F12" i="1"/>
  <c r="G12" i="1" s="1"/>
</calcChain>
</file>

<file path=xl/sharedStrings.xml><?xml version="1.0" encoding="utf-8"?>
<sst xmlns="http://schemas.openxmlformats.org/spreadsheetml/2006/main" count="149" uniqueCount="65">
  <si>
    <t>Puget Sound Energy</t>
  </si>
  <si>
    <t>Calculation of Schedule 141D Rates</t>
  </si>
  <si>
    <t>Sch. 141D</t>
  </si>
  <si>
    <t>UG-220067</t>
  </si>
  <si>
    <t>Sch. 16</t>
  </si>
  <si>
    <t>Allocated</t>
  </si>
  <si>
    <t>Therms</t>
  </si>
  <si>
    <t>Proposed</t>
  </si>
  <si>
    <t>Rate per</t>
  </si>
  <si>
    <t>Line</t>
  </si>
  <si>
    <t>Revenue</t>
  </si>
  <si>
    <t>Jan. 2024 -</t>
  </si>
  <si>
    <t>Mantle</t>
  </si>
  <si>
    <t>No.</t>
  </si>
  <si>
    <t>Rate Class</t>
  </si>
  <si>
    <t>Schedules</t>
  </si>
  <si>
    <t>Requirement</t>
  </si>
  <si>
    <t>Dec. 2024</t>
  </si>
  <si>
    <t>Therm</t>
  </si>
  <si>
    <t>TOTAL</t>
  </si>
  <si>
    <t>(a)</t>
  </si>
  <si>
    <t>(b)</t>
  </si>
  <si>
    <t>(c)</t>
  </si>
  <si>
    <t>(d)</t>
  </si>
  <si>
    <t>(e) = (c) / (d)</t>
  </si>
  <si>
    <t>(f) = (e) * 19</t>
  </si>
  <si>
    <t>Residential</t>
  </si>
  <si>
    <t>16, 23, 53</t>
  </si>
  <si>
    <t>Commercial &amp; Industrial</t>
  </si>
  <si>
    <t>Large Volume</t>
  </si>
  <si>
    <t>Interruptible</t>
  </si>
  <si>
    <t>Limited Interruptible</t>
  </si>
  <si>
    <t>Non-exclusive Interruptible</t>
  </si>
  <si>
    <t>First 25,000 therms</t>
  </si>
  <si>
    <t>Next 25,000 therms</t>
  </si>
  <si>
    <t>Next 50,000 therms</t>
  </si>
  <si>
    <t>Next 100,000 therms</t>
  </si>
  <si>
    <t>Next 300,000 therms</t>
  </si>
  <si>
    <t>Over 500,000 therms</t>
  </si>
  <si>
    <t>Exclusive Interruptible</t>
  </si>
  <si>
    <t>88T</t>
  </si>
  <si>
    <t>Total</t>
  </si>
  <si>
    <t>Allocation of Revenue Requirement to Rate Blocks</t>
  </si>
  <si>
    <t>Base Rate</t>
  </si>
  <si>
    <t>% of Margin</t>
  </si>
  <si>
    <t>Rate Schedule</t>
  </si>
  <si>
    <t>Base Rates</t>
  </si>
  <si>
    <t>Change</t>
  </si>
  <si>
    <t>(e)</t>
  </si>
  <si>
    <t>(f)</t>
  </si>
  <si>
    <t>(g)</t>
  </si>
  <si>
    <t>Schedule 87 - Non-Exclusive Interruptible</t>
  </si>
  <si>
    <t>Schedule 88T - Exclusive Interruptible</t>
  </si>
  <si>
    <t>2023 Gas Schedule 141D Distribution Pipeline Recovery Filing</t>
  </si>
  <si>
    <t>Allocation of Revenue Requirement</t>
  </si>
  <si>
    <t>Proposed Rates Effective November 1, 2023</t>
  </si>
  <si>
    <t>Allocation of</t>
  </si>
  <si>
    <t>Percent to</t>
  </si>
  <si>
    <t>Remaining</t>
  </si>
  <si>
    <t>Each Class</t>
  </si>
  <si>
    <t>to Sch. 88T</t>
  </si>
  <si>
    <t>Portion</t>
  </si>
  <si>
    <t>Rev Req</t>
  </si>
  <si>
    <t>Contracts</t>
  </si>
  <si>
    <t>Portion Allocated to Sch. 88T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</si>
</sst>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&quot;$&quot;* #,##0.00000_);_(&quot;$&quot;* \(#,##0.00000\);_(&quot;$&quot;* &quot;-&quot;?????_);_(@_)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/>
    <xf numFmtId="44" fontId="3" fillId="0" borderId="0" xfId="0" applyNumberFormat="1" applyFont="1" applyFill="1"/>
    <xf numFmtId="0" fontId="3" fillId="0" borderId="0" xfId="0" applyFont="1" applyFill="1"/>
    <xf numFmtId="164" fontId="3" fillId="0" borderId="2" xfId="0" applyNumberFormat="1" applyFont="1" applyFill="1" applyBorder="1"/>
    <xf numFmtId="3" fontId="3" fillId="0" borderId="2" xfId="0" applyNumberFormat="1" applyFont="1" applyBorder="1"/>
    <xf numFmtId="0" fontId="3" fillId="0" borderId="0" xfId="0" applyFont="1" applyFill="1" applyAlignment="1"/>
    <xf numFmtId="3" fontId="3" fillId="0" borderId="2" xfId="0" applyNumberFormat="1" applyFont="1" applyFill="1" applyBorder="1"/>
    <xf numFmtId="167" fontId="3" fillId="0" borderId="0" xfId="2" applyNumberFormat="1" applyFont="1" applyAlignment="1">
      <alignment horizontal="center"/>
    </xf>
    <xf numFmtId="164" fontId="3" fillId="0" borderId="0" xfId="0" applyNumberFormat="1" applyFont="1"/>
    <xf numFmtId="10" fontId="3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164" fontId="3" fillId="0" borderId="0" xfId="1" applyNumberFormat="1" applyFont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7" fontId="3" fillId="0" borderId="0" xfId="0" applyNumberFormat="1" applyFont="1"/>
    <xf numFmtId="0" fontId="3" fillId="0" borderId="0" xfId="0" applyFont="1" applyAlignment="1">
      <alignment horizontal="right"/>
    </xf>
    <xf numFmtId="164" fontId="3" fillId="0" borderId="0" xfId="0" applyNumberFormat="1" applyFont="1" applyFill="1"/>
    <xf numFmtId="3" fontId="3" fillId="0" borderId="0" xfId="0" applyNumberFormat="1" applyFont="1" applyFill="1"/>
    <xf numFmtId="0" fontId="2" fillId="0" borderId="0" xfId="0" applyFont="1" applyFill="1"/>
    <xf numFmtId="0" fontId="2" fillId="0" borderId="1" xfId="0" applyFont="1" applyFill="1" applyBorder="1"/>
    <xf numFmtId="0" fontId="3" fillId="0" borderId="0" xfId="0" applyFont="1" applyFill="1" applyBorder="1"/>
    <xf numFmtId="0" fontId="3" fillId="0" borderId="2" xfId="0" applyFont="1" applyFill="1" applyBorder="1" applyAlignment="1">
      <alignment horizontal="center"/>
    </xf>
    <xf numFmtId="166" fontId="3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/>
    <xf numFmtId="3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0" xfId="1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67" fontId="3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zoomScale="90" zoomScaleNormal="90" workbookViewId="0">
      <selection activeCell="H22" sqref="H22"/>
    </sheetView>
  </sheetViews>
  <sheetFormatPr defaultColWidth="9.140625" defaultRowHeight="12.75" x14ac:dyDescent="0.2"/>
  <cols>
    <col min="1" max="1" width="4.42578125" style="3" customWidth="1"/>
    <col min="2" max="2" width="27.5703125" style="3" customWidth="1"/>
    <col min="3" max="3" width="11.5703125" style="3" customWidth="1"/>
    <col min="4" max="5" width="15.7109375" style="3" customWidth="1"/>
    <col min="6" max="7" width="13.42578125" style="3" customWidth="1"/>
    <col min="8" max="16384" width="9.140625" style="3"/>
  </cols>
  <sheetData>
    <row r="1" spans="1:7" ht="15" customHeight="1" x14ac:dyDescent="0.2">
      <c r="A1" s="1" t="s">
        <v>0</v>
      </c>
      <c r="B1" s="2"/>
      <c r="C1" s="2"/>
    </row>
    <row r="2" spans="1:7" ht="15" customHeight="1" x14ac:dyDescent="0.2">
      <c r="A2" s="1" t="s">
        <v>53</v>
      </c>
      <c r="B2" s="4"/>
      <c r="C2" s="4"/>
    </row>
    <row r="3" spans="1:7" ht="15" customHeight="1" x14ac:dyDescent="0.2">
      <c r="A3" s="1" t="s">
        <v>1</v>
      </c>
      <c r="B3" s="2"/>
      <c r="C3" s="2"/>
    </row>
    <row r="4" spans="1:7" ht="15" customHeight="1" x14ac:dyDescent="0.2">
      <c r="A4" s="1" t="s">
        <v>55</v>
      </c>
      <c r="B4" s="2"/>
      <c r="C4" s="2"/>
    </row>
    <row r="5" spans="1:7" ht="15" customHeight="1" x14ac:dyDescent="0.2">
      <c r="A5" s="1"/>
      <c r="B5" s="2"/>
      <c r="C5" s="2"/>
    </row>
    <row r="6" spans="1:7" ht="15" customHeight="1" x14ac:dyDescent="0.2">
      <c r="A6" s="1"/>
      <c r="B6" s="2"/>
      <c r="C6" s="2"/>
    </row>
    <row r="7" spans="1:7" ht="15" customHeight="1" x14ac:dyDescent="0.2">
      <c r="A7" s="5"/>
      <c r="B7" s="5"/>
      <c r="C7" s="5"/>
      <c r="D7" s="6" t="s">
        <v>2</v>
      </c>
      <c r="E7" s="7" t="s">
        <v>3</v>
      </c>
      <c r="F7" s="5"/>
      <c r="G7" s="8" t="s">
        <v>4</v>
      </c>
    </row>
    <row r="8" spans="1:7" ht="15" customHeight="1" x14ac:dyDescent="0.2">
      <c r="A8" s="5"/>
      <c r="B8" s="9"/>
      <c r="C8" s="9"/>
      <c r="D8" s="7" t="s">
        <v>5</v>
      </c>
      <c r="E8" s="7" t="s">
        <v>6</v>
      </c>
      <c r="F8" s="9" t="s">
        <v>7</v>
      </c>
      <c r="G8" s="7" t="s">
        <v>8</v>
      </c>
    </row>
    <row r="9" spans="1:7" ht="15" customHeight="1" x14ac:dyDescent="0.2">
      <c r="A9" s="6" t="s">
        <v>9</v>
      </c>
      <c r="B9" s="9"/>
      <c r="C9" s="9"/>
      <c r="D9" s="7" t="s">
        <v>10</v>
      </c>
      <c r="E9" s="6" t="s">
        <v>11</v>
      </c>
      <c r="F9" s="9" t="s">
        <v>8</v>
      </c>
      <c r="G9" s="7" t="s">
        <v>12</v>
      </c>
    </row>
    <row r="10" spans="1:7" ht="15" customHeight="1" x14ac:dyDescent="0.2">
      <c r="A10" s="10" t="s">
        <v>13</v>
      </c>
      <c r="B10" s="10" t="s">
        <v>14</v>
      </c>
      <c r="C10" s="10" t="s">
        <v>15</v>
      </c>
      <c r="D10" s="11" t="s">
        <v>16</v>
      </c>
      <c r="E10" s="11" t="s">
        <v>17</v>
      </c>
      <c r="F10" s="10" t="s">
        <v>18</v>
      </c>
      <c r="G10" s="10" t="s">
        <v>19</v>
      </c>
    </row>
    <row r="11" spans="1:7" ht="15" customHeight="1" x14ac:dyDescent="0.2">
      <c r="B11" s="4" t="s">
        <v>20</v>
      </c>
      <c r="C11" s="4" t="s">
        <v>21</v>
      </c>
      <c r="D11" s="12" t="s">
        <v>22</v>
      </c>
      <c r="E11" s="13" t="s">
        <v>23</v>
      </c>
      <c r="F11" s="13" t="s">
        <v>24</v>
      </c>
      <c r="G11" s="13" t="s">
        <v>25</v>
      </c>
    </row>
    <row r="12" spans="1:7" ht="15" customHeight="1" x14ac:dyDescent="0.2">
      <c r="A12" s="4">
        <v>1</v>
      </c>
      <c r="B12" s="3" t="s">
        <v>26</v>
      </c>
      <c r="C12" s="4" t="s">
        <v>27</v>
      </c>
      <c r="D12" s="30">
        <f>'Rate Spread (Sch. 141D)'!H12</f>
        <v>1244937.6213557837</v>
      </c>
      <c r="E12" s="31">
        <v>639473381</v>
      </c>
      <c r="F12" s="14">
        <f>ROUND(D12/E12,5)</f>
        <v>1.9499999999999999E-3</v>
      </c>
      <c r="G12" s="15">
        <f>ROUND(F12*19,2)</f>
        <v>0.04</v>
      </c>
    </row>
    <row r="13" spans="1:7" ht="15" customHeight="1" x14ac:dyDescent="0.2">
      <c r="A13" s="4">
        <f>A12+1</f>
        <v>2</v>
      </c>
      <c r="B13" s="3" t="s">
        <v>28</v>
      </c>
      <c r="C13" s="4">
        <v>31</v>
      </c>
      <c r="D13" s="30">
        <f>'Rate Spread (Sch. 141D)'!H13</f>
        <v>438636.98000765353</v>
      </c>
      <c r="E13" s="31">
        <v>245936243</v>
      </c>
      <c r="F13" s="14">
        <f t="shared" ref="F13:F16" si="0">ROUND(D13/E13,5)</f>
        <v>1.7799999999999999E-3</v>
      </c>
      <c r="G13" s="16"/>
    </row>
    <row r="14" spans="1:7" ht="15" customHeight="1" x14ac:dyDescent="0.2">
      <c r="A14" s="4">
        <f t="shared" ref="A14:A33" si="1">A13+1</f>
        <v>3</v>
      </c>
      <c r="B14" s="3" t="s">
        <v>29</v>
      </c>
      <c r="C14" s="4">
        <v>41</v>
      </c>
      <c r="D14" s="30">
        <f>'Rate Spread (Sch. 141D)'!H14</f>
        <v>91017.794156120595</v>
      </c>
      <c r="E14" s="31">
        <v>66890541</v>
      </c>
      <c r="F14" s="14">
        <f t="shared" si="0"/>
        <v>1.3600000000000001E-3</v>
      </c>
      <c r="G14" s="16"/>
    </row>
    <row r="15" spans="1:7" ht="15" customHeight="1" x14ac:dyDescent="0.2">
      <c r="A15" s="4">
        <f t="shared" si="1"/>
        <v>4</v>
      </c>
      <c r="B15" s="3" t="s">
        <v>30</v>
      </c>
      <c r="C15" s="4">
        <v>85</v>
      </c>
      <c r="D15" s="30">
        <f>'Rate Spread (Sch. 141D)'!H15</f>
        <v>12284.908068357927</v>
      </c>
      <c r="E15" s="31">
        <v>10745378</v>
      </c>
      <c r="F15" s="14">
        <f t="shared" si="0"/>
        <v>1.14E-3</v>
      </c>
      <c r="G15" s="16"/>
    </row>
    <row r="16" spans="1:7" ht="15" customHeight="1" x14ac:dyDescent="0.2">
      <c r="A16" s="4">
        <f t="shared" si="1"/>
        <v>5</v>
      </c>
      <c r="B16" s="3" t="s">
        <v>31</v>
      </c>
      <c r="C16" s="4">
        <v>86</v>
      </c>
      <c r="D16" s="30">
        <f>'Rate Spread (Sch. 141D)'!H16</f>
        <v>1664.9695891102019</v>
      </c>
      <c r="E16" s="31">
        <v>5489408</v>
      </c>
      <c r="F16" s="14">
        <f t="shared" si="0"/>
        <v>2.9999999999999997E-4</v>
      </c>
      <c r="G16" s="16"/>
    </row>
    <row r="17" spans="1:7" ht="15" customHeight="1" x14ac:dyDescent="0.2">
      <c r="A17" s="4">
        <f t="shared" si="1"/>
        <v>6</v>
      </c>
      <c r="C17" s="4"/>
      <c r="D17" s="30"/>
      <c r="E17" s="31"/>
      <c r="F17" s="14"/>
      <c r="G17" s="16"/>
    </row>
    <row r="18" spans="1:7" ht="15" customHeight="1" x14ac:dyDescent="0.2">
      <c r="A18" s="4">
        <f t="shared" si="1"/>
        <v>7</v>
      </c>
      <c r="B18" s="3" t="s">
        <v>32</v>
      </c>
      <c r="C18" s="4">
        <v>87</v>
      </c>
      <c r="D18" s="30"/>
      <c r="E18" s="31"/>
      <c r="F18" s="14"/>
      <c r="G18" s="16"/>
    </row>
    <row r="19" spans="1:7" ht="15" customHeight="1" x14ac:dyDescent="0.2">
      <c r="A19" s="4">
        <f t="shared" si="1"/>
        <v>8</v>
      </c>
      <c r="B19" s="3" t="s">
        <v>33</v>
      </c>
      <c r="C19" s="4">
        <v>87</v>
      </c>
      <c r="D19" s="30">
        <f>'Rate Spread (Sch. 141D Blocks)'!I13</f>
        <v>3155.358638183794</v>
      </c>
      <c r="E19" s="31">
        <f>'Rate Spread (Sch. 141D Blocks)'!D13</f>
        <v>1512193</v>
      </c>
      <c r="F19" s="14">
        <f>ROUND(D19/E19,5)</f>
        <v>2.0899999999999998E-3</v>
      </c>
      <c r="G19" s="16"/>
    </row>
    <row r="20" spans="1:7" ht="15" customHeight="1" x14ac:dyDescent="0.2">
      <c r="A20" s="4">
        <f t="shared" si="1"/>
        <v>9</v>
      </c>
      <c r="B20" s="3" t="s">
        <v>34</v>
      </c>
      <c r="C20" s="4">
        <v>87</v>
      </c>
      <c r="D20" s="30">
        <f>'Rate Spread (Sch. 141D Blocks)'!I14</f>
        <v>1762.7182338814041</v>
      </c>
      <c r="E20" s="31">
        <f>'Rate Spread (Sch. 141D Blocks)'!D14</f>
        <v>1398016.115</v>
      </c>
      <c r="F20" s="14">
        <f t="shared" ref="F20:F24" si="2">ROUND(D20/E20,5)</f>
        <v>1.2600000000000001E-3</v>
      </c>
      <c r="G20" s="16"/>
    </row>
    <row r="21" spans="1:7" ht="15" customHeight="1" x14ac:dyDescent="0.2">
      <c r="A21" s="4">
        <f t="shared" si="1"/>
        <v>10</v>
      </c>
      <c r="B21" s="3" t="s">
        <v>35</v>
      </c>
      <c r="C21" s="4">
        <v>87</v>
      </c>
      <c r="D21" s="30">
        <f>'Rate Spread (Sch. 141D Blocks)'!I15</f>
        <v>1859.0959152730318</v>
      </c>
      <c r="E21" s="31">
        <f>'Rate Spread (Sch. 141D Blocks)'!D15</f>
        <v>2316890.0959999999</v>
      </c>
      <c r="F21" s="14">
        <f t="shared" si="2"/>
        <v>8.0000000000000004E-4</v>
      </c>
      <c r="G21" s="16"/>
    </row>
    <row r="22" spans="1:7" ht="15" customHeight="1" x14ac:dyDescent="0.2">
      <c r="A22" s="4">
        <f t="shared" si="1"/>
        <v>11</v>
      </c>
      <c r="B22" s="3" t="s">
        <v>36</v>
      </c>
      <c r="C22" s="4">
        <v>87</v>
      </c>
      <c r="D22" s="30">
        <f>'Rate Spread (Sch. 141D Blocks)'!I16</f>
        <v>1566.6752118226361</v>
      </c>
      <c r="E22" s="31">
        <f>'Rate Spread (Sch. 141D Blocks)'!D16</f>
        <v>3045256.8779999996</v>
      </c>
      <c r="F22" s="14">
        <f t="shared" si="2"/>
        <v>5.1000000000000004E-4</v>
      </c>
      <c r="G22" s="16"/>
    </row>
    <row r="23" spans="1:7" ht="15" customHeight="1" x14ac:dyDescent="0.2">
      <c r="A23" s="4">
        <f t="shared" si="1"/>
        <v>12</v>
      </c>
      <c r="B23" s="3" t="s">
        <v>37</v>
      </c>
      <c r="C23" s="4">
        <v>87</v>
      </c>
      <c r="D23" s="30">
        <f>'Rate Spread (Sch. 141D Blocks)'!I17</f>
        <v>1404.1522387686341</v>
      </c>
      <c r="E23" s="31">
        <f>'Rate Spread (Sch. 141D Blocks)'!D17</f>
        <v>3792042.2029999997</v>
      </c>
      <c r="F23" s="14">
        <f t="shared" si="2"/>
        <v>3.6999999999999999E-4</v>
      </c>
      <c r="G23" s="16"/>
    </row>
    <row r="24" spans="1:7" ht="15" customHeight="1" x14ac:dyDescent="0.2">
      <c r="A24" s="4">
        <f t="shared" si="1"/>
        <v>13</v>
      </c>
      <c r="B24" s="3" t="s">
        <v>38</v>
      </c>
      <c r="C24" s="4">
        <v>87</v>
      </c>
      <c r="D24" s="30">
        <f>'Rate Spread (Sch. 141D Blocks)'!I18</f>
        <v>688.40970873665594</v>
      </c>
      <c r="E24" s="31">
        <f>'Rate Spread (Sch. 141D Blocks)'!D18</f>
        <v>9755057.4703552071</v>
      </c>
      <c r="F24" s="14">
        <f t="shared" si="2"/>
        <v>6.9999999999999994E-5</v>
      </c>
      <c r="G24" s="16"/>
    </row>
    <row r="25" spans="1:7" ht="15" customHeight="1" x14ac:dyDescent="0.2">
      <c r="A25" s="4">
        <f t="shared" si="1"/>
        <v>14</v>
      </c>
      <c r="C25" s="4"/>
      <c r="D25" s="30"/>
      <c r="E25" s="31"/>
      <c r="F25" s="14"/>
      <c r="G25" s="16"/>
    </row>
    <row r="26" spans="1:7" ht="15" customHeight="1" x14ac:dyDescent="0.2">
      <c r="A26" s="4">
        <f t="shared" si="1"/>
        <v>15</v>
      </c>
      <c r="B26" s="3" t="s">
        <v>39</v>
      </c>
      <c r="C26" s="4" t="s">
        <v>40</v>
      </c>
      <c r="D26" s="30"/>
      <c r="E26" s="31"/>
      <c r="F26" s="14"/>
      <c r="G26" s="16"/>
    </row>
    <row r="27" spans="1:7" ht="15" customHeight="1" x14ac:dyDescent="0.2">
      <c r="A27" s="4">
        <f t="shared" si="1"/>
        <v>16</v>
      </c>
      <c r="B27" s="3" t="s">
        <v>33</v>
      </c>
      <c r="C27" s="4" t="s">
        <v>40</v>
      </c>
      <c r="D27" s="30">
        <f>'Rate Spread (Sch. 141D Blocks)'!I22</f>
        <v>53481.888837432271</v>
      </c>
      <c r="E27" s="31">
        <f>'Rate Spread (Sch. 141D Blocks)'!D22</f>
        <v>300000</v>
      </c>
      <c r="F27" s="14">
        <f>ROUND(D27/E27,5)</f>
        <v>0.17827000000000001</v>
      </c>
      <c r="G27" s="16"/>
    </row>
    <row r="28" spans="1:7" ht="15" customHeight="1" x14ac:dyDescent="0.2">
      <c r="A28" s="4">
        <f t="shared" si="1"/>
        <v>17</v>
      </c>
      <c r="B28" s="3" t="s">
        <v>34</v>
      </c>
      <c r="C28" s="4" t="s">
        <v>40</v>
      </c>
      <c r="D28" s="30">
        <f>'Rate Spread (Sch. 141D Blocks)'!I23</f>
        <v>32317.450511238225</v>
      </c>
      <c r="E28" s="31">
        <f>'Rate Spread (Sch. 141D Blocks)'!D23</f>
        <v>300000</v>
      </c>
      <c r="F28" s="14">
        <f t="shared" ref="F28:F32" si="3">ROUND(D28/E28,5)</f>
        <v>0.10772</v>
      </c>
      <c r="G28" s="16"/>
    </row>
    <row r="29" spans="1:7" ht="15" customHeight="1" x14ac:dyDescent="0.2">
      <c r="A29" s="4">
        <f t="shared" si="1"/>
        <v>18</v>
      </c>
      <c r="B29" s="3" t="s">
        <v>35</v>
      </c>
      <c r="C29" s="4" t="s">
        <v>40</v>
      </c>
      <c r="D29" s="30">
        <f>'Rate Spread (Sch. 141D Blocks)'!I24</f>
        <v>41133.174791514597</v>
      </c>
      <c r="E29" s="31">
        <f>'Rate Spread (Sch. 141D Blocks)'!D24</f>
        <v>600000</v>
      </c>
      <c r="F29" s="14">
        <f t="shared" si="3"/>
        <v>6.8559999999999996E-2</v>
      </c>
      <c r="G29" s="16"/>
    </row>
    <row r="30" spans="1:7" ht="15" customHeight="1" x14ac:dyDescent="0.2">
      <c r="A30" s="4">
        <f t="shared" si="1"/>
        <v>19</v>
      </c>
      <c r="B30" s="3" t="s">
        <v>36</v>
      </c>
      <c r="C30" s="4" t="s">
        <v>40</v>
      </c>
      <c r="D30" s="30">
        <f>'Rate Spread (Sch. 141D Blocks)'!I25</f>
        <v>52744.882949049039</v>
      </c>
      <c r="E30" s="31">
        <f>'Rate Spread (Sch. 141D Blocks)'!D25</f>
        <v>1200000</v>
      </c>
      <c r="F30" s="14">
        <f t="shared" si="3"/>
        <v>4.3950000000000003E-2</v>
      </c>
      <c r="G30" s="16"/>
    </row>
    <row r="31" spans="1:7" ht="15" customHeight="1" x14ac:dyDescent="0.2">
      <c r="A31" s="4">
        <f t="shared" si="1"/>
        <v>20</v>
      </c>
      <c r="B31" s="3" t="s">
        <v>37</v>
      </c>
      <c r="C31" s="4" t="s">
        <v>40</v>
      </c>
      <c r="D31" s="30">
        <f>'Rate Spread (Sch. 141D Blocks)'!I26</f>
        <v>113890.60224820067</v>
      </c>
      <c r="E31" s="31">
        <f>'Rate Spread (Sch. 141D Blocks)'!D26</f>
        <v>3600000</v>
      </c>
      <c r="F31" s="14">
        <f t="shared" si="3"/>
        <v>3.1640000000000001E-2</v>
      </c>
      <c r="G31" s="16"/>
    </row>
    <row r="32" spans="1:7" ht="15" customHeight="1" x14ac:dyDescent="0.2">
      <c r="A32" s="4">
        <f t="shared" si="1"/>
        <v>21</v>
      </c>
      <c r="B32" s="3" t="s">
        <v>38</v>
      </c>
      <c r="C32" s="4" t="s">
        <v>40</v>
      </c>
      <c r="D32" s="30">
        <f>'Rate Spread (Sch. 141D Blocks)'!I27</f>
        <v>821329.4979926938</v>
      </c>
      <c r="E32" s="31">
        <f>'Rate Spread (Sch. 141D Blocks)'!D27</f>
        <v>38508541</v>
      </c>
      <c r="F32" s="14">
        <f t="shared" si="3"/>
        <v>2.1329999999999998E-2</v>
      </c>
      <c r="G32" s="16"/>
    </row>
    <row r="33" spans="1:7" ht="15" customHeight="1" x14ac:dyDescent="0.2">
      <c r="A33" s="4">
        <f t="shared" si="1"/>
        <v>22</v>
      </c>
      <c r="C33" s="4"/>
      <c r="D33" s="30"/>
      <c r="E33" s="31"/>
      <c r="F33" s="14"/>
      <c r="G33" s="16"/>
    </row>
    <row r="34" spans="1:7" ht="15" customHeight="1" x14ac:dyDescent="0.2">
      <c r="A34" s="4">
        <f>A33+1</f>
        <v>23</v>
      </c>
      <c r="B34" s="3" t="s">
        <v>41</v>
      </c>
      <c r="D34" s="17">
        <f>SUM(D12:D32)</f>
        <v>2913876.1804538211</v>
      </c>
      <c r="E34" s="18">
        <f>SUM(E12:E32)</f>
        <v>1034862947.7623551</v>
      </c>
      <c r="F34" s="16"/>
      <c r="G34" s="16"/>
    </row>
    <row r="35" spans="1:7" ht="15" customHeight="1" x14ac:dyDescent="0.2">
      <c r="A35" s="4"/>
    </row>
    <row r="36" spans="1:7" x14ac:dyDescent="0.2">
      <c r="C36" s="16"/>
    </row>
  </sheetData>
  <printOptions horizontalCentered="1"/>
  <pageMargins left="0.45" right="0.45" top="0.75" bottom="0.75" header="0.3" footer="0.3"/>
  <pageSetup orientation="landscape" blackAndWhite="1" r:id="rId1"/>
  <headerFooter>
    <oddFooter>&amp;R&amp;A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zoomScale="90" zoomScaleNormal="90" workbookViewId="0">
      <pane ySplit="10" topLeftCell="A11" activePane="bottomLeft" state="frozen"/>
      <selection activeCell="E38" sqref="E38"/>
      <selection pane="bottomLeft" activeCell="G32" sqref="G32"/>
    </sheetView>
  </sheetViews>
  <sheetFormatPr defaultColWidth="8.85546875" defaultRowHeight="12.75" x14ac:dyDescent="0.2"/>
  <cols>
    <col min="1" max="1" width="4.5703125" style="16" customWidth="1"/>
    <col min="2" max="2" width="3.140625" style="16" customWidth="1"/>
    <col min="3" max="3" width="25.7109375" style="16" customWidth="1"/>
    <col min="4" max="4" width="13.7109375" style="16" customWidth="1"/>
    <col min="5" max="5" width="13.28515625" style="16" customWidth="1"/>
    <col min="6" max="7" width="14.5703125" style="16" bestFit="1" customWidth="1"/>
    <col min="8" max="8" width="11.28515625" style="16" bestFit="1" customWidth="1"/>
    <col min="9" max="9" width="15" style="16" bestFit="1" customWidth="1"/>
    <col min="10" max="10" width="9.42578125" style="16" customWidth="1"/>
    <col min="11" max="16384" width="8.85546875" style="16"/>
  </cols>
  <sheetData>
    <row r="1" spans="1:9" x14ac:dyDescent="0.2">
      <c r="A1" s="1" t="s">
        <v>0</v>
      </c>
      <c r="B1" s="19"/>
      <c r="C1" s="19"/>
      <c r="D1" s="19"/>
      <c r="E1" s="19"/>
      <c r="F1" s="19"/>
      <c r="G1" s="19"/>
      <c r="H1" s="19"/>
      <c r="I1" s="19"/>
    </row>
    <row r="2" spans="1:9" x14ac:dyDescent="0.2">
      <c r="A2" s="1" t="s">
        <v>53</v>
      </c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5" t="s">
        <v>42</v>
      </c>
      <c r="B3" s="19"/>
      <c r="C3" s="19"/>
      <c r="D3" s="19"/>
      <c r="E3" s="19"/>
      <c r="F3" s="19"/>
      <c r="G3" s="19"/>
      <c r="H3" s="19"/>
      <c r="I3" s="19"/>
    </row>
    <row r="4" spans="1:9" x14ac:dyDescent="0.2">
      <c r="A4" s="1" t="s">
        <v>55</v>
      </c>
      <c r="B4" s="12"/>
      <c r="C4" s="12"/>
      <c r="D4" s="12"/>
      <c r="E4" s="12"/>
      <c r="F4" s="12"/>
      <c r="G4" s="12"/>
      <c r="H4" s="12"/>
      <c r="I4" s="12"/>
    </row>
    <row r="5" spans="1:9" x14ac:dyDescent="0.2">
      <c r="A5" s="1"/>
      <c r="B5" s="12"/>
      <c r="C5" s="12"/>
      <c r="D5" s="12"/>
      <c r="E5" s="12"/>
      <c r="F5" s="12"/>
      <c r="G5" s="12"/>
      <c r="H5" s="12"/>
      <c r="I5" s="12"/>
    </row>
    <row r="6" spans="1:9" x14ac:dyDescent="0.2">
      <c r="A6" s="1"/>
      <c r="B6" s="12"/>
      <c r="C6" s="12"/>
      <c r="D6" s="12"/>
      <c r="E6" s="12"/>
      <c r="F6" s="12"/>
      <c r="G6" s="12"/>
      <c r="H6" s="12"/>
      <c r="I6" s="12"/>
    </row>
    <row r="7" spans="1:9" x14ac:dyDescent="0.2">
      <c r="D7" s="8" t="s">
        <v>3</v>
      </c>
      <c r="I7" s="8" t="s">
        <v>2</v>
      </c>
    </row>
    <row r="8" spans="1:9" x14ac:dyDescent="0.2">
      <c r="A8" s="32"/>
      <c r="B8" s="32"/>
      <c r="C8" s="32"/>
      <c r="D8" s="8" t="s">
        <v>6</v>
      </c>
      <c r="E8" s="8"/>
      <c r="F8" s="8"/>
      <c r="G8" s="8" t="s">
        <v>2</v>
      </c>
      <c r="H8" s="8"/>
      <c r="I8" s="8" t="s">
        <v>5</v>
      </c>
    </row>
    <row r="9" spans="1:9" x14ac:dyDescent="0.2">
      <c r="A9" s="32" t="s">
        <v>9</v>
      </c>
      <c r="B9" s="32"/>
      <c r="C9" s="32"/>
      <c r="D9" s="7" t="s">
        <v>11</v>
      </c>
      <c r="E9" s="8" t="s">
        <v>3</v>
      </c>
      <c r="F9" s="8" t="s">
        <v>43</v>
      </c>
      <c r="G9" s="8" t="s">
        <v>10</v>
      </c>
      <c r="H9" s="8" t="s">
        <v>44</v>
      </c>
      <c r="I9" s="8" t="s">
        <v>10</v>
      </c>
    </row>
    <row r="10" spans="1:9" x14ac:dyDescent="0.2">
      <c r="A10" s="33" t="s">
        <v>13</v>
      </c>
      <c r="B10" s="42" t="s">
        <v>45</v>
      </c>
      <c r="C10" s="42"/>
      <c r="D10" s="8" t="s">
        <v>17</v>
      </c>
      <c r="E10" s="11" t="s">
        <v>46</v>
      </c>
      <c r="F10" s="11" t="s">
        <v>10</v>
      </c>
      <c r="G10" s="11" t="s">
        <v>16</v>
      </c>
      <c r="H10" s="11" t="s">
        <v>47</v>
      </c>
      <c r="I10" s="11" t="s">
        <v>16</v>
      </c>
    </row>
    <row r="11" spans="1:9" x14ac:dyDescent="0.2">
      <c r="A11" s="34"/>
      <c r="B11" s="13"/>
      <c r="C11" s="13" t="s">
        <v>20</v>
      </c>
      <c r="D11" s="35" t="s">
        <v>23</v>
      </c>
      <c r="E11" s="13" t="s">
        <v>22</v>
      </c>
      <c r="F11" s="13" t="s">
        <v>23</v>
      </c>
      <c r="G11" s="13" t="s">
        <v>48</v>
      </c>
      <c r="H11" s="13" t="s">
        <v>49</v>
      </c>
      <c r="I11" s="13" t="s">
        <v>50</v>
      </c>
    </row>
    <row r="12" spans="1:9" x14ac:dyDescent="0.2">
      <c r="A12" s="13">
        <v>1</v>
      </c>
      <c r="B12" s="16" t="s">
        <v>51</v>
      </c>
      <c r="D12" s="31"/>
      <c r="E12" s="36"/>
    </row>
    <row r="13" spans="1:9" x14ac:dyDescent="0.2">
      <c r="A13" s="13">
        <f t="shared" ref="A13:A28" si="0">A12+1</f>
        <v>2</v>
      </c>
      <c r="C13" s="16" t="s">
        <v>33</v>
      </c>
      <c r="D13" s="37">
        <v>1512193</v>
      </c>
      <c r="E13" s="36">
        <v>0.20754</v>
      </c>
      <c r="F13" s="30">
        <f t="shared" ref="F13:F18" si="1">ROUND(D13*E13,0)</f>
        <v>313841</v>
      </c>
      <c r="H13" s="38">
        <f t="shared" ref="H13:H16" si="2">($G$19-$I$18)/SUM($F$13:$F$17)</f>
        <v>1.0054003900649673E-2</v>
      </c>
      <c r="I13" s="30">
        <f>F13*H13</f>
        <v>3155.358638183794</v>
      </c>
    </row>
    <row r="14" spans="1:9" x14ac:dyDescent="0.2">
      <c r="A14" s="13">
        <f t="shared" si="0"/>
        <v>3</v>
      </c>
      <c r="C14" s="16" t="s">
        <v>34</v>
      </c>
      <c r="D14" s="37">
        <v>1398016.115</v>
      </c>
      <c r="E14" s="36">
        <v>0.12540999999999999</v>
      </c>
      <c r="F14" s="30">
        <f t="shared" si="1"/>
        <v>175325</v>
      </c>
      <c r="H14" s="38">
        <f t="shared" si="2"/>
        <v>1.0054003900649673E-2</v>
      </c>
      <c r="I14" s="30">
        <f t="shared" ref="I14:I17" si="3">F14*H14</f>
        <v>1762.7182338814041</v>
      </c>
    </row>
    <row r="15" spans="1:9" x14ac:dyDescent="0.2">
      <c r="A15" s="13">
        <f t="shared" si="0"/>
        <v>4</v>
      </c>
      <c r="C15" s="16" t="s">
        <v>35</v>
      </c>
      <c r="D15" s="37">
        <v>2316890.0959999999</v>
      </c>
      <c r="E15" s="36">
        <v>7.9810000000000006E-2</v>
      </c>
      <c r="F15" s="30">
        <f t="shared" si="1"/>
        <v>184911</v>
      </c>
      <c r="H15" s="38">
        <f t="shared" si="2"/>
        <v>1.0054003900649673E-2</v>
      </c>
      <c r="I15" s="30">
        <f t="shared" si="3"/>
        <v>1859.0959152730318</v>
      </c>
    </row>
    <row r="16" spans="1:9" x14ac:dyDescent="0.2">
      <c r="A16" s="13">
        <f t="shared" si="0"/>
        <v>5</v>
      </c>
      <c r="C16" s="16" t="s">
        <v>36</v>
      </c>
      <c r="D16" s="37">
        <v>3045256.8779999996</v>
      </c>
      <c r="E16" s="36">
        <v>5.117E-2</v>
      </c>
      <c r="F16" s="30">
        <f t="shared" si="1"/>
        <v>155826</v>
      </c>
      <c r="H16" s="38">
        <f t="shared" si="2"/>
        <v>1.0054003900649673E-2</v>
      </c>
      <c r="I16" s="30">
        <f t="shared" si="3"/>
        <v>1566.6752118226361</v>
      </c>
    </row>
    <row r="17" spans="1:9" x14ac:dyDescent="0.2">
      <c r="A17" s="13">
        <f t="shared" si="0"/>
        <v>6</v>
      </c>
      <c r="C17" s="16" t="s">
        <v>37</v>
      </c>
      <c r="D17" s="37">
        <v>3792042.2029999997</v>
      </c>
      <c r="E17" s="36">
        <v>3.6830000000000002E-2</v>
      </c>
      <c r="F17" s="30">
        <f t="shared" si="1"/>
        <v>139661</v>
      </c>
      <c r="H17" s="38">
        <f>($G$19-$I$18)/SUM($F$13:$F$17)</f>
        <v>1.0054003900649673E-2</v>
      </c>
      <c r="I17" s="30">
        <f t="shared" si="3"/>
        <v>1404.1522387686341</v>
      </c>
    </row>
    <row r="18" spans="1:9" x14ac:dyDescent="0.2">
      <c r="A18" s="13">
        <f t="shared" si="0"/>
        <v>7</v>
      </c>
      <c r="C18" s="16" t="s">
        <v>38</v>
      </c>
      <c r="D18" s="37">
        <v>9755057.4703552071</v>
      </c>
      <c r="E18" s="36">
        <v>2.4830000000000001E-2</v>
      </c>
      <c r="F18" s="30">
        <f t="shared" si="1"/>
        <v>242218</v>
      </c>
      <c r="H18" s="38">
        <f>H19*0.33</f>
        <v>2.842107971895796E-3</v>
      </c>
      <c r="I18" s="30">
        <f>F18*H18</f>
        <v>688.40970873665594</v>
      </c>
    </row>
    <row r="19" spans="1:9" x14ac:dyDescent="0.2">
      <c r="A19" s="13">
        <f t="shared" si="0"/>
        <v>8</v>
      </c>
      <c r="C19" s="16" t="s">
        <v>41</v>
      </c>
      <c r="D19" s="20">
        <f>SUM(D13:D18)</f>
        <v>21819455.762355208</v>
      </c>
      <c r="E19" s="36"/>
      <c r="F19" s="17">
        <f>SUM(F13:F18)</f>
        <v>1211782</v>
      </c>
      <c r="G19" s="30">
        <f>'Rate Spread (Sch. 141D)'!H17</f>
        <v>10436.409946666156</v>
      </c>
      <c r="H19" s="38">
        <f>$G$19/$F$19</f>
        <v>8.6124483996842301E-3</v>
      </c>
      <c r="I19" s="17">
        <f>SUM(I13:I18)</f>
        <v>10436.409946666156</v>
      </c>
    </row>
    <row r="20" spans="1:9" x14ac:dyDescent="0.2">
      <c r="A20" s="13">
        <f t="shared" si="0"/>
        <v>9</v>
      </c>
      <c r="D20" s="39"/>
      <c r="E20" s="36"/>
      <c r="F20" s="40"/>
      <c r="G20" s="30"/>
      <c r="H20" s="38"/>
      <c r="I20" s="40"/>
    </row>
    <row r="21" spans="1:9" x14ac:dyDescent="0.2">
      <c r="A21" s="13">
        <f t="shared" si="0"/>
        <v>10</v>
      </c>
      <c r="B21" s="16" t="s">
        <v>52</v>
      </c>
      <c r="D21" s="31"/>
      <c r="E21" s="36"/>
    </row>
    <row r="22" spans="1:9" x14ac:dyDescent="0.2">
      <c r="A22" s="13">
        <f t="shared" si="0"/>
        <v>11</v>
      </c>
      <c r="C22" s="16" t="s">
        <v>33</v>
      </c>
      <c r="D22" s="39">
        <v>300000</v>
      </c>
      <c r="E22" s="36">
        <v>0.20754</v>
      </c>
      <c r="F22" s="30">
        <f t="shared" ref="F22:F27" si="4">ROUND(D22*E22,0)</f>
        <v>62262</v>
      </c>
      <c r="H22" s="38">
        <f t="shared" ref="H22:H27" si="5">$G$28/$F$28</f>
        <v>0.85898122189188064</v>
      </c>
      <c r="I22" s="30">
        <f>F22*H22</f>
        <v>53481.888837432271</v>
      </c>
    </row>
    <row r="23" spans="1:9" x14ac:dyDescent="0.2">
      <c r="A23" s="13">
        <f t="shared" si="0"/>
        <v>12</v>
      </c>
      <c r="C23" s="16" t="s">
        <v>34</v>
      </c>
      <c r="D23" s="39">
        <v>300000</v>
      </c>
      <c r="E23" s="36">
        <v>0.12540999999999999</v>
      </c>
      <c r="F23" s="30">
        <f t="shared" si="4"/>
        <v>37623</v>
      </c>
      <c r="H23" s="38">
        <f t="shared" si="5"/>
        <v>0.85898122189188064</v>
      </c>
      <c r="I23" s="30">
        <f t="shared" ref="I23:I26" si="6">F23*H23</f>
        <v>32317.450511238225</v>
      </c>
    </row>
    <row r="24" spans="1:9" x14ac:dyDescent="0.2">
      <c r="A24" s="13">
        <f t="shared" si="0"/>
        <v>13</v>
      </c>
      <c r="C24" s="16" t="s">
        <v>35</v>
      </c>
      <c r="D24" s="39">
        <v>600000</v>
      </c>
      <c r="E24" s="36">
        <v>7.9810000000000006E-2</v>
      </c>
      <c r="F24" s="30">
        <f t="shared" si="4"/>
        <v>47886</v>
      </c>
      <c r="H24" s="38">
        <f t="shared" si="5"/>
        <v>0.85898122189188064</v>
      </c>
      <c r="I24" s="30">
        <f t="shared" si="6"/>
        <v>41133.174791514597</v>
      </c>
    </row>
    <row r="25" spans="1:9" x14ac:dyDescent="0.2">
      <c r="A25" s="13">
        <f t="shared" si="0"/>
        <v>14</v>
      </c>
      <c r="C25" s="16" t="s">
        <v>36</v>
      </c>
      <c r="D25" s="39">
        <v>1200000</v>
      </c>
      <c r="E25" s="36">
        <v>5.117E-2</v>
      </c>
      <c r="F25" s="30">
        <f t="shared" si="4"/>
        <v>61404</v>
      </c>
      <c r="H25" s="38">
        <f t="shared" si="5"/>
        <v>0.85898122189188064</v>
      </c>
      <c r="I25" s="30">
        <f t="shared" si="6"/>
        <v>52744.882949049039</v>
      </c>
    </row>
    <row r="26" spans="1:9" x14ac:dyDescent="0.2">
      <c r="A26" s="13">
        <f t="shared" si="0"/>
        <v>15</v>
      </c>
      <c r="C26" s="16" t="s">
        <v>37</v>
      </c>
      <c r="D26" s="39">
        <v>3600000</v>
      </c>
      <c r="E26" s="36">
        <v>3.6830000000000002E-2</v>
      </c>
      <c r="F26" s="30">
        <f t="shared" si="4"/>
        <v>132588</v>
      </c>
      <c r="H26" s="38">
        <f t="shared" si="5"/>
        <v>0.85898122189188064</v>
      </c>
      <c r="I26" s="30">
        <f t="shared" si="6"/>
        <v>113890.60224820067</v>
      </c>
    </row>
    <row r="27" spans="1:9" x14ac:dyDescent="0.2">
      <c r="A27" s="13">
        <f t="shared" si="0"/>
        <v>16</v>
      </c>
      <c r="C27" s="16" t="s">
        <v>38</v>
      </c>
      <c r="D27" s="39">
        <v>38508541</v>
      </c>
      <c r="E27" s="36">
        <v>2.4830000000000001E-2</v>
      </c>
      <c r="F27" s="30">
        <f t="shared" si="4"/>
        <v>956167</v>
      </c>
      <c r="H27" s="38">
        <f t="shared" si="5"/>
        <v>0.85898122189188064</v>
      </c>
      <c r="I27" s="30">
        <f>F27*H27</f>
        <v>821329.4979926938</v>
      </c>
    </row>
    <row r="28" spans="1:9" x14ac:dyDescent="0.2">
      <c r="A28" s="13">
        <f t="shared" si="0"/>
        <v>17</v>
      </c>
      <c r="C28" s="16" t="s">
        <v>41</v>
      </c>
      <c r="D28" s="20">
        <f>SUM(D22:D27)</f>
        <v>44508541</v>
      </c>
      <c r="E28" s="36"/>
      <c r="F28" s="17">
        <f>SUM(F22:F27)</f>
        <v>1297930</v>
      </c>
      <c r="G28" s="30">
        <f>'Rate Spread (Sch. 141D)'!H19</f>
        <v>1114897.4973301287</v>
      </c>
      <c r="H28" s="38">
        <f>$G$28/$F$28</f>
        <v>0.85898122189188064</v>
      </c>
      <c r="I28" s="17">
        <f>SUM(I22:I27)</f>
        <v>1114897.4973301287</v>
      </c>
    </row>
  </sheetData>
  <mergeCells count="1">
    <mergeCell ref="B10:C10"/>
  </mergeCells>
  <printOptions horizontalCentered="1"/>
  <pageMargins left="0.75" right="0.75" top="1" bottom="1" header="0.5" footer="0.5"/>
  <pageSetup scale="78" orientation="portrait" blackAndWhite="1" horizontalDpi="300" verticalDpi="300" r:id="rId1"/>
  <headerFooter alignWithMargins="0">
    <oddFooter>&amp;R&amp;A
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zoomScale="90" zoomScaleNormal="90" workbookViewId="0">
      <selection activeCell="E27" sqref="E27"/>
    </sheetView>
  </sheetViews>
  <sheetFormatPr defaultColWidth="9.140625" defaultRowHeight="12.75" x14ac:dyDescent="0.2"/>
  <cols>
    <col min="1" max="1" width="4.42578125" style="3" customWidth="1"/>
    <col min="2" max="2" width="31.28515625" style="3" customWidth="1"/>
    <col min="3" max="3" width="11.5703125" style="3" customWidth="1"/>
    <col min="4" max="5" width="14.7109375" style="3" customWidth="1"/>
    <col min="6" max="6" width="17.85546875" style="3" customWidth="1"/>
    <col min="7" max="7" width="12.42578125" style="3" bestFit="1" customWidth="1"/>
    <col min="8" max="8" width="14.140625" style="3" bestFit="1" customWidth="1"/>
    <col min="9" max="16384" width="9.140625" style="3"/>
  </cols>
  <sheetData>
    <row r="1" spans="1:8" ht="12.75" customHeight="1" x14ac:dyDescent="0.2">
      <c r="A1" s="5" t="s">
        <v>0</v>
      </c>
    </row>
    <row r="2" spans="1:8" ht="12.75" customHeight="1" x14ac:dyDescent="0.2">
      <c r="A2" s="5" t="s">
        <v>53</v>
      </c>
      <c r="B2" s="4"/>
      <c r="C2" s="4"/>
      <c r="D2" s="4"/>
      <c r="E2" s="4"/>
      <c r="F2" s="4"/>
    </row>
    <row r="3" spans="1:8" ht="12.75" customHeight="1" x14ac:dyDescent="0.2">
      <c r="A3" s="5" t="s">
        <v>54</v>
      </c>
    </row>
    <row r="4" spans="1:8" ht="12.75" customHeight="1" x14ac:dyDescent="0.2">
      <c r="A4" s="5" t="s">
        <v>55</v>
      </c>
    </row>
    <row r="5" spans="1:8" ht="12.75" customHeight="1" x14ac:dyDescent="0.2">
      <c r="A5" s="5"/>
    </row>
    <row r="6" spans="1:8" ht="12.75" customHeight="1" x14ac:dyDescent="0.2"/>
    <row r="7" spans="1:8" ht="12.75" customHeight="1" x14ac:dyDescent="0.2">
      <c r="A7" s="5"/>
      <c r="B7" s="5"/>
      <c r="C7" s="5"/>
      <c r="D7" s="6" t="s">
        <v>3</v>
      </c>
      <c r="E7" s="6" t="s">
        <v>3</v>
      </c>
      <c r="F7" s="6" t="s">
        <v>5</v>
      </c>
    </row>
    <row r="8" spans="1:8" ht="12.75" customHeight="1" x14ac:dyDescent="0.2">
      <c r="A8" s="5"/>
      <c r="B8" s="6"/>
      <c r="C8" s="6"/>
      <c r="D8" s="6" t="s">
        <v>2</v>
      </c>
      <c r="E8" s="6" t="s">
        <v>2</v>
      </c>
      <c r="F8" s="6" t="s">
        <v>10</v>
      </c>
      <c r="G8" s="6" t="s">
        <v>56</v>
      </c>
      <c r="H8" s="6" t="s">
        <v>7</v>
      </c>
    </row>
    <row r="9" spans="1:8" ht="12.75" customHeight="1" x14ac:dyDescent="0.2">
      <c r="A9" s="6" t="s">
        <v>9</v>
      </c>
      <c r="B9" s="6"/>
      <c r="C9" s="6"/>
      <c r="D9" s="6" t="s">
        <v>10</v>
      </c>
      <c r="E9" s="6" t="s">
        <v>57</v>
      </c>
      <c r="F9" s="6" t="s">
        <v>16</v>
      </c>
      <c r="G9" s="6" t="s">
        <v>58</v>
      </c>
      <c r="H9" s="6" t="s">
        <v>2</v>
      </c>
    </row>
    <row r="10" spans="1:8" ht="12.75" customHeight="1" x14ac:dyDescent="0.2">
      <c r="A10" s="10" t="s">
        <v>13</v>
      </c>
      <c r="B10" s="10" t="s">
        <v>14</v>
      </c>
      <c r="C10" s="10" t="s">
        <v>15</v>
      </c>
      <c r="D10" s="10" t="s">
        <v>16</v>
      </c>
      <c r="E10" s="10" t="s">
        <v>59</v>
      </c>
      <c r="F10" s="10" t="s">
        <v>60</v>
      </c>
      <c r="G10" s="10" t="s">
        <v>61</v>
      </c>
      <c r="H10" s="10" t="s">
        <v>62</v>
      </c>
    </row>
    <row r="11" spans="1:8" ht="12.75" customHeight="1" x14ac:dyDescent="0.2">
      <c r="B11" s="4" t="s">
        <v>20</v>
      </c>
      <c r="C11" s="4" t="s">
        <v>21</v>
      </c>
      <c r="D11" s="4" t="s">
        <v>22</v>
      </c>
      <c r="E11" s="4" t="s">
        <v>23</v>
      </c>
      <c r="F11" s="4" t="s">
        <v>48</v>
      </c>
      <c r="G11" s="4" t="s">
        <v>49</v>
      </c>
      <c r="H11" s="4" t="s">
        <v>50</v>
      </c>
    </row>
    <row r="12" spans="1:8" x14ac:dyDescent="0.2">
      <c r="A12" s="4">
        <v>1</v>
      </c>
      <c r="B12" s="3" t="s">
        <v>26</v>
      </c>
      <c r="C12" s="4" t="s">
        <v>27</v>
      </c>
      <c r="D12" s="41">
        <v>2016093.3139364917</v>
      </c>
      <c r="E12" s="21">
        <f>D12/$D$20</f>
        <v>0.69168304209796216</v>
      </c>
      <c r="F12" s="22"/>
      <c r="G12" s="22">
        <f>($D$20-$F$20)*E12</f>
        <v>1244937.6213557837</v>
      </c>
      <c r="H12" s="22">
        <f>G12+F12</f>
        <v>1244937.6213557837</v>
      </c>
    </row>
    <row r="13" spans="1:8" x14ac:dyDescent="0.2">
      <c r="A13" s="4">
        <f t="shared" ref="A13:A22" si="0">A12+1</f>
        <v>2</v>
      </c>
      <c r="B13" s="3" t="s">
        <v>28</v>
      </c>
      <c r="C13" s="4">
        <v>31</v>
      </c>
      <c r="D13" s="41">
        <v>710343.28746178711</v>
      </c>
      <c r="E13" s="21">
        <f t="shared" ref="E13:E18" si="1">D13/$D$20</f>
        <v>0.2437051909299241</v>
      </c>
      <c r="F13" s="22"/>
      <c r="G13" s="22">
        <f t="shared" ref="G13:G18" si="2">($D$20-$F$20)*E13</f>
        <v>438636.98000765353</v>
      </c>
      <c r="H13" s="22">
        <f t="shared" ref="H13:H19" si="3">G13+F13</f>
        <v>438636.98000765353</v>
      </c>
    </row>
    <row r="14" spans="1:8" x14ac:dyDescent="0.2">
      <c r="A14" s="4">
        <f t="shared" si="0"/>
        <v>3</v>
      </c>
      <c r="B14" s="3" t="s">
        <v>29</v>
      </c>
      <c r="C14" s="4">
        <v>41</v>
      </c>
      <c r="D14" s="41">
        <v>147397.23749979044</v>
      </c>
      <c r="E14" s="21">
        <f t="shared" si="1"/>
        <v>5.0569172034813085E-2</v>
      </c>
      <c r="F14" s="22"/>
      <c r="G14" s="22">
        <f t="shared" si="2"/>
        <v>91017.794156120595</v>
      </c>
      <c r="H14" s="22">
        <f t="shared" si="3"/>
        <v>91017.794156120595</v>
      </c>
    </row>
    <row r="15" spans="1:8" x14ac:dyDescent="0.2">
      <c r="A15" s="4">
        <f t="shared" si="0"/>
        <v>4</v>
      </c>
      <c r="B15" s="3" t="s">
        <v>30</v>
      </c>
      <c r="C15" s="4">
        <v>85</v>
      </c>
      <c r="D15" s="41">
        <v>19894.587964952108</v>
      </c>
      <c r="E15" s="21">
        <f t="shared" si="1"/>
        <v>6.8254524876208448E-3</v>
      </c>
      <c r="F15" s="22"/>
      <c r="G15" s="22">
        <f t="shared" si="2"/>
        <v>12284.908068357927</v>
      </c>
      <c r="H15" s="22">
        <f t="shared" si="3"/>
        <v>12284.908068357927</v>
      </c>
    </row>
    <row r="16" spans="1:8" x14ac:dyDescent="0.2">
      <c r="A16" s="4">
        <f t="shared" si="0"/>
        <v>5</v>
      </c>
      <c r="B16" s="3" t="s">
        <v>31</v>
      </c>
      <c r="C16" s="4">
        <v>86</v>
      </c>
      <c r="D16" s="41">
        <v>2696.3070268991123</v>
      </c>
      <c r="E16" s="21">
        <f t="shared" si="1"/>
        <v>9.2505135248637524E-4</v>
      </c>
      <c r="F16" s="22"/>
      <c r="G16" s="22">
        <f t="shared" si="2"/>
        <v>1664.9695891102019</v>
      </c>
      <c r="H16" s="22">
        <f t="shared" si="3"/>
        <v>1664.9695891102019</v>
      </c>
    </row>
    <row r="17" spans="1:8" x14ac:dyDescent="0.2">
      <c r="A17" s="4">
        <f t="shared" si="0"/>
        <v>6</v>
      </c>
      <c r="B17" s="3" t="s">
        <v>32</v>
      </c>
      <c r="C17" s="4">
        <v>87</v>
      </c>
      <c r="D17" s="41">
        <v>16901.068739540333</v>
      </c>
      <c r="E17" s="21">
        <f t="shared" si="1"/>
        <v>5.7984333163858095E-3</v>
      </c>
      <c r="F17" s="22"/>
      <c r="G17" s="22">
        <f t="shared" si="2"/>
        <v>10436.409946666156</v>
      </c>
      <c r="H17" s="22">
        <f t="shared" si="3"/>
        <v>10436.409946666156</v>
      </c>
    </row>
    <row r="18" spans="1:8" x14ac:dyDescent="0.2">
      <c r="A18" s="4">
        <f t="shared" si="0"/>
        <v>7</v>
      </c>
      <c r="B18" s="3" t="s">
        <v>63</v>
      </c>
      <c r="C18" s="4"/>
      <c r="D18" s="41">
        <v>1438.8962728365686</v>
      </c>
      <c r="E18" s="21">
        <f t="shared" si="1"/>
        <v>4.9365778080764401E-4</v>
      </c>
      <c r="F18" s="22"/>
      <c r="G18" s="22">
        <f t="shared" si="2"/>
        <v>888.51844847658128</v>
      </c>
      <c r="H18" s="22">
        <f t="shared" si="3"/>
        <v>888.51844847658128</v>
      </c>
    </row>
    <row r="19" spans="1:8" x14ac:dyDescent="0.2">
      <c r="A19" s="4">
        <f t="shared" si="0"/>
        <v>8</v>
      </c>
      <c r="B19" s="3" t="s">
        <v>39</v>
      </c>
      <c r="C19" s="4" t="s">
        <v>40</v>
      </c>
      <c r="D19" s="23"/>
      <c r="E19" s="24"/>
      <c r="F19" s="25">
        <f>D20*F22</f>
        <v>1114897.4973301287</v>
      </c>
      <c r="G19" s="25"/>
      <c r="H19" s="22">
        <f t="shared" si="3"/>
        <v>1114897.4973301287</v>
      </c>
    </row>
    <row r="20" spans="1:8" x14ac:dyDescent="0.2">
      <c r="A20" s="4">
        <f t="shared" si="0"/>
        <v>9</v>
      </c>
      <c r="B20" s="3" t="s">
        <v>41</v>
      </c>
      <c r="D20" s="26">
        <f>SUM(D12:D19)</f>
        <v>2914764.6989022973</v>
      </c>
      <c r="E20" s="21">
        <f>SUM(E12:E19)</f>
        <v>1</v>
      </c>
      <c r="F20" s="26">
        <f>SUM(F12:F19)</f>
        <v>1114897.4973301287</v>
      </c>
      <c r="G20" s="22">
        <f>SUM(G12:G19)</f>
        <v>1799867.2015721689</v>
      </c>
      <c r="H20" s="27">
        <f>SUM(H12:H19)</f>
        <v>2914764.6989022978</v>
      </c>
    </row>
    <row r="21" spans="1:8" x14ac:dyDescent="0.2">
      <c r="A21" s="4">
        <f t="shared" si="0"/>
        <v>10</v>
      </c>
      <c r="F21" s="28"/>
    </row>
    <row r="22" spans="1:8" x14ac:dyDescent="0.2">
      <c r="A22" s="4">
        <f t="shared" si="0"/>
        <v>11</v>
      </c>
      <c r="E22" s="29" t="s">
        <v>64</v>
      </c>
      <c r="F22" s="43">
        <v>0.38250000000000001</v>
      </c>
    </row>
  </sheetData>
  <printOptions horizontalCentered="1"/>
  <pageMargins left="0.45" right="0.45" top="0.75" bottom="0.75" header="0.3" footer="0.3"/>
  <pageSetup orientation="landscape" blackAndWhite="1" r:id="rId1"/>
  <headerFooter>
    <oddFooter>&amp;R&amp;A
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51A869FC564E24E898CF4C8794BB580" ma:contentTypeVersion="16" ma:contentTypeDescription="" ma:contentTypeScope="" ma:versionID="5b500d7e6452a27d5259dfe18f391c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2023-05-25T07:00:00+00:00</OpenedDate>
    <SignificantOrder xmlns="dc463f71-b30c-4ab2-9473-d307f9d35888">false</SignificantOrder>
    <Date1 xmlns="dc463f71-b30c-4ab2-9473-d307f9d35888">2023-05-25T07:00:00+00:00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230393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FB564EE-E57C-4F0D-BEE7-01CC332ADC7B}"/>
</file>

<file path=customXml/itemProps2.xml><?xml version="1.0" encoding="utf-8"?>
<ds:datastoreItem xmlns:ds="http://schemas.openxmlformats.org/officeDocument/2006/customXml" ds:itemID="{76DE2DDE-F4C3-4DA0-9C23-91DF62B6163D}"/>
</file>

<file path=customXml/itemProps3.xml><?xml version="1.0" encoding="utf-8"?>
<ds:datastoreItem xmlns:ds="http://schemas.openxmlformats.org/officeDocument/2006/customXml" ds:itemID="{C1E2445B-1F3C-424F-AA2B-6F9D5858FAD1}"/>
</file>

<file path=customXml/itemProps4.xml><?xml version="1.0" encoding="utf-8"?>
<ds:datastoreItem xmlns:ds="http://schemas.openxmlformats.org/officeDocument/2006/customXml" ds:itemID="{3754C328-F794-4565-BD84-7E23AB4236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Rate Design (Sch. 141D)</vt:lpstr>
      <vt:lpstr>Rate Spread (Sch. 141D Blocks)</vt:lpstr>
      <vt:lpstr>Rate Spread (Sch. 141D)</vt:lpstr>
      <vt:lpstr>'Rate Design (Sch. 141D)'!Print_Area</vt:lpstr>
      <vt:lpstr>'Rate Spread (Sch. 141D Blocks)'!Print_Area</vt:lpstr>
      <vt:lpstr>'Rate Spread (Sch. 141D)'!Print_Area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Schmidt, Paul</cp:lastModifiedBy>
  <dcterms:created xsi:type="dcterms:W3CDTF">2023-05-19T00:10:14Z</dcterms:created>
  <dcterms:modified xsi:type="dcterms:W3CDTF">2023-05-19T19:57:12Z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0x0101006E56B4D1795A2E4DB2F0B01679ED314A00951A869FC564E24E898CF4C8794BB580</vt:lpwstr>
  </property>
  <property fmtid="{D5CDD505-2E9C-101B-9397-08002B2CF9AE}" pid="3" name="_docset_NoMedatataSyncRequired">
    <vt:lpwstr>False</vt:lpwstr>
  </property>
</Properties>
</file>