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19\09-2019\WA\"/>
    </mc:Choice>
  </mc:AlternateContent>
  <xr:revisionPtr revIDLastSave="0" documentId="13_ncr:1_{1040C7B3-5BDF-41CF-B66E-6BF437F588B9}" xr6:coauthVersionLast="41" xr6:coauthVersionMax="41" xr10:uidLastSave="{00000000-0000-0000-0000-000000000000}"/>
  <bookViews>
    <workbookView xWindow="-120" yWindow="-120" windowWidth="29040" windowHeight="15840" xr2:uid="{EB6AA9ED-6648-4384-B96E-582A090762C1}"/>
  </bookViews>
  <sheets>
    <sheet name="DEFERRALS" sheetId="12" r:id="rId1"/>
    <sheet name="WA Rates" sheetId="9" r:id="rId2"/>
    <sheet name="Core Cost Incurred" sheetId="11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FERCINT19">'[1]FERC Interest Rates'!$A$82:$C$93</definedName>
    <definedName name="_xlnm.Print_Area" localSheetId="2">'Core Cost Incurred'!$B$1:$Z$48</definedName>
    <definedName name="_xlnm.Print_Area" localSheetId="0">DEFERRALS!$B$1:$H$22</definedName>
    <definedName name="_xlnm.Print_Area" localSheetId="1">'WA Rates'!$B$1:$N$50</definedName>
    <definedName name="_xlnm.Print_Titles" localSheetId="2">'Core Cost Incurred'!$B:$F</definedName>
    <definedName name="_xlnm.Print_Titles" localSheetId="1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2" l="1"/>
  <c r="D8" i="12"/>
  <c r="E8" i="12"/>
  <c r="G8" i="12"/>
  <c r="D9" i="12"/>
  <c r="E9" i="12"/>
  <c r="E12" i="12" s="1"/>
  <c r="F9" i="12"/>
  <c r="G9" i="12"/>
  <c r="G12" i="12" s="1"/>
  <c r="E11" i="12"/>
  <c r="G11" i="12"/>
  <c r="D12" i="12"/>
  <c r="D18" i="12" s="1"/>
  <c r="F12" i="12"/>
  <c r="F18" i="12" s="1"/>
  <c r="E18" i="12"/>
  <c r="G18" i="12" l="1"/>
  <c r="V71" i="11" l="1"/>
  <c r="S71" i="11"/>
  <c r="T61" i="11"/>
  <c r="S61" i="11"/>
  <c r="Q61" i="11"/>
  <c r="P61" i="11"/>
  <c r="Q60" i="11"/>
  <c r="P60" i="11"/>
  <c r="T59" i="11"/>
  <c r="T62" i="11" s="1"/>
  <c r="S59" i="11"/>
  <c r="Q59" i="11"/>
  <c r="Q62" i="11" s="1"/>
  <c r="P59" i="11"/>
  <c r="AE45" i="11"/>
  <c r="AC43" i="11"/>
  <c r="AB43" i="11"/>
  <c r="Z43" i="11"/>
  <c r="W43" i="11"/>
  <c r="AC42" i="11"/>
  <c r="AC44" i="11" s="1"/>
  <c r="AB42" i="11"/>
  <c r="AB44" i="11" s="1"/>
  <c r="Z42" i="11"/>
  <c r="Z44" i="11" s="1"/>
  <c r="W42" i="11"/>
  <c r="W44" i="11" s="1"/>
  <c r="Q47" i="11" s="1"/>
  <c r="AC38" i="11"/>
  <c r="AC40" i="11" s="1"/>
  <c r="AB38" i="11"/>
  <c r="AB40" i="11" s="1"/>
  <c r="Z38" i="11"/>
  <c r="Z40" i="11" s="1"/>
  <c r="W38" i="11"/>
  <c r="W40" i="11" s="1"/>
  <c r="T38" i="11"/>
  <c r="Q38" i="11"/>
  <c r="N37" i="11"/>
  <c r="K37" i="11"/>
  <c r="H37" i="11" s="1"/>
  <c r="N36" i="11"/>
  <c r="K36" i="11"/>
  <c r="H36" i="11"/>
  <c r="N35" i="11"/>
  <c r="K35" i="11"/>
  <c r="H35" i="11"/>
  <c r="N34" i="11"/>
  <c r="K34" i="11"/>
  <c r="H34" i="11" s="1"/>
  <c r="N33" i="11"/>
  <c r="K33" i="11"/>
  <c r="H33" i="11" s="1"/>
  <c r="N32" i="11"/>
  <c r="K32" i="11"/>
  <c r="H32" i="11"/>
  <c r="N31" i="11"/>
  <c r="K31" i="11"/>
  <c r="H31" i="11"/>
  <c r="N30" i="11"/>
  <c r="H30" i="11" s="1"/>
  <c r="K30" i="11"/>
  <c r="N29" i="11"/>
  <c r="K29" i="11"/>
  <c r="H29" i="11" s="1"/>
  <c r="N28" i="11"/>
  <c r="K28" i="11"/>
  <c r="H28" i="11"/>
  <c r="N27" i="11"/>
  <c r="K27" i="11"/>
  <c r="H27" i="11"/>
  <c r="N26" i="11"/>
  <c r="N38" i="11" s="1"/>
  <c r="K26" i="11"/>
  <c r="H26" i="11" s="1"/>
  <c r="N25" i="11"/>
  <c r="K25" i="11"/>
  <c r="H25" i="11" s="1"/>
  <c r="N24" i="11"/>
  <c r="K24" i="11"/>
  <c r="K38" i="11" s="1"/>
  <c r="H24" i="11"/>
  <c r="AC22" i="11"/>
  <c r="AB22" i="11"/>
  <c r="Z22" i="11"/>
  <c r="W22" i="11"/>
  <c r="Q22" i="11"/>
  <c r="T21" i="11"/>
  <c r="Q21" i="11"/>
  <c r="Q43" i="11" s="1"/>
  <c r="N21" i="11"/>
  <c r="T20" i="11"/>
  <c r="N20" i="11"/>
  <c r="N22" i="11" s="1"/>
  <c r="K20" i="11"/>
  <c r="H20" i="11" s="1"/>
  <c r="N19" i="11"/>
  <c r="K19" i="11"/>
  <c r="H19" i="11" s="1"/>
  <c r="N18" i="11"/>
  <c r="K18" i="11"/>
  <c r="H18" i="11"/>
  <c r="T17" i="11"/>
  <c r="T43" i="11" s="1"/>
  <c r="Q17" i="11"/>
  <c r="N17" i="11"/>
  <c r="K17" i="11"/>
  <c r="H17" i="11" s="1"/>
  <c r="AC15" i="11"/>
  <c r="AB15" i="11"/>
  <c r="Z15" i="11"/>
  <c r="Y15" i="11"/>
  <c r="Y40" i="11" s="1"/>
  <c r="W15" i="11"/>
  <c r="V15" i="11"/>
  <c r="V40" i="11" s="1"/>
  <c r="T15" i="11"/>
  <c r="P15" i="11"/>
  <c r="P40" i="11" s="1"/>
  <c r="N14" i="11"/>
  <c r="M14" i="11"/>
  <c r="G14" i="11" s="1"/>
  <c r="K14" i="11"/>
  <c r="H14" i="11" s="1"/>
  <c r="J14" i="11"/>
  <c r="N13" i="11"/>
  <c r="M13" i="11"/>
  <c r="K13" i="11"/>
  <c r="J13" i="11"/>
  <c r="G13" i="11" s="1"/>
  <c r="H13" i="11"/>
  <c r="N12" i="11"/>
  <c r="M12" i="11"/>
  <c r="K12" i="11"/>
  <c r="H12" i="11" s="1"/>
  <c r="J12" i="11"/>
  <c r="G12" i="11"/>
  <c r="N11" i="11"/>
  <c r="H11" i="11" s="1"/>
  <c r="M11" i="11"/>
  <c r="K11" i="11"/>
  <c r="J11" i="11"/>
  <c r="G11" i="11" s="1"/>
  <c r="T10" i="11"/>
  <c r="T42" i="11" s="1"/>
  <c r="T44" i="11" s="1"/>
  <c r="T46" i="11" s="1"/>
  <c r="S10" i="11"/>
  <c r="M10" i="11" s="1"/>
  <c r="M15" i="11" s="1"/>
  <c r="M40" i="11" s="1"/>
  <c r="Q10" i="11"/>
  <c r="K10" i="11" s="1"/>
  <c r="P10" i="11"/>
  <c r="J10" i="11" s="1"/>
  <c r="G10" i="11" s="1"/>
  <c r="N9" i="11"/>
  <c r="K9" i="11"/>
  <c r="H9" i="11" s="1"/>
  <c r="Q8" i="11"/>
  <c r="Q15" i="11" s="1"/>
  <c r="N8" i="11"/>
  <c r="M8" i="11"/>
  <c r="J8" i="11"/>
  <c r="G8" i="11" s="1"/>
  <c r="Q7" i="11"/>
  <c r="N7" i="11"/>
  <c r="K7" i="11"/>
  <c r="H7" i="11" s="1"/>
  <c r="N6" i="11"/>
  <c r="K6" i="11"/>
  <c r="H6" i="11"/>
  <c r="W3" i="11"/>
  <c r="W1" i="11"/>
  <c r="K44" i="9"/>
  <c r="I44" i="9"/>
  <c r="H44" i="9"/>
  <c r="G44" i="9"/>
  <c r="G46" i="9" s="1"/>
  <c r="G48" i="9" s="1"/>
  <c r="L42" i="9"/>
  <c r="K42" i="9"/>
  <c r="I42" i="9"/>
  <c r="H42" i="9"/>
  <c r="K41" i="9"/>
  <c r="I41" i="9"/>
  <c r="L41" i="9" s="1"/>
  <c r="H41" i="9"/>
  <c r="I40" i="9"/>
  <c r="L40" i="9" s="1"/>
  <c r="H40" i="9"/>
  <c r="K40" i="9" s="1"/>
  <c r="I39" i="9"/>
  <c r="L39" i="9" s="1"/>
  <c r="H39" i="9"/>
  <c r="K39" i="9" s="1"/>
  <c r="I38" i="9"/>
  <c r="L38" i="9" s="1"/>
  <c r="H38" i="9"/>
  <c r="K38" i="9" s="1"/>
  <c r="I37" i="9"/>
  <c r="L37" i="9" s="1"/>
  <c r="H37" i="9"/>
  <c r="K37" i="9" s="1"/>
  <c r="L35" i="9"/>
  <c r="I35" i="9"/>
  <c r="H35" i="9"/>
  <c r="K35" i="9" s="1"/>
  <c r="L34" i="9"/>
  <c r="I34" i="9"/>
  <c r="H34" i="9"/>
  <c r="K34" i="9" s="1"/>
  <c r="L33" i="9"/>
  <c r="K33" i="9"/>
  <c r="H33" i="9"/>
  <c r="K31" i="9"/>
  <c r="I31" i="9"/>
  <c r="L31" i="9" s="1"/>
  <c r="H31" i="9"/>
  <c r="I30" i="9"/>
  <c r="L30" i="9" s="1"/>
  <c r="H30" i="9"/>
  <c r="K30" i="9" s="1"/>
  <c r="I29" i="9"/>
  <c r="L29" i="9" s="1"/>
  <c r="H29" i="9"/>
  <c r="K29" i="9" s="1"/>
  <c r="I27" i="9"/>
  <c r="L27" i="9" s="1"/>
  <c r="H27" i="9"/>
  <c r="K27" i="9" s="1"/>
  <c r="I26" i="9"/>
  <c r="L26" i="9" s="1"/>
  <c r="H26" i="9"/>
  <c r="K26" i="9" s="1"/>
  <c r="L25" i="9"/>
  <c r="I25" i="9"/>
  <c r="H25" i="9"/>
  <c r="K25" i="9" s="1"/>
  <c r="L23" i="9"/>
  <c r="K23" i="9"/>
  <c r="I23" i="9"/>
  <c r="H23" i="9"/>
  <c r="L22" i="9"/>
  <c r="K22" i="9"/>
  <c r="I22" i="9"/>
  <c r="H22" i="9"/>
  <c r="K21" i="9"/>
  <c r="I21" i="9"/>
  <c r="L21" i="9" s="1"/>
  <c r="H21" i="9"/>
  <c r="I20" i="9"/>
  <c r="L20" i="9" s="1"/>
  <c r="H20" i="9"/>
  <c r="K20" i="9" s="1"/>
  <c r="U19" i="9"/>
  <c r="R19" i="9"/>
  <c r="K19" i="9"/>
  <c r="I19" i="9"/>
  <c r="L19" i="9" s="1"/>
  <c r="H19" i="9"/>
  <c r="U18" i="9"/>
  <c r="L18" i="9"/>
  <c r="H18" i="9"/>
  <c r="K18" i="9" s="1"/>
  <c r="I16" i="9"/>
  <c r="L16" i="9" s="1"/>
  <c r="H16" i="9"/>
  <c r="K16" i="9" s="1"/>
  <c r="N16" i="9" s="1"/>
  <c r="U15" i="9"/>
  <c r="R15" i="9"/>
  <c r="I15" i="9"/>
  <c r="L15" i="9" s="1"/>
  <c r="H15" i="9"/>
  <c r="K15" i="9" s="1"/>
  <c r="N15" i="9" s="1"/>
  <c r="I14" i="9"/>
  <c r="L14" i="9" s="1"/>
  <c r="H14" i="9"/>
  <c r="K14" i="9" s="1"/>
  <c r="L12" i="9"/>
  <c r="K12" i="9"/>
  <c r="N12" i="9" s="1"/>
  <c r="I12" i="9"/>
  <c r="H12" i="9"/>
  <c r="K11" i="9"/>
  <c r="I11" i="9"/>
  <c r="L11" i="9" s="1"/>
  <c r="N11" i="9" s="1"/>
  <c r="H11" i="9"/>
  <c r="L10" i="9"/>
  <c r="H10" i="9"/>
  <c r="K10" i="9" s="1"/>
  <c r="U9" i="9"/>
  <c r="T9" i="9"/>
  <c r="R9" i="9"/>
  <c r="Q9" i="9"/>
  <c r="L9" i="9"/>
  <c r="K9" i="9"/>
  <c r="J9" i="9"/>
  <c r="J33" i="9" s="1"/>
  <c r="M33" i="9" s="1"/>
  <c r="I8" i="9"/>
  <c r="J8" i="9" s="1"/>
  <c r="R7" i="9"/>
  <c r="F3" i="9"/>
  <c r="N15" i="11" l="1"/>
  <c r="N40" i="11" s="1"/>
  <c r="G15" i="11"/>
  <c r="G40" i="11" s="1"/>
  <c r="H38" i="11"/>
  <c r="T47" i="11"/>
  <c r="T48" i="11" s="1"/>
  <c r="AE44" i="11"/>
  <c r="AE46" i="11" s="1"/>
  <c r="Q40" i="11"/>
  <c r="K8" i="11"/>
  <c r="S15" i="11"/>
  <c r="S40" i="11" s="1"/>
  <c r="K21" i="11"/>
  <c r="T22" i="11"/>
  <c r="T40" i="11" s="1"/>
  <c r="K43" i="11"/>
  <c r="J15" i="11"/>
  <c r="J40" i="11" s="1"/>
  <c r="Q42" i="11"/>
  <c r="Q44" i="11" s="1"/>
  <c r="Q46" i="11" s="1"/>
  <c r="Q48" i="11" s="1"/>
  <c r="N10" i="11"/>
  <c r="N42" i="11" s="1"/>
  <c r="N44" i="11" s="1"/>
  <c r="N43" i="11"/>
  <c r="N34" i="9"/>
  <c r="O34" i="9" s="1"/>
  <c r="N38" i="9"/>
  <c r="N20" i="9"/>
  <c r="N27" i="9"/>
  <c r="N42" i="9"/>
  <c r="N33" i="9"/>
  <c r="N19" i="9"/>
  <c r="J44" i="9"/>
  <c r="J18" i="9"/>
  <c r="M18" i="9" s="1"/>
  <c r="N18" i="9" s="1"/>
  <c r="J10" i="9"/>
  <c r="M10" i="9" s="1"/>
  <c r="N10" i="9" s="1"/>
  <c r="J20" i="9"/>
  <c r="M20" i="9" s="1"/>
  <c r="J30" i="9"/>
  <c r="M30" i="9" s="1"/>
  <c r="N30" i="9" s="1"/>
  <c r="J40" i="9"/>
  <c r="M40" i="9" s="1"/>
  <c r="N40" i="9" s="1"/>
  <c r="L44" i="9"/>
  <c r="N44" i="9" s="1"/>
  <c r="J42" i="9"/>
  <c r="M42" i="9" s="1"/>
  <c r="J19" i="9"/>
  <c r="M19" i="9" s="1"/>
  <c r="J21" i="9"/>
  <c r="M21" i="9" s="1"/>
  <c r="N21" i="9" s="1"/>
  <c r="J31" i="9"/>
  <c r="M31" i="9" s="1"/>
  <c r="N31" i="9" s="1"/>
  <c r="J41" i="9"/>
  <c r="M41" i="9" s="1"/>
  <c r="N41" i="9" s="1"/>
  <c r="M9" i="9"/>
  <c r="J29" i="9"/>
  <c r="M29" i="9" s="1"/>
  <c r="N29" i="9" s="1"/>
  <c r="J39" i="9"/>
  <c r="M39" i="9" s="1"/>
  <c r="N39" i="9" s="1"/>
  <c r="M44" i="9"/>
  <c r="J16" i="9"/>
  <c r="J27" i="9"/>
  <c r="M27" i="9" s="1"/>
  <c r="J14" i="9"/>
  <c r="M14" i="9" s="1"/>
  <c r="N14" i="9" s="1"/>
  <c r="J26" i="9"/>
  <c r="M26" i="9" s="1"/>
  <c r="N26" i="9" s="1"/>
  <c r="J37" i="9"/>
  <c r="M37" i="9" s="1"/>
  <c r="N37" i="9" s="1"/>
  <c r="J22" i="9"/>
  <c r="M22" i="9" s="1"/>
  <c r="N22" i="9" s="1"/>
  <c r="J11" i="9"/>
  <c r="J15" i="9"/>
  <c r="J38" i="9"/>
  <c r="M38" i="9" s="1"/>
  <c r="J25" i="9"/>
  <c r="M25" i="9" s="1"/>
  <c r="N25" i="9" s="1"/>
  <c r="J34" i="9"/>
  <c r="M34" i="9" s="1"/>
  <c r="J35" i="9"/>
  <c r="M35" i="9" s="1"/>
  <c r="N35" i="9" s="1"/>
  <c r="K46" i="9"/>
  <c r="K48" i="9" s="1"/>
  <c r="J12" i="9"/>
  <c r="J23" i="9"/>
  <c r="M23" i="9" s="1"/>
  <c r="N23" i="9" s="1"/>
  <c r="H8" i="11" l="1"/>
  <c r="K42" i="11"/>
  <c r="K44" i="11" s="1"/>
  <c r="K46" i="11" s="1"/>
  <c r="K15" i="11"/>
  <c r="H10" i="11"/>
  <c r="K22" i="11"/>
  <c r="K40" i="11" s="1"/>
  <c r="H21" i="11"/>
  <c r="H22" i="11" s="1"/>
  <c r="M46" i="9"/>
  <c r="M48" i="9" s="1"/>
  <c r="L46" i="9"/>
  <c r="L48" i="9" s="1"/>
  <c r="N9" i="9"/>
  <c r="N46" i="9" s="1"/>
  <c r="H15" i="11" l="1"/>
  <c r="H40" i="11" s="1"/>
  <c r="N48" i="9"/>
  <c r="Q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8639260F-8C81-4DD1-9D55-CB9AAF5ED3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FF4607B1-AC7F-4A2D-8506-53B681DDECD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C3596FF4-971C-4EA7-96A4-2F9069EA09E5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02D8AD39-126C-4BC5-AD7B-F80AF7B023DB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573ECB33-E093-4821-89B7-CDD8854047C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5CDA9C9C-B6F0-4DEE-AD03-767DC22431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782DC2EB-9ED4-4D42-800D-8F1C6260EE4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F7C4E2DD-B6D3-4134-957E-AA2FBE1194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25124AA9-C25F-4D3E-BC69-B28B291BB38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4A6E804B-99D9-414C-9BD2-3D20C27429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47F85100-CDF7-45AF-99DC-19971EBD246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B01887EB-6ACB-44BF-B628-79264EBEA69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4E5093ED-5286-4E46-9E7F-A80C6EA7273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BC0C9A6E-4316-4105-B58D-FD36DF24634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E9E91989-D013-4E5A-8D4E-6BF60559A3E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BFD444E4-D890-4D30-A12A-B0EC362EA8F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81D92A6F-B509-42CA-93D2-043E5DDD08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176FA12D-D827-40B4-AB8A-1C3124DA17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7296C5BE-594D-4205-9431-18C87BEC12F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26CD8211-BEA4-4178-87FF-2FE7C41BD5A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9CE878C3-7F55-4F69-BD26-388368EF1FD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94207C08-54C8-4AC3-9049-F28F329D6F2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9883BF5A-1880-4192-B70D-57EE921DF21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06AC05A4-E84C-4CAC-901C-4BA5DB5B47D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28E742FA-445C-4D03-9A79-446EBE1EFB8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36626F5E-C76E-46CD-87CF-9C1D0840A0B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411533FB-8DE2-4FBB-9696-DB8A0B1118F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4644DC11-A009-40D4-890D-4B6396CEA3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0E708721-C3F4-41B4-AC3D-60135D20636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EE422E9C-3A97-41C7-AA28-3CBECD2CDC9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F84CBE12-C159-4503-8CC1-DD1330944F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4CDCBB25-F1AB-48A9-94E6-E0C138E9DC5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CE33CE11-CF01-4024-AC2F-61BC495FBCDB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EC11BC9B-4CC2-4525-A8D1-89CDFAE2443D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1B652405-895A-4D26-AD09-BB49E1EE5793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E8515071-2C89-49E2-9BC4-F0662C6DD04C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FBAE237B-9D5A-439B-A9FE-6FF6E22474C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BC66ADCF-5B3D-4E83-8E34-EAEE6271090D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D4D60778-DFA5-4362-8F7C-DD51FF23CCF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C18386DD-C553-4054-915A-AD33A48F923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52235D6D-DF22-4376-A090-A5173D5BB64B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<sst xmlns="http://schemas.openxmlformats.org/spreadsheetml/2006/main" count="449" uniqueCount="197">
  <si>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</si>
  <si>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</si>
  <si>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</si>
  <si>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</si>
  <si>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</si>
  <si>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</si>
  <si>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</si>
  <si>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</si>
  <si>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</si>
  <si>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</si>
  <si>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</si>
  <si>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</si>
  <si>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</si>
  <si>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</si>
  <si>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</si>
  <si>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</si>
  <si>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</si>
  <si>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</si>
  <si>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</si>
  <si>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</si>
  <si>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</si>
  <si>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</si>
  <si>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</si>
  <si>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</si>
  <si>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</si>
  <si>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</si>
  <si>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</si>
  <si>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</si>
  <si>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</si>
  <si>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</si>
  <si>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</si>
  <si>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</si>
  <si>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</si>
  <si>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</si>
  <si>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</si>
  <si>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</si>
  <si>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</si>
  <si>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</si>
  <si>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</si>
  <si>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</si>
  <si>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</si>
  <si>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</si>
  <si>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</si>
  <si>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</si>
  <si>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</si>
  <si>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</si>
  <si>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</si>
  <si>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</si>
  <si>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</si>
  <si>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</si>
  <si>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</si>
  <si>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</si>
  <si>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</si>
  <si>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</si>
  <si>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</si>
  <si>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</si>
  <si>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</si>
  <si>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</si>
  <si>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</si>
  <si>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</si>
  <si>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</si>
  <si>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</si>
  <si>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</si>
  <si>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</si>
  <si>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</si>
  <si>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</si>
  <si>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</si>
  <si>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</si>
  <si>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</si>
  <si>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</si>
  <si>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</si>
  <si>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</si>
  <si>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</si>
  <si>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</si>
  <si>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</si>
  <si>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</si>
  <si>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</si>
  <si>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</si>
  <si>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</si>
  <si>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</si>
  <si>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</si>
  <si>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</si>
  <si>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</si>
  <si>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</si>
  <si>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</si>
  <si>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</si>
  <si>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</si>
  <si>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</si>
  <si>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</si>
  <si>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</si>
  <si>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</si>
  <si>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</si>
  <si>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</si>
  <si>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</si>
  <si>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</si>
  <si>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</si>
  <si>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</si>
  <si>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</si>
  <si>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</si>
  <si>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</si>
  <si>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</si>
  <si>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</si>
  <si>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</si>
  <si>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</si>
  <si>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</si>
  <si>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</si>
  <si>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</si>
  <si>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</si>
  <si>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</si>
  <si>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</si>
  <si>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</si>
  <si>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</si>
  <si>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</si>
  <si>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</si>
  <si>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</si>
  <si>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</si>
  <si>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</si>
  <si>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</si>
  <si>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</si>
  <si>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</si>
  <si>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 xml:space="preserve"> </t>
  </si>
  <si>
    <t>Pg 3</t>
  </si>
  <si>
    <t>WASHINGTON</t>
  </si>
  <si>
    <t>Apr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</si>
  <si>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</si>
  <si>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</si>
  <si>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</si>
  <si>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</si>
  <si>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</si>
  <si>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</si>
  <si>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</si>
  <si>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</si>
  <si>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</si>
  <si>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</si>
  <si>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</si>
  <si>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</si>
  <si>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</si>
  <si>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</si>
  <si>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</si>
  <si>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</si>
  <si>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</si>
  <si>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</si>
  <si>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</si>
  <si>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</si>
  <si>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</si>
  <si>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</si>
  <si>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</si>
  <si>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</si>
  <si>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</si>
  <si>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</si>
  <si>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</si>
  <si>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</si>
  <si>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</si>
  <si>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</si>
  <si>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</si>
  <si>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</si>
  <si>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</si>
  <si>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</si>
  <si>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</si>
  <si>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</si>
  <si>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</si>
  <si>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</si>
  <si>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</si>
  <si>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</si>
  <si>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</si>
  <si>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</si>
  <si>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</si>
  <si>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</si>
  <si>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</si>
  <si>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</si>
  <si>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</si>
  <si>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</si>
  <si>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</si>
  <si>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</si>
  <si>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</si>
  <si>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</si>
  <si>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</si>
  <si>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</si>
  <si>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</si>
  <si>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</si>
  <si>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</si>
  <si>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</si>
  <si>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</si>
  <si>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</si>
  <si>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</si>
  <si>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</si>
  <si>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9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</si>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</sst>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0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 applyFon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top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10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2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3" borderId="0" xfId="2" applyNumberFormat="1" applyFill="1"/>
    <xf numFmtId="165" fontId="28" fillId="0" borderId="0" xfId="1" applyNumberFormat="1" applyFont="1" applyFill="1"/>
    <xf numFmtId="165" fontId="29" fillId="12" borderId="0" xfId="1" applyNumberFormat="1" applyFont="1" applyFill="1"/>
    <xf numFmtId="165" fontId="18" fillId="0" borderId="0" xfId="1" applyNumberFormat="1" applyFont="1" applyFill="1"/>
    <xf numFmtId="165" fontId="26" fillId="0" borderId="0" xfId="1" applyNumberFormat="1" applyFont="1" applyFill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8" borderId="0" xfId="0" applyNumberFormat="1" applyFont="1" applyFill="1" applyBorder="1" applyAlignment="1">
      <alignment horizontal="center"/>
    </xf>
    <xf numFmtId="44" fontId="4" fillId="14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2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165" fontId="3" fillId="0" borderId="0" xfId="1" applyNumberFormat="1" applyFont="1" applyAlignment="1">
      <alignment horizontal="center"/>
    </xf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2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0" fontId="4" fillId="0" borderId="0" xfId="3" applyFont="1" applyFill="1" applyBorder="1"/>
    <xf numFmtId="0" fontId="1" fillId="0" borderId="0" xfId="3" applyFont="1" applyFill="1" applyBorder="1"/>
    <xf numFmtId="0" fontId="1" fillId="0" borderId="0" xfId="3" applyFont="1" applyFill="1"/>
    <xf numFmtId="165" fontId="5" fillId="0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5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5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vertical="center"/>
    </xf>
    <xf numFmtId="165" fontId="2" fillId="15" borderId="0" xfId="1" applyNumberFormat="1" applyFont="1" applyFill="1"/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6" borderId="0" xfId="1" applyNumberFormat="1" applyFont="1" applyFill="1" applyAlignment="1">
      <alignment horizontal="right"/>
    </xf>
    <xf numFmtId="0" fontId="1" fillId="16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7" borderId="0" xfId="2" applyFont="1" applyFill="1"/>
    <xf numFmtId="165" fontId="1" fillId="0" borderId="0" xfId="1" applyNumberFormat="1" applyFont="1" applyFill="1" applyAlignment="1">
      <alignment horizontal="left"/>
    </xf>
    <xf numFmtId="44" fontId="9" fillId="17" borderId="0" xfId="2" applyFont="1" applyFill="1"/>
    <xf numFmtId="165" fontId="32" fillId="0" borderId="0" xfId="1" applyNumberFormat="1" applyFont="1" applyAlignment="1">
      <alignment horizontal="left"/>
    </xf>
    <xf numFmtId="0" fontId="8" fillId="17" borderId="0" xfId="2" applyNumberFormat="1" applyFont="1" applyFill="1" applyAlignment="1">
      <alignment horizontal="center"/>
    </xf>
    <xf numFmtId="165" fontId="4" fillId="0" borderId="0" xfId="1" applyNumberFormat="1" applyFont="1" applyAlignment="1">
      <alignment horizontal="left" indent="3"/>
    </xf>
    <xf numFmtId="44" fontId="16" fillId="17" borderId="0" xfId="2" applyFont="1" applyFill="1"/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18" borderId="0" xfId="2" applyNumberFormat="1" applyFont="1" applyFill="1"/>
    <xf numFmtId="44" fontId="1" fillId="18" borderId="0" xfId="2" applyFont="1" applyFill="1"/>
    <xf numFmtId="165" fontId="16" fillId="0" borderId="0" xfId="1" applyNumberFormat="1" applyFont="1"/>
    <xf numFmtId="44" fontId="16" fillId="18" borderId="0" xfId="2" applyFont="1" applyFill="1"/>
    <xf numFmtId="165" fontId="40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35" fillId="19" borderId="0" xfId="2" applyFont="1" applyFill="1"/>
    <xf numFmtId="0" fontId="8" fillId="18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0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5" borderId="0" xfId="1" applyFont="1" applyFill="1"/>
    <xf numFmtId="44" fontId="16" fillId="18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20" borderId="0" xfId="1" applyNumberFormat="1" applyFont="1" applyFill="1" applyAlignment="1">
      <alignment horizontal="center"/>
    </xf>
    <xf numFmtId="165" fontId="1" fillId="20" borderId="0" xfId="1" applyNumberFormat="1" applyFont="1" applyFill="1"/>
    <xf numFmtId="44" fontId="16" fillId="20" borderId="0" xfId="2" applyFont="1" applyFill="1"/>
    <xf numFmtId="165" fontId="43" fillId="0" borderId="0" xfId="1" applyNumberFormat="1" applyFont="1"/>
    <xf numFmtId="165" fontId="32" fillId="15" borderId="0" xfId="1" applyNumberFormat="1" applyFont="1" applyFill="1" applyAlignment="1">
      <alignment horizontal="left" vertical="top"/>
    </xf>
    <xf numFmtId="43" fontId="44" fillId="0" borderId="0" xfId="1" applyFont="1"/>
    <xf numFmtId="165" fontId="44" fillId="0" borderId="0" xfId="1" applyNumberFormat="1" applyFont="1"/>
    <xf numFmtId="165" fontId="1" fillId="0" borderId="1" xfId="1" applyNumberFormat="1" applyFont="1" applyBorder="1"/>
    <xf numFmtId="44" fontId="1" fillId="18" borderId="1" xfId="2" applyFont="1" applyFill="1" applyBorder="1"/>
    <xf numFmtId="165" fontId="28" fillId="0" borderId="1" xfId="1" applyNumberFormat="1" applyFont="1" applyBorder="1"/>
    <xf numFmtId="44" fontId="28" fillId="18" borderId="0" xfId="2" applyFont="1" applyFill="1"/>
    <xf numFmtId="44" fontId="9" fillId="18" borderId="0" xfId="2" applyFont="1" applyFill="1"/>
    <xf numFmtId="44" fontId="16" fillId="18" borderId="1" xfId="2" applyFont="1" applyFill="1" applyBorder="1"/>
    <xf numFmtId="49" fontId="1" fillId="16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8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165" fontId="43" fillId="0" borderId="0" xfId="1" applyNumberFormat="1" applyFont="1" applyAlignment="1">
      <alignment horizontal="left"/>
    </xf>
    <xf numFmtId="44" fontId="16" fillId="17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7" borderId="1" xfId="2" applyFont="1" applyFill="1" applyBorder="1"/>
    <xf numFmtId="165" fontId="1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left" indent="3"/>
    </xf>
    <xf numFmtId="44" fontId="16" fillId="17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Font="1" applyBorder="1" applyAlignment="1">
      <alignment horizontal="left" indent="3"/>
    </xf>
    <xf numFmtId="165" fontId="32" fillId="0" borderId="2" xfId="1" applyNumberFormat="1" applyFont="1" applyBorder="1" applyAlignment="1"/>
    <xf numFmtId="44" fontId="8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44" fontId="4" fillId="0" borderId="12" xfId="2" applyFont="1" applyBorder="1"/>
    <xf numFmtId="165" fontId="8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44" fontId="32" fillId="0" borderId="1" xfId="2" applyFont="1" applyBorder="1"/>
    <xf numFmtId="44" fontId="9" fillId="18" borderId="1" xfId="2" applyFont="1" applyFill="1" applyBorder="1"/>
    <xf numFmtId="165" fontId="32" fillId="0" borderId="1" xfId="1" applyNumberFormat="1" applyFont="1" applyBorder="1" applyAlignment="1"/>
    <xf numFmtId="49" fontId="8" fillId="0" borderId="0" xfId="1" applyNumberFormat="1" applyFont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165" fontId="32" fillId="15" borderId="0" xfId="1" applyNumberFormat="1" applyFont="1" applyFill="1"/>
    <xf numFmtId="44" fontId="8" fillId="18" borderId="0" xfId="2" applyFont="1" applyFill="1"/>
    <xf numFmtId="44" fontId="2" fillId="18" borderId="0" xfId="2" applyFont="1" applyFill="1"/>
    <xf numFmtId="44" fontId="5" fillId="19" borderId="0" xfId="2" applyFont="1" applyFill="1"/>
    <xf numFmtId="44" fontId="8" fillId="17" borderId="0" xfId="2" applyFont="1" applyFill="1"/>
    <xf numFmtId="44" fontId="2" fillId="17" borderId="0" xfId="2" applyFont="1" applyFill="1"/>
    <xf numFmtId="44" fontId="5" fillId="17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2" fillId="0" borderId="0" xfId="2" applyNumberFormat="1" applyFont="1" applyBorder="1"/>
    <xf numFmtId="43" fontId="8" fillId="3" borderId="2" xfId="1" applyNumberFormat="1" applyFont="1" applyFill="1" applyBorder="1"/>
    <xf numFmtId="165" fontId="45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6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5" fillId="0" borderId="0" xfId="1" applyNumberFormat="1" applyFont="1"/>
    <xf numFmtId="43" fontId="8" fillId="0" borderId="0" xfId="1" applyNumberFormat="1" applyFont="1" applyAlignment="1">
      <alignment horizontal="left"/>
    </xf>
    <xf numFmtId="165" fontId="5" fillId="0" borderId="0" xfId="1" applyNumberFormat="1" applyFont="1" applyBorder="1"/>
    <xf numFmtId="43" fontId="8" fillId="21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43" fontId="2" fillId="0" borderId="0" xfId="1" applyNumberFormat="1" applyFont="1" applyBorder="1" applyAlignment="1">
      <alignment horizontal="left"/>
    </xf>
    <xf numFmtId="43" fontId="5" fillId="0" borderId="0" xfId="1" applyFont="1"/>
    <xf numFmtId="49" fontId="2" fillId="15" borderId="0" xfId="0" applyNumberFormat="1" applyFont="1" applyFill="1" applyAlignment="1">
      <alignment horizontal="right"/>
    </xf>
    <xf numFmtId="49" fontId="1" fillId="15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2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0" fontId="34" fillId="0" borderId="0" xfId="1" applyNumberFormat="1" applyFont="1"/>
    <xf numFmtId="170" fontId="5" fillId="0" borderId="0" xfId="1" applyNumberFormat="1" applyFont="1"/>
    <xf numFmtId="0" fontId="1" fillId="0" borderId="0" xfId="3"/>
    <xf numFmtId="165" fontId="5" fillId="0" borderId="0" xfId="4" applyNumberFormat="1" applyFont="1"/>
    <xf numFmtId="0" fontId="1" fillId="0" borderId="0" xfId="3" applyAlignment="1">
      <alignment horizontal="center"/>
    </xf>
    <xf numFmtId="44" fontId="1" fillId="0" borderId="0" xfId="3" applyNumberFormat="1"/>
    <xf numFmtId="0" fontId="1" fillId="0" borderId="0" xfId="3" applyFill="1"/>
    <xf numFmtId="0" fontId="1" fillId="0" borderId="0" xfId="3" applyFill="1" applyAlignment="1">
      <alignment horizontal="center"/>
    </xf>
    <xf numFmtId="44" fontId="1" fillId="0" borderId="0" xfId="3" applyNumberFormat="1" applyFill="1"/>
    <xf numFmtId="0" fontId="9" fillId="0" borderId="0" xfId="3" applyFont="1" applyFill="1" applyAlignment="1">
      <alignment horizontal="center"/>
    </xf>
    <xf numFmtId="0" fontId="9" fillId="0" borderId="10" xfId="3" applyFont="1" applyFill="1" applyBorder="1" applyAlignment="1">
      <alignment horizontal="center"/>
    </xf>
    <xf numFmtId="0" fontId="2" fillId="0" borderId="0" xfId="3" applyFont="1" applyFill="1" applyAlignment="1">
      <alignment horizontal="right"/>
    </xf>
    <xf numFmtId="44" fontId="2" fillId="0" borderId="0" xfId="3" applyNumberFormat="1" applyFont="1" applyFill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 applyFill="1"/>
    <xf numFmtId="44" fontId="2" fillId="0" borderId="4" xfId="3" applyNumberFormat="1" applyFont="1" applyFill="1" applyBorder="1"/>
    <xf numFmtId="0" fontId="2" fillId="0" borderId="0" xfId="3" applyFont="1" applyFill="1"/>
    <xf numFmtId="49" fontId="7" fillId="0" borderId="4" xfId="3" applyNumberFormat="1" applyFont="1" applyFill="1" applyBorder="1" applyAlignment="1">
      <alignment horizontal="center"/>
    </xf>
    <xf numFmtId="49" fontId="7" fillId="0" borderId="0" xfId="3" applyNumberFormat="1" applyFont="1" applyFill="1" applyAlignment="1">
      <alignment horizontal="center"/>
    </xf>
    <xf numFmtId="44" fontId="9" fillId="0" borderId="4" xfId="3" applyNumberFormat="1" applyFont="1" applyFill="1" applyBorder="1" applyAlignment="1">
      <alignment horizontal="center"/>
    </xf>
    <xf numFmtId="44" fontId="2" fillId="0" borderId="8" xfId="3" applyNumberFormat="1" applyFont="1" applyFill="1" applyBorder="1" applyAlignment="1">
      <alignment horizontal="left"/>
    </xf>
    <xf numFmtId="44" fontId="2" fillId="0" borderId="0" xfId="3" applyNumberFormat="1" applyFont="1" applyFill="1" applyAlignment="1">
      <alignment horizontal="center"/>
    </xf>
    <xf numFmtId="0" fontId="2" fillId="0" borderId="4" xfId="3" applyFont="1" applyFill="1" applyBorder="1"/>
    <xf numFmtId="0" fontId="2" fillId="0" borderId="8" xfId="3" applyFont="1" applyFill="1" applyBorder="1"/>
    <xf numFmtId="44" fontId="8" fillId="0" borderId="2" xfId="3" applyNumberFormat="1" applyFont="1" applyFill="1" applyBorder="1"/>
    <xf numFmtId="44" fontId="8" fillId="0" borderId="9" xfId="3" applyNumberFormat="1" applyFont="1" applyFill="1" applyBorder="1"/>
    <xf numFmtId="0" fontId="4" fillId="0" borderId="2" xfId="3" applyFont="1" applyFill="1" applyBorder="1"/>
    <xf numFmtId="0" fontId="8" fillId="0" borderId="2" xfId="3" applyFont="1" applyFill="1" applyBorder="1" applyAlignment="1">
      <alignment horizontal="left" indent="1"/>
    </xf>
    <xf numFmtId="44" fontId="2" fillId="0" borderId="0" xfId="5" applyFont="1" applyFill="1"/>
    <xf numFmtId="44" fontId="2" fillId="0" borderId="4" xfId="5" applyFont="1" applyFill="1" applyBorder="1"/>
    <xf numFmtId="0" fontId="2" fillId="0" borderId="1" xfId="3" applyFont="1" applyFill="1" applyBorder="1"/>
    <xf numFmtId="0" fontId="2" fillId="0" borderId="1" xfId="3" applyFont="1" applyFill="1" applyBorder="1" applyAlignment="1"/>
    <xf numFmtId="44" fontId="2" fillId="0" borderId="0" xfId="5" applyFont="1" applyFill="1" applyBorder="1"/>
    <xf numFmtId="0" fontId="2" fillId="0" borderId="8" xfId="5" applyNumberFormat="1" applyFont="1" applyFill="1" applyBorder="1" applyAlignment="1">
      <alignment horizontal="left"/>
    </xf>
    <xf numFmtId="44" fontId="2" fillId="0" borderId="8" xfId="5" applyFont="1" applyFill="1" applyBorder="1"/>
    <xf numFmtId="0" fontId="2" fillId="0" borderId="0" xfId="3" applyFont="1" applyFill="1" applyAlignment="1"/>
    <xf numFmtId="44" fontId="2" fillId="0" borderId="7" xfId="5" applyFont="1" applyFill="1" applyBorder="1"/>
    <xf numFmtId="44" fontId="2" fillId="0" borderId="1" xfId="3" applyNumberFormat="1" applyFont="1" applyFill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6" xfId="3" applyNumberFormat="1" applyFont="1" applyFill="1" applyBorder="1" applyAlignment="1">
      <alignment horizontal="center"/>
    </xf>
    <xf numFmtId="44" fontId="2" fillId="0" borderId="4" xfId="3" applyNumberFormat="1" applyFont="1" applyFill="1" applyBorder="1" applyAlignment="1">
      <alignment horizontal="center"/>
    </xf>
    <xf numFmtId="44" fontId="2" fillId="0" borderId="0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8" fillId="0" borderId="1" xfId="3" applyFont="1" applyFill="1" applyBorder="1"/>
    <xf numFmtId="0" fontId="7" fillId="0" borderId="0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1" fillId="0" borderId="3" xfId="3" applyFill="1" applyBorder="1" applyAlignment="1">
      <alignment horizontal="center"/>
    </xf>
    <xf numFmtId="164" fontId="6" fillId="0" borderId="0" xfId="3" applyNumberFormat="1" applyFont="1" applyFill="1" applyBorder="1" applyAlignment="1"/>
    <xf numFmtId="164" fontId="6" fillId="0" borderId="0" xfId="3" applyNumberFormat="1" applyFont="1" applyFill="1" applyBorder="1" applyAlignment="1">
      <alignment horizontal="left"/>
    </xf>
    <xf numFmtId="0" fontId="6" fillId="0" borderId="0" xfId="3" applyFont="1" applyFill="1" applyAlignment="1"/>
    <xf numFmtId="0" fontId="4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/>
    </xf>
    <xf numFmtId="0" fontId="1" fillId="0" borderId="1" xfId="3" applyFill="1" applyBorder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4" fillId="5" borderId="1" xfId="1" applyNumberFormat="1" applyFont="1" applyFill="1" applyBorder="1" applyAlignment="1">
      <alignment horizontal="left"/>
    </xf>
    <xf numFmtId="164" fontId="9" fillId="0" borderId="0" xfId="1" applyNumberFormat="1" applyFont="1" applyBorder="1" applyAlignment="1">
      <alignment horizontal="center"/>
    </xf>
    <xf numFmtId="165" fontId="36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</cellXfs>
  <cellStyles count="6">
    <cellStyle name="Comma" xfId="1" builtinId="3"/>
    <cellStyle name="Comma 3" xfId="4" xr:uid="{512305F9-752B-4E43-A1B6-FE42819C5BE0}"/>
    <cellStyle name="Currency" xfId="2" builtinId="4"/>
    <cellStyle name="Currency 3" xfId="5" xr:uid="{AB5FC19D-0C77-42A6-AB93-67D68FD04281}"/>
    <cellStyle name="Normal" xfId="0" builtinId="0"/>
    <cellStyle name="Normal 3" xfId="3" xr:uid="{7BDA91DB-5390-4732-85F8-D8F5FD202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180788%20CNGC%20Monthly%20PGA%20Rpt%20September%202019,%2010.24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Core%20GC%20Allocations/Core%20GC%20Allocations%209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h.volk\Application%20Data\Microsoft\Excel\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GASCOST/Gas%20Cost%20CY2019/Gas%20Supply%20Analysis/8-2019%20Gas%20Supply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G 2530.01288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RA 1862.20480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5.5E-2</v>
          </cell>
          <cell r="C91">
            <v>31</v>
          </cell>
        </row>
        <row r="92">
          <cell r="A92">
            <v>43799</v>
          </cell>
          <cell r="B92">
            <v>5.5E-2</v>
          </cell>
          <cell r="C92">
            <v>30</v>
          </cell>
        </row>
        <row r="93">
          <cell r="A93">
            <v>43830</v>
          </cell>
          <cell r="B93">
            <v>5.5E-2</v>
          </cell>
          <cell r="C93">
            <v>31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 Old Rates"/>
      <sheetName val="OR Rates 2015"/>
      <sheetName val="OR Deferrals Incl true-up 2"/>
      <sheetName val="WA Rates - old Rates"/>
      <sheetName val="OR Rates Old Rates"/>
      <sheetName val="WA Rates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43733</v>
          </cell>
        </row>
        <row r="42">
          <cell r="K42">
            <v>2253566.4899999993</v>
          </cell>
        </row>
        <row r="43">
          <cell r="K43">
            <v>3533368.2600000007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5">
          <cell r="Q95">
            <v>2639.0984550001258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56D5-E73E-47C8-B599-FFC0E2853590}">
  <sheetPr codeName="Sheet5"/>
  <dimension ref="A1:I27"/>
  <sheetViews>
    <sheetView showGridLines="0" tabSelected="1" view="pageBreakPreview" zoomScale="110" zoomScaleNormal="100" zoomScaleSheetLayoutView="110" workbookViewId="0">
      <selection activeCell="I84" sqref="I84"/>
    </sheetView>
  </sheetViews>
  <sheetFormatPr defaultRowHeight="12.75" x14ac:dyDescent="0.2"/>
  <cols>
    <col min="1" max="1" width="1.7109375" style="281" customWidth="1"/>
    <col min="2" max="2" width="10" style="281" customWidth="1"/>
    <col min="3" max="3" width="23.7109375" style="281" customWidth="1"/>
    <col min="4" max="4" width="20.42578125" style="281" customWidth="1"/>
    <col min="5" max="5" width="19" style="281" customWidth="1"/>
    <col min="6" max="6" width="16.42578125" style="281" bestFit="1" customWidth="1"/>
    <col min="7" max="7" width="17.7109375" style="281" bestFit="1" customWidth="1"/>
    <col min="8" max="8" width="3.7109375" style="281" customWidth="1"/>
    <col min="9" max="16384" width="9.140625" style="281"/>
  </cols>
  <sheetData>
    <row r="1" spans="1:9" ht="18" customHeight="1" x14ac:dyDescent="0.2">
      <c r="A1" s="285"/>
      <c r="B1" s="331" t="s">
        <v>9</v>
      </c>
      <c r="C1" s="331"/>
      <c r="D1" s="331"/>
      <c r="E1" s="331"/>
      <c r="F1" s="331"/>
      <c r="G1" s="333"/>
      <c r="H1" s="332"/>
      <c r="I1" s="285"/>
    </row>
    <row r="2" spans="1:9" ht="15" x14ac:dyDescent="0.2">
      <c r="A2" s="285"/>
      <c r="B2" s="331" t="s">
        <v>10</v>
      </c>
      <c r="C2" s="330">
        <f>'[2]Core Cost Incurred'!B2</f>
        <v>43733</v>
      </c>
      <c r="D2" s="329"/>
      <c r="E2" s="329"/>
      <c r="F2" s="329"/>
      <c r="G2" s="329"/>
      <c r="H2" s="285"/>
      <c r="I2" s="285"/>
    </row>
    <row r="3" spans="1:9" x14ac:dyDescent="0.2">
      <c r="A3" s="285"/>
      <c r="B3" s="285"/>
      <c r="C3" s="285"/>
      <c r="D3" s="285"/>
      <c r="E3" s="285"/>
      <c r="F3" s="285"/>
      <c r="G3" s="285"/>
      <c r="H3" s="285"/>
      <c r="I3" s="285"/>
    </row>
    <row r="4" spans="1:9" ht="15" customHeight="1" thickBot="1" x14ac:dyDescent="0.25">
      <c r="A4" s="285"/>
      <c r="B4" s="334"/>
      <c r="C4" s="334"/>
      <c r="D4" s="334"/>
      <c r="E4" s="334"/>
      <c r="F4" s="328"/>
      <c r="G4" s="327"/>
      <c r="H4" s="285"/>
      <c r="I4" s="285"/>
    </row>
    <row r="5" spans="1:9" ht="14.25" x14ac:dyDescent="0.2">
      <c r="A5" s="285"/>
      <c r="B5" s="99"/>
      <c r="C5" s="99"/>
      <c r="D5" s="325" t="s">
        <v>3</v>
      </c>
      <c r="E5" s="325" t="s">
        <v>6</v>
      </c>
      <c r="F5" s="326" t="s">
        <v>11</v>
      </c>
      <c r="G5" s="325" t="s">
        <v>12</v>
      </c>
      <c r="H5" s="285"/>
      <c r="I5" s="285"/>
    </row>
    <row r="6" spans="1:9" ht="15" x14ac:dyDescent="0.25">
      <c r="A6" s="285"/>
      <c r="B6" s="310" t="s">
        <v>13</v>
      </c>
      <c r="C6" s="324"/>
      <c r="D6" s="322">
        <v>692010</v>
      </c>
      <c r="E6" s="322">
        <v>691010</v>
      </c>
      <c r="F6" s="323">
        <v>693010</v>
      </c>
      <c r="G6" s="322"/>
      <c r="H6" s="101"/>
      <c r="I6" s="285"/>
    </row>
    <row r="7" spans="1:9" ht="16.5" customHeight="1" x14ac:dyDescent="0.2">
      <c r="A7" s="285"/>
      <c r="B7" s="314" t="s">
        <v>14</v>
      </c>
      <c r="C7" s="295"/>
      <c r="D7" s="321">
        <v>2452250.9899999998</v>
      </c>
      <c r="E7" s="321">
        <v>1747582.58</v>
      </c>
      <c r="F7" s="320">
        <v>544001.19999999984</v>
      </c>
      <c r="G7" s="319">
        <v>4743834.7700000005</v>
      </c>
      <c r="H7" s="285"/>
      <c r="I7" s="285"/>
    </row>
    <row r="8" spans="1:9" ht="16.5" customHeight="1" x14ac:dyDescent="0.2">
      <c r="A8" s="285"/>
      <c r="B8" s="314" t="s">
        <v>16</v>
      </c>
      <c r="C8" s="295"/>
      <c r="D8" s="318">
        <f>'[2]Core Cost Incurred'!K42</f>
        <v>2253566.4899999993</v>
      </c>
      <c r="E8" s="318">
        <f>'[2]Core Cost Incurred'!K43</f>
        <v>3533368.2600000007</v>
      </c>
      <c r="F8" s="317">
        <v>0</v>
      </c>
      <c r="G8" s="316">
        <f>SUM(D8:E8)</f>
        <v>5786934.75</v>
      </c>
      <c r="H8" s="285"/>
      <c r="I8" s="285"/>
    </row>
    <row r="9" spans="1:9" ht="16.5" customHeight="1" x14ac:dyDescent="0.2">
      <c r="A9" s="285"/>
      <c r="B9" s="314" t="s">
        <v>17</v>
      </c>
      <c r="C9" s="295"/>
      <c r="D9" s="307">
        <f>D7-D8</f>
        <v>198684.50000000047</v>
      </c>
      <c r="E9" s="315">
        <f>E7-E8</f>
        <v>-1785785.6800000006</v>
      </c>
      <c r="F9" s="315">
        <f>F7-F8</f>
        <v>544001.19999999984</v>
      </c>
      <c r="G9" s="307">
        <f>G7-G8</f>
        <v>-1043099.9799999995</v>
      </c>
      <c r="H9" s="285"/>
      <c r="I9" s="285"/>
    </row>
    <row r="10" spans="1:9" ht="16.5" customHeight="1" x14ac:dyDescent="0.2">
      <c r="A10" s="285"/>
      <c r="B10" s="314" t="s">
        <v>18</v>
      </c>
      <c r="C10" s="295"/>
      <c r="D10" s="311">
        <v>78372.37</v>
      </c>
      <c r="E10" s="313"/>
      <c r="F10" s="312"/>
      <c r="G10" s="311">
        <v>78372.37</v>
      </c>
      <c r="H10" s="285"/>
      <c r="I10" s="285"/>
    </row>
    <row r="11" spans="1:9" ht="16.5" customHeight="1" x14ac:dyDescent="0.2">
      <c r="A11" s="285"/>
      <c r="B11" s="310" t="s">
        <v>19</v>
      </c>
      <c r="C11" s="309"/>
      <c r="D11" s="307"/>
      <c r="E11" s="307">
        <f>352350.7+4837772.82+2081113.59</f>
        <v>7271237.1100000003</v>
      </c>
      <c r="F11" s="308"/>
      <c r="G11" s="307">
        <f>352350.7+4837772.82+2081113.59</f>
        <v>7271237.1100000003</v>
      </c>
      <c r="H11" s="285"/>
      <c r="I11" s="285"/>
    </row>
    <row r="12" spans="1:9" ht="16.5" customHeight="1" x14ac:dyDescent="0.25">
      <c r="A12" s="285"/>
      <c r="B12" s="306" t="s">
        <v>20</v>
      </c>
      <c r="C12" s="305"/>
      <c r="D12" s="303">
        <f>+D7-D8+D10</f>
        <v>277056.87000000046</v>
      </c>
      <c r="E12" s="303">
        <f>+E9+E11</f>
        <v>5485451.4299999997</v>
      </c>
      <c r="F12" s="304">
        <f>+F7-F8</f>
        <v>544001.19999999984</v>
      </c>
      <c r="G12" s="303">
        <f>G9+G11+G10</f>
        <v>6306509.5000000009</v>
      </c>
      <c r="H12" s="285"/>
      <c r="I12" s="285"/>
    </row>
    <row r="13" spans="1:9" ht="14.25" customHeight="1" x14ac:dyDescent="0.2">
      <c r="A13" s="285"/>
      <c r="B13" s="285"/>
      <c r="C13" s="285"/>
      <c r="D13" s="295"/>
      <c r="E13" s="295"/>
      <c r="F13" s="301"/>
      <c r="G13" s="295"/>
      <c r="H13" s="285"/>
      <c r="I13" s="285"/>
    </row>
    <row r="14" spans="1:9" ht="14.25" customHeight="1" x14ac:dyDescent="0.2">
      <c r="A14" s="285"/>
      <c r="B14" s="285"/>
      <c r="C14" s="285"/>
      <c r="D14" s="295" t="s">
        <v>21</v>
      </c>
      <c r="E14" s="295"/>
      <c r="F14" s="301"/>
      <c r="G14" s="295"/>
      <c r="H14" s="285"/>
      <c r="I14" s="285"/>
    </row>
    <row r="15" spans="1:9" ht="14.25" customHeight="1" x14ac:dyDescent="0.2">
      <c r="A15" s="285"/>
      <c r="B15" s="285"/>
      <c r="C15" s="285"/>
      <c r="D15" s="295"/>
      <c r="E15" s="302"/>
      <c r="F15" s="301"/>
      <c r="G15" s="295"/>
      <c r="H15" s="285"/>
      <c r="I15" s="285"/>
    </row>
    <row r="16" spans="1:9" ht="14.25" customHeight="1" x14ac:dyDescent="0.2">
      <c r="A16" s="285"/>
      <c r="B16" s="292" t="s">
        <v>22</v>
      </c>
      <c r="C16" s="292"/>
      <c r="D16" s="300" t="s">
        <v>4</v>
      </c>
      <c r="E16" s="299" t="s">
        <v>4</v>
      </c>
      <c r="F16" s="298"/>
      <c r="G16" s="288"/>
      <c r="H16" s="285"/>
      <c r="I16" s="285"/>
    </row>
    <row r="17" spans="1:9" ht="14.25" customHeight="1" x14ac:dyDescent="0.2">
      <c r="A17" s="285"/>
      <c r="B17" s="101"/>
      <c r="C17" s="101"/>
      <c r="D17" s="297"/>
      <c r="E17" s="297"/>
      <c r="F17" s="296"/>
      <c r="G17" s="295"/>
      <c r="H17" s="285"/>
      <c r="I17" s="285"/>
    </row>
    <row r="18" spans="1:9" ht="14.25" customHeight="1" x14ac:dyDescent="0.2">
      <c r="A18" s="285"/>
      <c r="B18" s="101"/>
      <c r="C18" s="101"/>
      <c r="D18" s="293">
        <f>-D12</f>
        <v>-277056.87000000046</v>
      </c>
      <c r="E18" s="293">
        <f>-E9-E11</f>
        <v>-5485451.4299999997</v>
      </c>
      <c r="F18" s="294">
        <f>-F12</f>
        <v>-544001.19999999984</v>
      </c>
      <c r="G18" s="293">
        <f>SUM(D18:F18)</f>
        <v>-6306509.5</v>
      </c>
      <c r="H18" s="285"/>
      <c r="I18" s="285"/>
    </row>
    <row r="19" spans="1:9" ht="14.25" customHeight="1" thickBot="1" x14ac:dyDescent="0.25">
      <c r="A19" s="285"/>
      <c r="B19" s="292" t="s">
        <v>23</v>
      </c>
      <c r="C19" s="292"/>
      <c r="D19" s="291" t="s">
        <v>5</v>
      </c>
      <c r="E19" s="290" t="s">
        <v>7</v>
      </c>
      <c r="F19" s="289"/>
      <c r="G19" s="288"/>
      <c r="H19" s="285"/>
      <c r="I19" s="285"/>
    </row>
    <row r="20" spans="1:9" x14ac:dyDescent="0.2">
      <c r="A20" s="285"/>
      <c r="B20" s="101"/>
      <c r="C20" s="101"/>
      <c r="D20" s="285"/>
      <c r="E20" s="100"/>
      <c r="F20" s="100"/>
      <c r="G20" s="100"/>
      <c r="H20" s="285"/>
      <c r="I20" s="285"/>
    </row>
    <row r="21" spans="1:9" x14ac:dyDescent="0.2">
      <c r="A21" s="285"/>
      <c r="B21" s="285"/>
      <c r="C21" s="285"/>
      <c r="D21" s="101"/>
      <c r="E21" s="287"/>
      <c r="F21" s="286"/>
      <c r="G21" s="285"/>
      <c r="H21" s="285"/>
      <c r="I21" s="285"/>
    </row>
    <row r="22" spans="1:9" x14ac:dyDescent="0.2">
      <c r="A22" s="285"/>
      <c r="B22" s="285"/>
      <c r="C22" s="285"/>
      <c r="D22" s="285"/>
      <c r="E22" s="287"/>
      <c r="F22" s="286"/>
      <c r="G22" s="285"/>
      <c r="H22" s="285"/>
      <c r="I22" s="285"/>
    </row>
    <row r="23" spans="1:9" x14ac:dyDescent="0.2">
      <c r="E23" s="284"/>
      <c r="F23" s="283"/>
    </row>
    <row r="24" spans="1:9" x14ac:dyDescent="0.2">
      <c r="F24" s="283"/>
    </row>
    <row r="27" spans="1:9" x14ac:dyDescent="0.2">
      <c r="B27" s="282"/>
      <c r="C27" s="282"/>
    </row>
  </sheetData>
  <mergeCells count="1">
    <mergeCell ref="B4:E4"/>
  </mergeCells>
  <pageMargins left="0.75" right="0.75" top="0.7" bottom="1" header="0.7" footer="0.5"/>
  <pageSetup scale="75" orientation="portrait" cellComments="asDisplayed" r:id="rId1"/>
  <headerFooter alignWithMargins="0">
    <oddHeader xml:space="preserve">&amp;C&amp;"Arial,Bold"&amp;12&amp;A          </oddHeader>
    <oddFooter>&amp;L&amp;"-,Bold"&amp;10Cascade Natural Gas Corporation&amp;C&amp;"-,Bold"&amp;10Page &amp;P of &amp;N&amp;R&amp;"-,Bold"&amp;10Washington Deferral Accounts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F15D-1833-477B-A9FA-4BC6843AEC93}">
  <sheetPr codeName="Sheet10"/>
  <dimension ref="B1:AK110"/>
  <sheetViews>
    <sheetView showGridLines="0" zoomScaleNormal="100" workbookViewId="0">
      <selection activeCell="K66" sqref="K66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14" customWidth="1"/>
    <col min="4" max="4" width="3.5703125" style="11" hidden="1" customWidth="1"/>
    <col min="5" max="5" width="4" style="11" bestFit="1" customWidth="1"/>
    <col min="6" max="6" width="13.7109375" style="11" customWidth="1"/>
    <col min="7" max="7" width="15" style="85" bestFit="1" customWidth="1"/>
    <col min="8" max="8" width="12.140625" style="61" customWidth="1"/>
    <col min="9" max="9" width="11.85546875" style="61" bestFit="1" customWidth="1"/>
    <col min="10" max="10" width="14" style="61" bestFit="1" customWidth="1"/>
    <col min="11" max="12" width="16.140625" style="61" bestFit="1" customWidth="1"/>
    <col min="13" max="13" width="14.5703125" style="61" bestFit="1" customWidth="1"/>
    <col min="14" max="14" width="16.85546875" style="61" bestFit="1" customWidth="1"/>
    <col min="15" max="15" width="16.85546875" style="61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9" t="s">
        <v>25</v>
      </c>
      <c r="C1" s="10"/>
      <c r="E1" s="336" t="s">
        <v>122</v>
      </c>
      <c r="F1" s="336"/>
      <c r="G1" s="336"/>
      <c r="H1" s="336"/>
      <c r="I1" s="336"/>
      <c r="J1" s="336"/>
      <c r="K1" s="336"/>
      <c r="L1" s="335"/>
      <c r="M1" s="335"/>
      <c r="N1" s="335"/>
      <c r="O1" s="335"/>
      <c r="P1" s="335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37" ht="14.25" customHeight="1" x14ac:dyDescent="0.25">
      <c r="B2" s="9" t="s">
        <v>26</v>
      </c>
      <c r="C2" s="10"/>
      <c r="D2" s="12"/>
      <c r="E2" s="336"/>
      <c r="F2" s="336"/>
      <c r="G2" s="336"/>
      <c r="H2" s="336"/>
      <c r="I2" s="336"/>
      <c r="J2" s="336"/>
      <c r="K2" s="336"/>
      <c r="L2" s="337" t="s">
        <v>27</v>
      </c>
      <c r="M2" s="337"/>
      <c r="N2" s="337"/>
      <c r="O2" s="337"/>
      <c r="P2" s="337"/>
    </row>
    <row r="3" spans="2:37" ht="14.25" customHeight="1" x14ac:dyDescent="0.25">
      <c r="B3" s="338" t="s">
        <v>28</v>
      </c>
      <c r="C3" s="338"/>
      <c r="D3" s="12"/>
      <c r="E3" s="13"/>
      <c r="F3" s="339">
        <f>'Core Cost Incurred'!B2</f>
        <v>43733</v>
      </c>
      <c r="G3" s="339"/>
      <c r="H3" s="339"/>
      <c r="I3" s="339"/>
      <c r="J3" s="339"/>
      <c r="K3" s="339"/>
      <c r="L3" s="340" t="s">
        <v>29</v>
      </c>
      <c r="M3" s="340"/>
      <c r="N3" s="340"/>
      <c r="O3" s="340"/>
      <c r="P3" s="340"/>
    </row>
    <row r="4" spans="2:37" ht="14.25" customHeight="1" x14ac:dyDescent="0.25">
      <c r="B4" s="341" t="s">
        <v>30</v>
      </c>
      <c r="C4" s="341"/>
      <c r="D4" s="12"/>
      <c r="E4" s="13"/>
      <c r="F4" s="339"/>
      <c r="G4" s="339"/>
      <c r="H4" s="339"/>
      <c r="I4" s="339"/>
      <c r="J4" s="339"/>
      <c r="K4" s="339"/>
      <c r="L4" s="342" t="s">
        <v>31</v>
      </c>
      <c r="M4" s="342"/>
      <c r="N4" s="342"/>
      <c r="O4" s="342"/>
      <c r="P4" s="342"/>
    </row>
    <row r="5" spans="2:37" ht="14.25" customHeight="1" x14ac:dyDescent="0.2">
      <c r="D5" s="12"/>
      <c r="E5" s="13"/>
      <c r="F5" s="13"/>
      <c r="G5" s="13"/>
      <c r="H5" s="13"/>
      <c r="I5" s="13"/>
      <c r="J5" s="13"/>
      <c r="K5" s="13"/>
      <c r="L5" s="335"/>
      <c r="M5" s="335"/>
      <c r="N5" s="335"/>
      <c r="O5" s="335"/>
      <c r="P5" s="335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7" ht="15" x14ac:dyDescent="0.25">
      <c r="B6" s="15"/>
      <c r="C6" s="16"/>
      <c r="D6" s="17"/>
      <c r="E6" s="17"/>
      <c r="F6" s="17"/>
      <c r="G6" s="18" t="s">
        <v>32</v>
      </c>
      <c r="H6" s="19" t="s">
        <v>3</v>
      </c>
      <c r="I6" s="19" t="s">
        <v>6</v>
      </c>
      <c r="J6" s="19" t="s">
        <v>33</v>
      </c>
      <c r="K6" s="19" t="s">
        <v>3</v>
      </c>
      <c r="L6" s="19" t="s">
        <v>6</v>
      </c>
      <c r="M6" s="19"/>
      <c r="N6" s="19" t="s">
        <v>12</v>
      </c>
      <c r="O6" s="20"/>
      <c r="Q6" s="21"/>
      <c r="R6" s="26">
        <v>200294.94</v>
      </c>
      <c r="S6" s="21"/>
      <c r="T6" s="21"/>
      <c r="U6" s="26">
        <v>140046.39000000001</v>
      </c>
      <c r="V6" s="21"/>
      <c r="W6" s="21"/>
      <c r="X6" s="21"/>
      <c r="Y6" s="21"/>
      <c r="Z6" s="21"/>
      <c r="AA6" s="21"/>
      <c r="AB6" s="21"/>
      <c r="AC6" s="22"/>
    </row>
    <row r="7" spans="2:37" ht="15" x14ac:dyDescent="0.25">
      <c r="B7" s="23"/>
      <c r="C7" s="24"/>
      <c r="D7" s="25"/>
      <c r="E7" s="25"/>
      <c r="F7" s="23" t="s">
        <v>34</v>
      </c>
      <c r="G7" s="18" t="s">
        <v>35</v>
      </c>
      <c r="H7" s="19" t="s">
        <v>36</v>
      </c>
      <c r="I7" s="19" t="s">
        <v>36</v>
      </c>
      <c r="J7" s="19" t="s">
        <v>11</v>
      </c>
      <c r="K7" s="19" t="s">
        <v>37</v>
      </c>
      <c r="L7" s="19" t="s">
        <v>37</v>
      </c>
      <c r="M7" s="19" t="s">
        <v>33</v>
      </c>
      <c r="N7" s="19" t="s">
        <v>33</v>
      </c>
      <c r="O7" s="20"/>
      <c r="Q7" s="26">
        <v>11214374</v>
      </c>
      <c r="R7" s="26">
        <f>2345597.06+78799.97+56688.77</f>
        <v>2481085.8000000003</v>
      </c>
      <c r="S7" s="21"/>
      <c r="T7" s="26">
        <v>2845776</v>
      </c>
      <c r="U7" s="26">
        <v>459339.89</v>
      </c>
      <c r="V7" s="21"/>
      <c r="W7" s="21"/>
      <c r="X7" s="21"/>
      <c r="Y7" s="21"/>
      <c r="Z7" s="21"/>
      <c r="AA7" s="21"/>
      <c r="AB7" s="21"/>
      <c r="AC7" s="27"/>
      <c r="AD7" s="2"/>
    </row>
    <row r="8" spans="2:37" s="35" customFormat="1" x14ac:dyDescent="0.2">
      <c r="B8" s="28"/>
      <c r="C8" s="29"/>
      <c r="D8" s="28" t="s">
        <v>38</v>
      </c>
      <c r="E8" s="28" t="s">
        <v>39</v>
      </c>
      <c r="F8" s="28" t="s">
        <v>39</v>
      </c>
      <c r="G8" s="30" t="s">
        <v>40</v>
      </c>
      <c r="H8" s="31" t="s">
        <v>123</v>
      </c>
      <c r="I8" s="31" t="str">
        <f>+H8</f>
        <v>Apr 1 2019</v>
      </c>
      <c r="J8" s="31" t="str">
        <f>I8</f>
        <v>Apr 1 2019</v>
      </c>
      <c r="K8" s="32" t="s">
        <v>41</v>
      </c>
      <c r="L8" s="32" t="s">
        <v>41</v>
      </c>
      <c r="M8" s="32" t="s">
        <v>11</v>
      </c>
      <c r="N8" s="32" t="s">
        <v>41</v>
      </c>
      <c r="O8" s="20"/>
      <c r="P8"/>
      <c r="V8" s="21"/>
      <c r="W8" s="21"/>
      <c r="X8" s="21"/>
      <c r="Y8" s="21"/>
      <c r="Z8" s="21"/>
      <c r="AA8" s="21"/>
      <c r="AB8" s="21"/>
      <c r="AC8" s="33"/>
      <c r="AD8" s="2" t="s">
        <v>42</v>
      </c>
      <c r="AE8" s="2" t="s">
        <v>43</v>
      </c>
      <c r="AF8" s="2" t="s">
        <v>44</v>
      </c>
      <c r="AG8" s="34" t="s">
        <v>0</v>
      </c>
      <c r="AH8" s="2" t="s">
        <v>45</v>
      </c>
      <c r="AI8" s="2" t="s">
        <v>46</v>
      </c>
      <c r="AJ8" s="2" t="s">
        <v>47</v>
      </c>
      <c r="AK8" s="2" t="s">
        <v>48</v>
      </c>
    </row>
    <row r="9" spans="2:37" ht="15.75" x14ac:dyDescent="0.25">
      <c r="B9" s="36" t="s">
        <v>49</v>
      </c>
      <c r="C9" s="14" t="s">
        <v>52</v>
      </c>
      <c r="D9" s="37">
        <v>1</v>
      </c>
      <c r="E9" s="11" t="s">
        <v>53</v>
      </c>
      <c r="F9" s="38" t="s">
        <v>54</v>
      </c>
      <c r="G9" s="39">
        <v>0</v>
      </c>
      <c r="H9" s="40">
        <v>0.2424</v>
      </c>
      <c r="I9" s="40">
        <v>0.1736</v>
      </c>
      <c r="J9" s="40">
        <f>0.0074+0.07276</f>
        <v>8.0160000000000009E-2</v>
      </c>
      <c r="K9" s="41">
        <f>ROUND(H9*G9,2)</f>
        <v>0</v>
      </c>
      <c r="L9" s="41">
        <f>ROUND(G9*I9,2)</f>
        <v>0</v>
      </c>
      <c r="M9" s="46">
        <f>ROUND(G9*J9,2)</f>
        <v>0</v>
      </c>
      <c r="N9" s="41">
        <f>SUM(K9:M9)</f>
        <v>0</v>
      </c>
      <c r="O9" s="43"/>
      <c r="Q9" s="47">
        <f>+-1529533-194708</f>
        <v>-1724241</v>
      </c>
      <c r="R9" s="47">
        <f>+-304369.99-70364.48</f>
        <v>-374734.47</v>
      </c>
      <c r="S9" s="44"/>
      <c r="T9" s="48">
        <f>+-505447-64182</f>
        <v>-569629</v>
      </c>
      <c r="U9" s="48">
        <f>+-100581.61-23194.4</f>
        <v>-123776.01000000001</v>
      </c>
      <c r="V9" s="44"/>
      <c r="W9" s="44"/>
      <c r="X9" s="44"/>
      <c r="Y9" s="44"/>
      <c r="Z9" s="44"/>
      <c r="AA9" s="44"/>
      <c r="AB9" s="44"/>
      <c r="AC9" s="21"/>
      <c r="AD9" t="s">
        <v>51</v>
      </c>
      <c r="AG9" s="21">
        <v>0</v>
      </c>
      <c r="AK9" t="s">
        <v>55</v>
      </c>
    </row>
    <row r="10" spans="2:37" ht="15.75" x14ac:dyDescent="0.25">
      <c r="B10" s="36" t="s">
        <v>49</v>
      </c>
      <c r="C10" s="14" t="s">
        <v>56</v>
      </c>
      <c r="D10" s="37">
        <v>1</v>
      </c>
      <c r="E10" s="11" t="s">
        <v>57</v>
      </c>
      <c r="F10" s="38" t="s">
        <v>58</v>
      </c>
      <c r="G10" s="49">
        <v>2691847</v>
      </c>
      <c r="H10" s="45">
        <f>$H$9</f>
        <v>0.2424</v>
      </c>
      <c r="I10" s="40">
        <v>0.17624999999999999</v>
      </c>
      <c r="J10" s="45">
        <f>+$J$9</f>
        <v>8.0160000000000009E-2</v>
      </c>
      <c r="K10" s="41">
        <f>ROUND(H10*G10,2)</f>
        <v>652503.71</v>
      </c>
      <c r="L10" s="41">
        <f>ROUND(G10*I10,2)</f>
        <v>474438.03</v>
      </c>
      <c r="M10" s="46">
        <f>ROUND(G10*J10,2)</f>
        <v>215778.46</v>
      </c>
      <c r="N10" s="42">
        <f>SUM(K10:M10)</f>
        <v>1342720.2</v>
      </c>
      <c r="O10" s="43"/>
      <c r="Q10" s="48"/>
      <c r="R10" s="48"/>
      <c r="S10" s="48"/>
      <c r="T10" s="48"/>
      <c r="U10" s="48"/>
      <c r="V10" s="44"/>
      <c r="W10" s="44"/>
      <c r="X10" s="44"/>
      <c r="Y10" s="44"/>
      <c r="Z10" s="44"/>
      <c r="AA10" s="44"/>
      <c r="AB10" s="44"/>
      <c r="AC10" s="21"/>
      <c r="AD10" t="s">
        <v>51</v>
      </c>
      <c r="AG10" s="21">
        <v>0</v>
      </c>
      <c r="AK10" t="s">
        <v>59</v>
      </c>
    </row>
    <row r="11" spans="2:37" ht="15.75" x14ac:dyDescent="0.25">
      <c r="B11" s="36" t="s">
        <v>60</v>
      </c>
      <c r="C11" s="14" t="s">
        <v>61</v>
      </c>
      <c r="D11" s="37">
        <v>1</v>
      </c>
      <c r="E11" s="11" t="s">
        <v>57</v>
      </c>
      <c r="F11" s="38" t="s">
        <v>58</v>
      </c>
      <c r="G11" s="50">
        <v>-1100941</v>
      </c>
      <c r="H11" s="45">
        <f>$H$9</f>
        <v>0.2424</v>
      </c>
      <c r="I11" s="45">
        <f>$I$10</f>
        <v>0.17624999999999999</v>
      </c>
      <c r="J11" s="45">
        <f>+$J$9</f>
        <v>8.0160000000000009E-2</v>
      </c>
      <c r="K11" s="41">
        <f>ROUND(H11*G11,2)</f>
        <v>-266868.09999999998</v>
      </c>
      <c r="L11" s="41">
        <f>ROUND(G11*I11,2)</f>
        <v>-194040.85</v>
      </c>
      <c r="M11" s="46"/>
      <c r="N11" s="42">
        <f>SUM(K11:M11)</f>
        <v>-460908.94999999995</v>
      </c>
      <c r="O11" s="43"/>
      <c r="Q11" s="51"/>
      <c r="R11" s="51"/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21"/>
      <c r="AD11" t="s">
        <v>51</v>
      </c>
      <c r="AG11" s="21">
        <v>0</v>
      </c>
      <c r="AK11" t="s">
        <v>59</v>
      </c>
    </row>
    <row r="12" spans="2:37" ht="15.75" x14ac:dyDescent="0.25">
      <c r="B12" s="36" t="s">
        <v>60</v>
      </c>
      <c r="C12" s="14" t="s">
        <v>62</v>
      </c>
      <c r="D12" s="37">
        <v>1</v>
      </c>
      <c r="E12" s="11" t="s">
        <v>57</v>
      </c>
      <c r="F12" s="38" t="s">
        <v>58</v>
      </c>
      <c r="G12" s="50">
        <v>2696601</v>
      </c>
      <c r="H12" s="45">
        <f>$H$9</f>
        <v>0.2424</v>
      </c>
      <c r="I12" s="45">
        <f>$I$10</f>
        <v>0.17624999999999999</v>
      </c>
      <c r="J12" s="45">
        <f>+$J$9</f>
        <v>8.0160000000000009E-2</v>
      </c>
      <c r="K12" s="41">
        <f>ROUND(H12*G12,2)</f>
        <v>653656.07999999996</v>
      </c>
      <c r="L12" s="41">
        <f>ROUND(G12*I12,2)</f>
        <v>475275.93</v>
      </c>
      <c r="M12" s="46"/>
      <c r="N12" s="42">
        <f>SUM(K12:M12)</f>
        <v>1128932.01</v>
      </c>
      <c r="O12" s="43"/>
      <c r="Q12" s="51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21"/>
      <c r="AD12" t="s">
        <v>51</v>
      </c>
      <c r="AG12" s="21">
        <v>0</v>
      </c>
      <c r="AK12" t="s">
        <v>59</v>
      </c>
    </row>
    <row r="13" spans="2:37" ht="12.2" customHeight="1" x14ac:dyDescent="0.2">
      <c r="B13" s="36"/>
      <c r="D13" s="37"/>
      <c r="F13" s="38"/>
      <c r="G13" s="39"/>
      <c r="H13" s="45"/>
      <c r="I13" s="45"/>
      <c r="J13" s="45"/>
      <c r="K13" s="41"/>
      <c r="L13" s="41"/>
      <c r="M13" s="46"/>
      <c r="N13" s="41"/>
      <c r="O13" s="43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21"/>
      <c r="AG13" s="21"/>
    </row>
    <row r="14" spans="2:37" ht="15.75" x14ac:dyDescent="0.25">
      <c r="B14" s="36" t="s">
        <v>63</v>
      </c>
      <c r="C14" s="14" t="s">
        <v>64</v>
      </c>
      <c r="D14" s="37">
        <v>2</v>
      </c>
      <c r="E14" s="11" t="s">
        <v>65</v>
      </c>
      <c r="F14" s="38" t="s">
        <v>66</v>
      </c>
      <c r="G14" s="49">
        <v>2672689</v>
      </c>
      <c r="H14" s="45">
        <f>$H$9</f>
        <v>0.2424</v>
      </c>
      <c r="I14" s="45">
        <f>+$I$9</f>
        <v>0.1736</v>
      </c>
      <c r="J14" s="45">
        <f>+$J$9</f>
        <v>8.0160000000000009E-2</v>
      </c>
      <c r="K14" s="41">
        <f>ROUND(H14*G14,2)</f>
        <v>647859.81000000006</v>
      </c>
      <c r="L14" s="41">
        <f>ROUND(G14*I14,2)</f>
        <v>463978.81</v>
      </c>
      <c r="M14" s="46">
        <f>ROUND(G14*J14,2)</f>
        <v>214242.75</v>
      </c>
      <c r="N14" s="53">
        <f>SUM(K14:M14)</f>
        <v>1326081.3700000001</v>
      </c>
      <c r="O14" s="54">
        <v>-0.02</v>
      </c>
      <c r="Q14" s="44" t="s">
        <v>50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21"/>
      <c r="AD14" t="s">
        <v>51</v>
      </c>
      <c r="AG14" s="21">
        <v>0</v>
      </c>
      <c r="AK14" t="s">
        <v>67</v>
      </c>
    </row>
    <row r="15" spans="2:37" ht="15.75" x14ac:dyDescent="0.25">
      <c r="B15" s="36" t="s">
        <v>68</v>
      </c>
      <c r="C15" s="14" t="s">
        <v>69</v>
      </c>
      <c r="D15" s="37">
        <v>2</v>
      </c>
      <c r="E15" s="11" t="s">
        <v>65</v>
      </c>
      <c r="F15" s="38" t="s">
        <v>66</v>
      </c>
      <c r="G15" s="50">
        <v>-1243727</v>
      </c>
      <c r="H15" s="45">
        <f>$H$9</f>
        <v>0.2424</v>
      </c>
      <c r="I15" s="45">
        <f>+$I$9</f>
        <v>0.1736</v>
      </c>
      <c r="J15" s="45">
        <f>+$J$9</f>
        <v>8.0160000000000009E-2</v>
      </c>
      <c r="K15" s="41">
        <f>ROUND(H15*G15,2)</f>
        <v>-301479.42</v>
      </c>
      <c r="L15" s="41">
        <f>ROUND(G15*I15,2)</f>
        <v>-215911.01</v>
      </c>
      <c r="M15" s="46"/>
      <c r="N15" s="53">
        <f>SUM(K15:M15)</f>
        <v>-517390.43</v>
      </c>
      <c r="O15" s="54"/>
      <c r="Q15" s="52" t="s">
        <v>70</v>
      </c>
      <c r="R15" s="52">
        <f>101807.82+3135667.8</f>
        <v>3237475.6199999996</v>
      </c>
      <c r="S15" s="52"/>
      <c r="T15" s="52"/>
      <c r="U15" s="51">
        <f>242253.38+412186.68</f>
        <v>654440.06000000006</v>
      </c>
      <c r="V15" s="52"/>
      <c r="W15" s="52"/>
      <c r="X15" s="52"/>
      <c r="Y15" s="52"/>
      <c r="Z15" s="52"/>
      <c r="AA15" s="52"/>
      <c r="AB15" s="52"/>
      <c r="AC15" s="21"/>
      <c r="AD15" t="s">
        <v>51</v>
      </c>
      <c r="AG15" s="21">
        <v>0</v>
      </c>
      <c r="AK15" t="s">
        <v>67</v>
      </c>
    </row>
    <row r="16" spans="2:37" ht="15.75" x14ac:dyDescent="0.25">
      <c r="B16" s="36" t="s">
        <v>68</v>
      </c>
      <c r="C16" s="14" t="s">
        <v>71</v>
      </c>
      <c r="D16" s="37">
        <v>2</v>
      </c>
      <c r="E16" s="11" t="s">
        <v>65</v>
      </c>
      <c r="F16" s="38" t="s">
        <v>66</v>
      </c>
      <c r="G16" s="50">
        <v>2978172</v>
      </c>
      <c r="H16" s="45">
        <f>$H$9</f>
        <v>0.2424</v>
      </c>
      <c r="I16" s="45">
        <f>+$I$9</f>
        <v>0.1736</v>
      </c>
      <c r="J16" s="45">
        <f>+$J$9</f>
        <v>8.0160000000000009E-2</v>
      </c>
      <c r="K16" s="41">
        <f>ROUND(H16*G16,2)</f>
        <v>721908.89</v>
      </c>
      <c r="L16" s="41">
        <f>ROUND(G16*I16,2)</f>
        <v>517010.66</v>
      </c>
      <c r="M16" s="46"/>
      <c r="N16" s="42">
        <f>SUM(K16:M16)</f>
        <v>1238919.55</v>
      </c>
      <c r="O16" s="43"/>
      <c r="Q16" s="52" t="s">
        <v>70</v>
      </c>
      <c r="R16" s="52">
        <v>55387.57</v>
      </c>
      <c r="S16" s="52"/>
      <c r="T16" s="52"/>
      <c r="U16" s="51">
        <v>7182.43</v>
      </c>
      <c r="V16" s="52"/>
      <c r="W16" s="52"/>
      <c r="X16" s="52"/>
      <c r="Y16" s="52"/>
      <c r="Z16" s="52"/>
      <c r="AA16" s="52"/>
      <c r="AB16" s="52"/>
      <c r="AC16" s="21"/>
      <c r="AD16" t="s">
        <v>51</v>
      </c>
      <c r="AG16" s="21">
        <v>0</v>
      </c>
      <c r="AK16" t="s">
        <v>67</v>
      </c>
    </row>
    <row r="17" spans="2:37" ht="12.2" customHeight="1" x14ac:dyDescent="0.2">
      <c r="B17" s="36"/>
      <c r="D17" s="37"/>
      <c r="F17" s="38"/>
      <c r="G17" s="39"/>
      <c r="H17" s="45"/>
      <c r="I17" s="45"/>
      <c r="J17" s="45"/>
      <c r="K17" s="41"/>
      <c r="L17" s="41"/>
      <c r="M17" s="46"/>
      <c r="N17" s="41"/>
      <c r="O17" s="43"/>
      <c r="Q17" s="4"/>
      <c r="R17" s="4"/>
      <c r="S17" s="4"/>
      <c r="T17" s="4"/>
      <c r="U17" s="48"/>
      <c r="V17" s="4"/>
      <c r="W17" s="4"/>
      <c r="X17" s="4"/>
      <c r="Y17" s="4"/>
      <c r="Z17" s="4"/>
      <c r="AA17" s="4"/>
      <c r="AB17" s="4"/>
      <c r="AC17" s="21"/>
      <c r="AG17" s="21"/>
    </row>
    <row r="18" spans="2:37" ht="15.75" x14ac:dyDescent="0.25">
      <c r="B18" s="36" t="s">
        <v>63</v>
      </c>
      <c r="C18" s="14" t="s">
        <v>72</v>
      </c>
      <c r="D18" s="37">
        <v>2</v>
      </c>
      <c r="E18" s="11" t="s">
        <v>73</v>
      </c>
      <c r="F18" s="38" t="s">
        <v>74</v>
      </c>
      <c r="G18" s="49">
        <v>346838</v>
      </c>
      <c r="H18" s="45">
        <f>$H$9</f>
        <v>0.2424</v>
      </c>
      <c r="I18" s="40">
        <v>0.16053999999999999</v>
      </c>
      <c r="J18" s="45">
        <f t="shared" ref="J18:J23" si="0">+$J$9</f>
        <v>8.0160000000000009E-2</v>
      </c>
      <c r="K18" s="41">
        <f t="shared" ref="K18:K23" si="1">ROUND(H18*G18,2)</f>
        <v>84073.53</v>
      </c>
      <c r="L18" s="41">
        <f t="shared" ref="L18:L23" si="2">ROUND(G18*I18,2)</f>
        <v>55681.37</v>
      </c>
      <c r="M18" s="46">
        <f t="shared" ref="M18:M23" si="3">ROUND(G18*J18,2)</f>
        <v>27802.53</v>
      </c>
      <c r="N18" s="55">
        <f t="shared" ref="N18:N23" si="4">SUM(K18:M18)</f>
        <v>167557.43</v>
      </c>
      <c r="O18" s="54">
        <v>2.0699999999999998</v>
      </c>
      <c r="Q18" s="44" t="s">
        <v>50</v>
      </c>
      <c r="R18" s="44">
        <v>625208.07999999996</v>
      </c>
      <c r="S18" s="44"/>
      <c r="T18" s="44"/>
      <c r="U18" s="48">
        <f>44136.69+5300</f>
        <v>49436.69</v>
      </c>
      <c r="V18" s="44"/>
      <c r="W18" s="44"/>
      <c r="X18" s="44"/>
      <c r="Y18" s="44"/>
      <c r="Z18" s="44"/>
      <c r="AA18" s="44"/>
      <c r="AB18" s="44"/>
      <c r="AC18" s="21"/>
      <c r="AD18" t="s">
        <v>51</v>
      </c>
      <c r="AG18" s="21">
        <v>0</v>
      </c>
      <c r="AK18" t="s">
        <v>75</v>
      </c>
    </row>
    <row r="19" spans="2:37" ht="15" x14ac:dyDescent="0.2">
      <c r="B19" s="36" t="s">
        <v>63</v>
      </c>
      <c r="C19" s="14" t="s">
        <v>76</v>
      </c>
      <c r="D19" s="37">
        <v>2</v>
      </c>
      <c r="E19" s="11" t="s">
        <v>77</v>
      </c>
      <c r="F19" s="38" t="s">
        <v>78</v>
      </c>
      <c r="G19" s="39"/>
      <c r="H19" s="45">
        <f t="shared" ref="H19:H23" si="5">$H$9</f>
        <v>0.2424</v>
      </c>
      <c r="I19" s="45">
        <f>+$I$9</f>
        <v>0.1736</v>
      </c>
      <c r="J19" s="45">
        <f t="shared" si="0"/>
        <v>8.0160000000000009E-2</v>
      </c>
      <c r="K19" s="41">
        <f t="shared" si="1"/>
        <v>0</v>
      </c>
      <c r="L19" s="41">
        <f t="shared" si="2"/>
        <v>0</v>
      </c>
      <c r="M19" s="46">
        <f t="shared" si="3"/>
        <v>0</v>
      </c>
      <c r="N19" s="42">
        <f>SUM(K19:M19)</f>
        <v>0</v>
      </c>
      <c r="O19" s="43">
        <v>0.01</v>
      </c>
      <c r="Q19" s="44" t="s">
        <v>50</v>
      </c>
      <c r="R19" s="44">
        <f>+-128.04-565547.01</f>
        <v>-565675.05000000005</v>
      </c>
      <c r="S19" s="44"/>
      <c r="T19" s="44"/>
      <c r="U19" s="48">
        <f>+-193.7-79036.58</f>
        <v>-79230.28</v>
      </c>
      <c r="V19" s="44"/>
      <c r="W19" s="44"/>
      <c r="X19" s="44"/>
      <c r="Y19" s="44"/>
      <c r="Z19" s="44"/>
      <c r="AA19" s="44"/>
      <c r="AB19" s="44"/>
      <c r="AC19" s="56"/>
      <c r="AD19" t="s">
        <v>51</v>
      </c>
      <c r="AG19" s="21">
        <v>0</v>
      </c>
      <c r="AK19" t="s">
        <v>79</v>
      </c>
    </row>
    <row r="20" spans="2:37" ht="15" x14ac:dyDescent="0.2">
      <c r="B20" s="36" t="s">
        <v>63</v>
      </c>
      <c r="C20" s="14" t="s">
        <v>80</v>
      </c>
      <c r="D20" s="37">
        <v>2</v>
      </c>
      <c r="E20" s="11" t="s">
        <v>53</v>
      </c>
      <c r="F20" s="38" t="s">
        <v>54</v>
      </c>
      <c r="G20" s="39">
        <v>0</v>
      </c>
      <c r="H20" s="45">
        <f t="shared" si="5"/>
        <v>0.2424</v>
      </c>
      <c r="I20" s="45">
        <f>+$I$9</f>
        <v>0.1736</v>
      </c>
      <c r="J20" s="45">
        <f t="shared" si="0"/>
        <v>8.0160000000000009E-2</v>
      </c>
      <c r="K20" s="41">
        <f t="shared" si="1"/>
        <v>0</v>
      </c>
      <c r="L20" s="41">
        <f t="shared" si="2"/>
        <v>0</v>
      </c>
      <c r="M20" s="46">
        <f t="shared" si="3"/>
        <v>0</v>
      </c>
      <c r="N20" s="41">
        <f t="shared" si="4"/>
        <v>0</v>
      </c>
      <c r="O20" s="43"/>
      <c r="Q20" s="44" t="s">
        <v>50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56"/>
      <c r="AD20" t="s">
        <v>51</v>
      </c>
      <c r="AG20" s="21">
        <v>0</v>
      </c>
      <c r="AK20" t="s">
        <v>81</v>
      </c>
    </row>
    <row r="21" spans="2:37" ht="15.75" x14ac:dyDescent="0.25">
      <c r="B21" s="36" t="s">
        <v>63</v>
      </c>
      <c r="C21" s="14" t="s">
        <v>72</v>
      </c>
      <c r="D21" s="37">
        <v>2</v>
      </c>
      <c r="E21" s="11" t="s">
        <v>73</v>
      </c>
      <c r="F21" s="38" t="s">
        <v>83</v>
      </c>
      <c r="G21" s="49">
        <v>138</v>
      </c>
      <c r="H21" s="45">
        <f t="shared" si="5"/>
        <v>0.2424</v>
      </c>
      <c r="I21" s="45">
        <f>+$I$9</f>
        <v>0.1736</v>
      </c>
      <c r="J21" s="45">
        <f t="shared" si="0"/>
        <v>8.0160000000000009E-2</v>
      </c>
      <c r="K21" s="41">
        <f t="shared" si="1"/>
        <v>33.450000000000003</v>
      </c>
      <c r="L21" s="41">
        <f t="shared" si="2"/>
        <v>23.96</v>
      </c>
      <c r="M21" s="46">
        <f t="shared" si="3"/>
        <v>11.06</v>
      </c>
      <c r="N21" s="53">
        <f t="shared" si="4"/>
        <v>68.47</v>
      </c>
      <c r="O21" s="54"/>
      <c r="Q21" s="44" t="s">
        <v>50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21"/>
      <c r="AD21" t="s">
        <v>51</v>
      </c>
      <c r="AG21" s="21">
        <v>0</v>
      </c>
      <c r="AK21" t="s">
        <v>75</v>
      </c>
    </row>
    <row r="22" spans="2:37" ht="15.75" x14ac:dyDescent="0.25">
      <c r="B22" s="36" t="s">
        <v>68</v>
      </c>
      <c r="C22" s="14" t="s">
        <v>82</v>
      </c>
      <c r="D22" s="37">
        <v>2</v>
      </c>
      <c r="E22" s="11" t="s">
        <v>73</v>
      </c>
      <c r="F22" s="38" t="s">
        <v>83</v>
      </c>
      <c r="G22" s="57">
        <v>-138</v>
      </c>
      <c r="H22" s="45">
        <f t="shared" si="5"/>
        <v>0.2424</v>
      </c>
      <c r="I22" s="45">
        <f>+$I$9</f>
        <v>0.1736</v>
      </c>
      <c r="J22" s="45">
        <f t="shared" si="0"/>
        <v>8.0160000000000009E-2</v>
      </c>
      <c r="K22" s="41">
        <f t="shared" si="1"/>
        <v>-33.450000000000003</v>
      </c>
      <c r="L22" s="41">
        <f t="shared" si="2"/>
        <v>-23.96</v>
      </c>
      <c r="M22" s="46">
        <f t="shared" si="3"/>
        <v>-11.06</v>
      </c>
      <c r="N22" s="53">
        <f t="shared" si="4"/>
        <v>-68.47</v>
      </c>
      <c r="O22" s="54"/>
      <c r="Q22" s="4"/>
      <c r="R22" s="4">
        <v>57899.56</v>
      </c>
      <c r="S22" s="4"/>
      <c r="T22" s="4"/>
      <c r="U22" s="48">
        <v>8091.98</v>
      </c>
      <c r="V22" s="4"/>
      <c r="W22" s="4"/>
      <c r="X22" s="4"/>
      <c r="Y22" s="4"/>
      <c r="Z22" s="4"/>
      <c r="AA22" s="4"/>
      <c r="AB22" s="4"/>
      <c r="AC22" s="58"/>
      <c r="AD22" t="s">
        <v>51</v>
      </c>
      <c r="AG22" s="21">
        <v>0</v>
      </c>
      <c r="AK22" t="s">
        <v>75</v>
      </c>
    </row>
    <row r="23" spans="2:37" ht="15.75" x14ac:dyDescent="0.25">
      <c r="B23" s="36" t="s">
        <v>68</v>
      </c>
      <c r="C23" s="14" t="s">
        <v>84</v>
      </c>
      <c r="D23" s="37">
        <v>2</v>
      </c>
      <c r="E23" s="11" t="s">
        <v>73</v>
      </c>
      <c r="F23" s="38" t="s">
        <v>83</v>
      </c>
      <c r="G23" s="57">
        <v>619</v>
      </c>
      <c r="H23" s="45">
        <f t="shared" si="5"/>
        <v>0.2424</v>
      </c>
      <c r="I23" s="45">
        <f>+$I$9</f>
        <v>0.1736</v>
      </c>
      <c r="J23" s="45">
        <f t="shared" si="0"/>
        <v>8.0160000000000009E-2</v>
      </c>
      <c r="K23" s="41">
        <f t="shared" si="1"/>
        <v>150.05000000000001</v>
      </c>
      <c r="L23" s="41">
        <f t="shared" si="2"/>
        <v>107.46</v>
      </c>
      <c r="M23" s="46">
        <f t="shared" si="3"/>
        <v>49.62</v>
      </c>
      <c r="N23" s="42">
        <f t="shared" si="4"/>
        <v>307.13</v>
      </c>
      <c r="O23" s="43"/>
      <c r="Q23" s="4"/>
      <c r="R23" s="4">
        <v>61282.61</v>
      </c>
      <c r="S23" s="4"/>
      <c r="T23" s="4"/>
      <c r="U23" s="48">
        <v>6665.73</v>
      </c>
      <c r="V23" s="4"/>
      <c r="W23" s="4"/>
      <c r="X23" s="4"/>
      <c r="Y23" s="4"/>
      <c r="Z23" s="4"/>
      <c r="AA23" s="4"/>
      <c r="AB23" s="4"/>
      <c r="AC23" s="58"/>
      <c r="AD23" t="s">
        <v>51</v>
      </c>
      <c r="AG23" s="21">
        <v>0</v>
      </c>
      <c r="AK23" t="s">
        <v>75</v>
      </c>
    </row>
    <row r="24" spans="2:37" ht="12.2" customHeight="1" x14ac:dyDescent="0.2">
      <c r="B24" s="36"/>
      <c r="D24" s="37"/>
      <c r="F24" s="38"/>
      <c r="G24" s="59"/>
      <c r="H24" s="60"/>
      <c r="I24" s="45"/>
      <c r="J24" s="45"/>
      <c r="K24" s="41"/>
      <c r="L24" s="41"/>
      <c r="M24" s="46"/>
      <c r="N24" s="41"/>
      <c r="O24" s="43"/>
      <c r="Q24" s="4"/>
      <c r="R24" s="4"/>
      <c r="S24" s="4"/>
      <c r="T24" s="4"/>
      <c r="U24" s="48"/>
      <c r="V24" s="4"/>
      <c r="W24" s="4"/>
      <c r="X24" s="4"/>
      <c r="Y24" s="4"/>
      <c r="Z24" s="4"/>
      <c r="AA24" s="4"/>
      <c r="AB24" s="4"/>
      <c r="AC24" s="58"/>
      <c r="AG24" s="21"/>
    </row>
    <row r="25" spans="2:37" ht="15.75" x14ac:dyDescent="0.25">
      <c r="B25" s="36" t="s">
        <v>85</v>
      </c>
      <c r="C25" s="14" t="s">
        <v>86</v>
      </c>
      <c r="D25" s="37">
        <v>3</v>
      </c>
      <c r="E25" s="11" t="s">
        <v>87</v>
      </c>
      <c r="F25" s="38" t="s">
        <v>88</v>
      </c>
      <c r="G25" s="49">
        <v>651984</v>
      </c>
      <c r="H25" s="45">
        <f t="shared" ref="H25:H44" si="6">$H$9</f>
        <v>0.2424</v>
      </c>
      <c r="I25" s="45">
        <f>$I$18</f>
        <v>0.16053999999999999</v>
      </c>
      <c r="J25" s="45">
        <f t="shared" ref="J25:J44" si="7">+$J$9</f>
        <v>8.0160000000000009E-2</v>
      </c>
      <c r="K25" s="41">
        <f>ROUND(H25*G25,2)</f>
        <v>158040.92000000001</v>
      </c>
      <c r="L25" s="41">
        <f>ROUND(G25*I25,2)</f>
        <v>104669.51</v>
      </c>
      <c r="M25" s="46">
        <f>ROUND(G25*J25,2)</f>
        <v>52263.040000000001</v>
      </c>
      <c r="N25" s="42">
        <f>SUM(K25:M25)</f>
        <v>314973.46999999997</v>
      </c>
      <c r="O25" s="43">
        <v>-0.01</v>
      </c>
      <c r="Q25" s="44" t="s">
        <v>50</v>
      </c>
      <c r="R25" s="44">
        <v>49965.85</v>
      </c>
      <c r="S25" s="44"/>
      <c r="T25" s="44"/>
      <c r="U25" s="48">
        <v>5434.8</v>
      </c>
      <c r="V25" s="44"/>
      <c r="W25" s="44"/>
      <c r="X25" s="44"/>
      <c r="Y25" s="44"/>
      <c r="Z25" s="44"/>
      <c r="AA25" s="44"/>
      <c r="AB25" s="44"/>
      <c r="AC25" s="56"/>
      <c r="AD25" t="s">
        <v>51</v>
      </c>
      <c r="AG25" s="21">
        <v>0</v>
      </c>
      <c r="AK25" t="s">
        <v>89</v>
      </c>
    </row>
    <row r="26" spans="2:37" ht="15.75" x14ac:dyDescent="0.25">
      <c r="B26" s="36" t="s">
        <v>85</v>
      </c>
      <c r="C26" s="14" t="s">
        <v>90</v>
      </c>
      <c r="D26" s="37">
        <v>3</v>
      </c>
      <c r="E26" s="11" t="s">
        <v>73</v>
      </c>
      <c r="F26" s="38" t="s">
        <v>74</v>
      </c>
      <c r="G26" s="49">
        <v>310612</v>
      </c>
      <c r="H26" s="45">
        <f t="shared" si="6"/>
        <v>0.2424</v>
      </c>
      <c r="I26" s="45">
        <f>$I$18</f>
        <v>0.16053999999999999</v>
      </c>
      <c r="J26" s="45">
        <f t="shared" si="7"/>
        <v>8.0160000000000009E-2</v>
      </c>
      <c r="K26" s="41">
        <f>ROUND(H26*G26,2)</f>
        <v>75292.350000000006</v>
      </c>
      <c r="L26" s="41">
        <f>ROUND(G26*I26,2)</f>
        <v>49865.65</v>
      </c>
      <c r="M26" s="46">
        <f>ROUND(G26*J26,2)</f>
        <v>24898.66</v>
      </c>
      <c r="N26" s="42">
        <f>SUM(K26:M26)</f>
        <v>150056.66</v>
      </c>
      <c r="O26" s="43"/>
      <c r="Q26" s="44" t="s">
        <v>50</v>
      </c>
      <c r="R26" s="44"/>
      <c r="S26" s="44"/>
      <c r="T26" s="44"/>
      <c r="U26" s="48"/>
      <c r="V26" s="44"/>
      <c r="W26" s="44"/>
      <c r="X26" s="44"/>
      <c r="Y26" s="44"/>
      <c r="Z26" s="44"/>
      <c r="AA26" s="44"/>
      <c r="AB26" s="44"/>
      <c r="AC26" s="56"/>
      <c r="AD26" t="s">
        <v>51</v>
      </c>
      <c r="AG26" s="21">
        <v>0</v>
      </c>
      <c r="AK26" t="s">
        <v>91</v>
      </c>
    </row>
    <row r="27" spans="2:37" ht="15" x14ac:dyDescent="0.2">
      <c r="B27" s="36" t="s">
        <v>85</v>
      </c>
      <c r="C27" s="14" t="s">
        <v>92</v>
      </c>
      <c r="D27" s="37">
        <v>3</v>
      </c>
      <c r="E27" s="11" t="s">
        <v>77</v>
      </c>
      <c r="F27" s="38" t="s">
        <v>78</v>
      </c>
      <c r="G27" s="39">
        <v>0</v>
      </c>
      <c r="H27" s="45">
        <f t="shared" si="6"/>
        <v>0.2424</v>
      </c>
      <c r="I27" s="45">
        <f>+$I$9</f>
        <v>0.1736</v>
      </c>
      <c r="J27" s="45">
        <f t="shared" si="7"/>
        <v>8.0160000000000009E-2</v>
      </c>
      <c r="K27" s="41">
        <f>ROUND(H27*G27,2)</f>
        <v>0</v>
      </c>
      <c r="L27" s="41">
        <f>ROUND(G27*I27,2)</f>
        <v>0</v>
      </c>
      <c r="M27" s="46">
        <f>ROUND(G27*J27,2)</f>
        <v>0</v>
      </c>
      <c r="N27" s="41">
        <f>SUM(K27:M27)</f>
        <v>0</v>
      </c>
      <c r="O27" s="43"/>
      <c r="Q27" s="4"/>
      <c r="R27" s="4"/>
      <c r="S27" s="4"/>
      <c r="T27" s="4"/>
      <c r="U27" s="48"/>
      <c r="V27" s="4"/>
      <c r="W27" s="4"/>
      <c r="X27" s="4"/>
      <c r="Y27" s="4"/>
      <c r="Z27" s="4"/>
      <c r="AA27" s="4"/>
      <c r="AB27" s="4"/>
      <c r="AC27" s="21"/>
      <c r="AD27" t="s">
        <v>51</v>
      </c>
      <c r="AG27" s="21">
        <v>0</v>
      </c>
      <c r="AK27" t="s">
        <v>93</v>
      </c>
    </row>
    <row r="28" spans="2:37" ht="12.2" customHeight="1" x14ac:dyDescent="0.2">
      <c r="B28" s="36"/>
      <c r="D28" s="37"/>
      <c r="F28" s="38"/>
      <c r="G28" s="39"/>
      <c r="H28" s="45"/>
      <c r="I28" s="45"/>
      <c r="J28" s="45"/>
      <c r="K28" s="41"/>
      <c r="L28" s="41"/>
      <c r="M28" s="46"/>
      <c r="N28" s="41"/>
      <c r="O28" s="43"/>
      <c r="Q28" s="4"/>
      <c r="R28" s="4">
        <v>17029.240000000002</v>
      </c>
      <c r="S28" s="4"/>
      <c r="T28" s="4"/>
      <c r="U28" s="48">
        <v>1729.72</v>
      </c>
      <c r="V28" s="4"/>
      <c r="W28" s="4"/>
      <c r="X28" s="4"/>
      <c r="Y28" s="4"/>
      <c r="Z28" s="4"/>
      <c r="AA28" s="4"/>
      <c r="AB28" s="4"/>
      <c r="AC28" s="21"/>
      <c r="AG28" s="21"/>
    </row>
    <row r="29" spans="2:37" ht="15" x14ac:dyDescent="0.2">
      <c r="B29" s="36" t="s">
        <v>94</v>
      </c>
      <c r="C29" s="14" t="s">
        <v>95</v>
      </c>
      <c r="D29" s="37">
        <v>3</v>
      </c>
      <c r="E29" s="11" t="s">
        <v>87</v>
      </c>
      <c r="F29" s="38" t="s">
        <v>96</v>
      </c>
      <c r="G29" s="39">
        <v>0</v>
      </c>
      <c r="H29" s="45">
        <f t="shared" si="6"/>
        <v>0.2424</v>
      </c>
      <c r="I29" s="45">
        <f>$I$18</f>
        <v>0.16053999999999999</v>
      </c>
      <c r="J29" s="45">
        <f t="shared" si="7"/>
        <v>8.0160000000000009E-2</v>
      </c>
      <c r="K29" s="41">
        <f t="shared" ref="K29:K31" si="8">ROUND(H29*G29,2)</f>
        <v>0</v>
      </c>
      <c r="L29" s="41">
        <f t="shared" ref="L29:L31" si="9">ROUND(G29*I29,2)</f>
        <v>0</v>
      </c>
      <c r="M29" s="46">
        <f t="shared" ref="M29:M31" si="10">ROUND(G29*J29,2)</f>
        <v>0</v>
      </c>
      <c r="N29" s="41">
        <f t="shared" ref="N29:N31" si="11">SUM(K29:M29)</f>
        <v>0</v>
      </c>
      <c r="O29" s="43"/>
      <c r="Q29" s="44" t="s">
        <v>50</v>
      </c>
      <c r="R29" s="44"/>
      <c r="S29" s="44"/>
      <c r="T29" s="44"/>
      <c r="U29" s="48"/>
      <c r="V29" s="44"/>
      <c r="W29" s="44"/>
      <c r="X29" s="44"/>
      <c r="Y29" s="44"/>
      <c r="Z29" s="44"/>
      <c r="AA29" s="44"/>
      <c r="AB29" s="44"/>
      <c r="AC29" s="56"/>
      <c r="AD29" t="s">
        <v>51</v>
      </c>
      <c r="AG29" s="21">
        <v>0</v>
      </c>
      <c r="AK29" t="s">
        <v>89</v>
      </c>
    </row>
    <row r="30" spans="2:37" ht="15" x14ac:dyDescent="0.2">
      <c r="B30" s="36" t="s">
        <v>97</v>
      </c>
      <c r="C30" s="14" t="s">
        <v>82</v>
      </c>
      <c r="D30" s="37">
        <v>3</v>
      </c>
      <c r="E30" s="11" t="s">
        <v>87</v>
      </c>
      <c r="F30" s="38" t="s">
        <v>96</v>
      </c>
      <c r="G30" s="62">
        <v>0</v>
      </c>
      <c r="H30" s="45">
        <f t="shared" si="6"/>
        <v>0.2424</v>
      </c>
      <c r="I30" s="45">
        <f>$I$18</f>
        <v>0.16053999999999999</v>
      </c>
      <c r="J30" s="45">
        <f t="shared" si="7"/>
        <v>8.0160000000000009E-2</v>
      </c>
      <c r="K30" s="41">
        <f t="shared" si="8"/>
        <v>0</v>
      </c>
      <c r="L30" s="41">
        <f t="shared" si="9"/>
        <v>0</v>
      </c>
      <c r="M30" s="46">
        <f t="shared" si="10"/>
        <v>0</v>
      </c>
      <c r="N30" s="41">
        <f t="shared" si="11"/>
        <v>0</v>
      </c>
      <c r="O30" s="43"/>
      <c r="Q30" s="4"/>
      <c r="R30" s="4">
        <v>128505.68</v>
      </c>
      <c r="S30" s="4"/>
      <c r="T30" s="4"/>
      <c r="U30" s="48">
        <v>17959.87</v>
      </c>
      <c r="V30" s="4"/>
      <c r="W30" s="4"/>
      <c r="X30" s="4"/>
      <c r="Y30" s="4"/>
      <c r="Z30" s="4"/>
      <c r="AA30" s="4"/>
      <c r="AB30" s="4"/>
      <c r="AC30" s="58"/>
      <c r="AD30" t="s">
        <v>51</v>
      </c>
      <c r="AG30" s="21">
        <v>0</v>
      </c>
      <c r="AK30" t="s">
        <v>89</v>
      </c>
    </row>
    <row r="31" spans="2:37" ht="15.75" x14ac:dyDescent="0.25">
      <c r="B31" s="36" t="s">
        <v>97</v>
      </c>
      <c r="C31" s="14" t="s">
        <v>84</v>
      </c>
      <c r="D31" s="37">
        <v>3</v>
      </c>
      <c r="E31" s="11" t="s">
        <v>87</v>
      </c>
      <c r="F31" s="38" t="s">
        <v>96</v>
      </c>
      <c r="G31" s="57">
        <v>411</v>
      </c>
      <c r="H31" s="45">
        <f t="shared" si="6"/>
        <v>0.2424</v>
      </c>
      <c r="I31" s="45">
        <f>$I$18</f>
        <v>0.16053999999999999</v>
      </c>
      <c r="J31" s="45">
        <f t="shared" si="7"/>
        <v>8.0160000000000009E-2</v>
      </c>
      <c r="K31" s="41">
        <f t="shared" si="8"/>
        <v>99.63</v>
      </c>
      <c r="L31" s="41">
        <f t="shared" si="9"/>
        <v>65.98</v>
      </c>
      <c r="M31" s="46">
        <f t="shared" si="10"/>
        <v>32.950000000000003</v>
      </c>
      <c r="N31" s="41">
        <f t="shared" si="11"/>
        <v>198.56</v>
      </c>
      <c r="O31" s="41"/>
      <c r="Q31" s="4"/>
      <c r="R31" s="4">
        <v>97.86</v>
      </c>
      <c r="S31" s="4"/>
      <c r="T31" s="4"/>
      <c r="U31" s="48">
        <v>10.64</v>
      </c>
      <c r="V31" s="4"/>
      <c r="W31" s="4"/>
      <c r="X31" s="4"/>
      <c r="Y31" s="4"/>
      <c r="Z31" s="4"/>
      <c r="AA31" s="4"/>
      <c r="AB31" s="4"/>
      <c r="AC31" s="58"/>
      <c r="AD31" t="s">
        <v>51</v>
      </c>
      <c r="AG31" s="21">
        <v>0</v>
      </c>
      <c r="AK31" t="s">
        <v>89</v>
      </c>
    </row>
    <row r="32" spans="2:37" ht="12.2" customHeight="1" x14ac:dyDescent="0.2">
      <c r="B32" s="36"/>
      <c r="D32" s="37"/>
      <c r="F32" s="38"/>
      <c r="G32" s="39"/>
      <c r="H32" s="45"/>
      <c r="I32" s="45"/>
      <c r="J32" s="45"/>
      <c r="K32" s="41"/>
      <c r="L32" s="41"/>
      <c r="M32" s="46"/>
      <c r="N32" s="41"/>
      <c r="O32" s="41"/>
      <c r="Q32" s="4"/>
      <c r="R32" s="4"/>
      <c r="S32" s="4"/>
      <c r="T32" s="4"/>
      <c r="U32" s="48"/>
      <c r="V32" s="4"/>
      <c r="W32" s="4"/>
      <c r="X32" s="4"/>
      <c r="Y32" s="4"/>
      <c r="Z32" s="4"/>
      <c r="AA32" s="4"/>
      <c r="AB32" s="4"/>
      <c r="AC32" s="56"/>
      <c r="AG32" s="21"/>
    </row>
    <row r="33" spans="2:37" ht="15" x14ac:dyDescent="0.2">
      <c r="B33" s="36" t="s">
        <v>94</v>
      </c>
      <c r="C33" s="14" t="s">
        <v>98</v>
      </c>
      <c r="D33" s="37" t="s">
        <v>15</v>
      </c>
      <c r="E33" s="11" t="s">
        <v>99</v>
      </c>
      <c r="F33" s="38" t="s">
        <v>100</v>
      </c>
      <c r="G33" s="39">
        <v>0</v>
      </c>
      <c r="H33" s="45">
        <f t="shared" si="6"/>
        <v>0.2424</v>
      </c>
      <c r="I33" s="40">
        <v>0.14752999999999999</v>
      </c>
      <c r="J33" s="45">
        <f t="shared" si="7"/>
        <v>8.0160000000000009E-2</v>
      </c>
      <c r="K33" s="41">
        <f>ROUND(H33*G33,2)</f>
        <v>0</v>
      </c>
      <c r="L33" s="41">
        <f>ROUND(G33*I33,2)</f>
        <v>0</v>
      </c>
      <c r="M33" s="46">
        <f>ROUND(G33*J33,2)</f>
        <v>0</v>
      </c>
      <c r="N33" s="55">
        <f>SUM(K33:M33)</f>
        <v>0</v>
      </c>
      <c r="Q33" s="4"/>
      <c r="R33" s="4"/>
      <c r="S33" s="4"/>
      <c r="T33" s="4"/>
      <c r="U33" s="48"/>
      <c r="V33" s="4"/>
      <c r="W33" s="4"/>
      <c r="X33" s="4"/>
      <c r="Y33" s="4"/>
      <c r="Z33" s="4"/>
      <c r="AA33" s="4"/>
      <c r="AB33" s="4"/>
      <c r="AC33" s="21"/>
      <c r="AD33" t="s">
        <v>51</v>
      </c>
      <c r="AG33" s="21">
        <v>0</v>
      </c>
      <c r="AK33" t="s">
        <v>101</v>
      </c>
    </row>
    <row r="34" spans="2:37" ht="15" x14ac:dyDescent="0.2">
      <c r="B34" s="36" t="s">
        <v>97</v>
      </c>
      <c r="C34" s="14" t="s">
        <v>82</v>
      </c>
      <c r="D34" s="37">
        <v>4</v>
      </c>
      <c r="E34" s="11" t="s">
        <v>99</v>
      </c>
      <c r="F34" s="38" t="s">
        <v>100</v>
      </c>
      <c r="G34" s="62">
        <v>0</v>
      </c>
      <c r="H34" s="45">
        <f t="shared" si="6"/>
        <v>0.2424</v>
      </c>
      <c r="I34" s="45">
        <f>$I$33</f>
        <v>0.14752999999999999</v>
      </c>
      <c r="J34" s="45">
        <f t="shared" si="7"/>
        <v>8.0160000000000009E-2</v>
      </c>
      <c r="K34" s="41">
        <f>ROUND(H34*G34,2)</f>
        <v>0</v>
      </c>
      <c r="L34" s="41">
        <f>ROUND(G34*I34,2)</f>
        <v>0</v>
      </c>
      <c r="M34" s="46">
        <f>ROUND(G34*J34,2)</f>
        <v>0</v>
      </c>
      <c r="N34" s="42">
        <f>SUM(K34:M34)</f>
        <v>0</v>
      </c>
      <c r="O34" s="41">
        <f>-N34-80.06</f>
        <v>-80.06</v>
      </c>
      <c r="Q34" s="4"/>
      <c r="R34" s="4">
        <v>18307.25</v>
      </c>
      <c r="S34" s="4"/>
      <c r="T34" s="4"/>
      <c r="U34" s="48">
        <v>1859.59</v>
      </c>
      <c r="V34" s="4"/>
      <c r="W34" s="4"/>
      <c r="X34" s="4"/>
      <c r="Y34" s="4"/>
      <c r="Z34" s="4"/>
      <c r="AA34" s="4"/>
      <c r="AB34" s="4"/>
      <c r="AC34" s="58"/>
      <c r="AD34" t="s">
        <v>51</v>
      </c>
      <c r="AG34" s="21">
        <v>0</v>
      </c>
      <c r="AK34" t="s">
        <v>102</v>
      </c>
    </row>
    <row r="35" spans="2:37" ht="15" x14ac:dyDescent="0.2">
      <c r="B35" s="36" t="s">
        <v>97</v>
      </c>
      <c r="C35" s="14" t="s">
        <v>84</v>
      </c>
      <c r="D35" s="37">
        <v>4</v>
      </c>
      <c r="E35" s="11" t="s">
        <v>99</v>
      </c>
      <c r="F35" s="38" t="s">
        <v>100</v>
      </c>
      <c r="G35" s="62">
        <v>0</v>
      </c>
      <c r="H35" s="45">
        <f t="shared" si="6"/>
        <v>0.2424</v>
      </c>
      <c r="I35" s="45">
        <f>$I$33</f>
        <v>0.14752999999999999</v>
      </c>
      <c r="J35" s="45">
        <f t="shared" si="7"/>
        <v>8.0160000000000009E-2</v>
      </c>
      <c r="K35" s="41">
        <f>ROUND(H35*G35,2)</f>
        <v>0</v>
      </c>
      <c r="L35" s="41">
        <f>ROUND(G35*I35,2)</f>
        <v>0</v>
      </c>
      <c r="M35" s="46">
        <f>ROUND(G35*J35,2)</f>
        <v>0</v>
      </c>
      <c r="N35" s="41">
        <f>SUM(K35:M35)</f>
        <v>0</v>
      </c>
      <c r="O35" s="41"/>
      <c r="Q35" s="4"/>
      <c r="R35" s="4"/>
      <c r="S35" s="4"/>
      <c r="T35" s="4"/>
      <c r="U35" s="48"/>
      <c r="V35" s="4"/>
      <c r="W35" s="4"/>
      <c r="X35" s="4"/>
      <c r="Y35" s="4"/>
      <c r="Z35" s="4"/>
      <c r="AA35" s="4"/>
      <c r="AB35" s="4"/>
      <c r="AC35" s="58"/>
      <c r="AD35" t="s">
        <v>51</v>
      </c>
      <c r="AG35" s="21">
        <v>0</v>
      </c>
      <c r="AK35" t="s">
        <v>102</v>
      </c>
    </row>
    <row r="36" spans="2:37" ht="12.2" customHeight="1" x14ac:dyDescent="0.2">
      <c r="B36" s="36"/>
      <c r="D36" s="37"/>
      <c r="F36" s="38"/>
      <c r="G36" s="39"/>
      <c r="H36" s="45"/>
      <c r="I36" s="45"/>
      <c r="J36" s="45"/>
      <c r="M36" s="4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1"/>
      <c r="AG36" s="21"/>
    </row>
    <row r="37" spans="2:37" ht="15.75" x14ac:dyDescent="0.25">
      <c r="B37" s="36" t="s">
        <v>103</v>
      </c>
      <c r="C37" s="14" t="s">
        <v>104</v>
      </c>
      <c r="D37" s="37" t="s">
        <v>24</v>
      </c>
      <c r="E37" s="11" t="s">
        <v>99</v>
      </c>
      <c r="F37" s="38" t="s">
        <v>100</v>
      </c>
      <c r="G37" s="49">
        <v>93626</v>
      </c>
      <c r="H37" s="45">
        <f t="shared" si="6"/>
        <v>0.2424</v>
      </c>
      <c r="I37" s="45">
        <f t="shared" ref="I37:I42" si="12">$I$33</f>
        <v>0.14752999999999999</v>
      </c>
      <c r="J37" s="45">
        <f t="shared" si="7"/>
        <v>8.0160000000000009E-2</v>
      </c>
      <c r="K37" s="41">
        <f t="shared" ref="K37:K42" si="13">ROUND(H37*G37,2)</f>
        <v>22694.94</v>
      </c>
      <c r="L37" s="41">
        <f t="shared" ref="L37:L42" si="14">ROUND(G37*I37,2)</f>
        <v>13812.64</v>
      </c>
      <c r="M37" s="46">
        <f t="shared" ref="M37:M41" si="15">ROUND(G37*J37,2)</f>
        <v>7505.06</v>
      </c>
      <c r="N37" s="42">
        <f>SUM(K37:M37)</f>
        <v>44012.639999999999</v>
      </c>
      <c r="O37" s="41">
        <v>0.01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1"/>
      <c r="AD37" t="s">
        <v>51</v>
      </c>
      <c r="AG37" s="21">
        <v>0</v>
      </c>
      <c r="AK37" t="s">
        <v>102</v>
      </c>
    </row>
    <row r="38" spans="2:37" ht="15.75" x14ac:dyDescent="0.25">
      <c r="B38" s="36" t="s">
        <v>103</v>
      </c>
      <c r="C38" s="14" t="s">
        <v>82</v>
      </c>
      <c r="D38" s="37">
        <v>5</v>
      </c>
      <c r="E38" s="11" t="s">
        <v>99</v>
      </c>
      <c r="F38" s="38" t="s">
        <v>100</v>
      </c>
      <c r="G38" s="57">
        <v>-93626</v>
      </c>
      <c r="H38" s="45">
        <f t="shared" si="6"/>
        <v>0.2424</v>
      </c>
      <c r="I38" s="45">
        <f t="shared" si="12"/>
        <v>0.14752999999999999</v>
      </c>
      <c r="J38" s="45">
        <f t="shared" si="7"/>
        <v>8.0160000000000009E-2</v>
      </c>
      <c r="K38" s="41">
        <f t="shared" si="13"/>
        <v>-22694.94</v>
      </c>
      <c r="L38" s="41">
        <f t="shared" si="14"/>
        <v>-13812.64</v>
      </c>
      <c r="M38" s="46">
        <f t="shared" si="15"/>
        <v>-7505.06</v>
      </c>
      <c r="N38" s="42">
        <f t="shared" ref="N38:N42" si="16">SUM(K38:M38)</f>
        <v>-44012.639999999999</v>
      </c>
      <c r="O38" s="4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8"/>
      <c r="AD38" t="s">
        <v>51</v>
      </c>
      <c r="AG38" s="21">
        <v>0</v>
      </c>
      <c r="AK38" t="s">
        <v>101</v>
      </c>
    </row>
    <row r="39" spans="2:37" ht="15.75" x14ac:dyDescent="0.25">
      <c r="B39" s="36" t="s">
        <v>103</v>
      </c>
      <c r="C39" s="14" t="s">
        <v>105</v>
      </c>
      <c r="D39" s="37">
        <v>5</v>
      </c>
      <c r="E39" s="11" t="s">
        <v>99</v>
      </c>
      <c r="F39" s="38" t="s">
        <v>100</v>
      </c>
      <c r="G39" s="57">
        <v>111442</v>
      </c>
      <c r="H39" s="45">
        <f t="shared" si="6"/>
        <v>0.2424</v>
      </c>
      <c r="I39" s="45">
        <f t="shared" si="12"/>
        <v>0.14752999999999999</v>
      </c>
      <c r="J39" s="45">
        <f t="shared" si="7"/>
        <v>8.0160000000000009E-2</v>
      </c>
      <c r="K39" s="41">
        <f t="shared" si="13"/>
        <v>27013.54</v>
      </c>
      <c r="L39" s="41">
        <f t="shared" si="14"/>
        <v>16441.04</v>
      </c>
      <c r="M39" s="46">
        <f t="shared" si="15"/>
        <v>8933.19</v>
      </c>
      <c r="N39" s="42">
        <f t="shared" si="16"/>
        <v>52387.770000000004</v>
      </c>
      <c r="O39" s="41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8"/>
      <c r="AD39" t="s">
        <v>51</v>
      </c>
      <c r="AG39" s="21">
        <v>0</v>
      </c>
      <c r="AK39" t="s">
        <v>101</v>
      </c>
    </row>
    <row r="40" spans="2:37" ht="15" x14ac:dyDescent="0.2">
      <c r="B40" s="36" t="s">
        <v>106</v>
      </c>
      <c r="C40" s="14" t="s">
        <v>107</v>
      </c>
      <c r="D40" s="37">
        <v>5</v>
      </c>
      <c r="E40" s="11" t="s">
        <v>108</v>
      </c>
      <c r="F40" s="38" t="s">
        <v>109</v>
      </c>
      <c r="G40" s="39"/>
      <c r="H40" s="45">
        <f t="shared" si="6"/>
        <v>0.2424</v>
      </c>
      <c r="I40" s="45">
        <f t="shared" si="12"/>
        <v>0.14752999999999999</v>
      </c>
      <c r="J40" s="45">
        <f t="shared" si="7"/>
        <v>8.0160000000000009E-2</v>
      </c>
      <c r="K40" s="41">
        <f t="shared" si="13"/>
        <v>0</v>
      </c>
      <c r="L40" s="41">
        <f t="shared" si="14"/>
        <v>0</v>
      </c>
      <c r="M40" s="46">
        <f t="shared" si="15"/>
        <v>0</v>
      </c>
      <c r="N40" s="42">
        <f t="shared" si="16"/>
        <v>0</v>
      </c>
      <c r="O40" s="41">
        <v>-0.01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21"/>
      <c r="AD40" t="s">
        <v>51</v>
      </c>
      <c r="AG40" s="21">
        <v>0</v>
      </c>
      <c r="AK40" t="s">
        <v>110</v>
      </c>
    </row>
    <row r="41" spans="2:37" ht="15" x14ac:dyDescent="0.2">
      <c r="B41" s="36" t="s">
        <v>103</v>
      </c>
      <c r="C41" s="14" t="s">
        <v>82</v>
      </c>
      <c r="D41" s="37">
        <v>5</v>
      </c>
      <c r="E41" s="11" t="s">
        <v>108</v>
      </c>
      <c r="F41" s="38" t="s">
        <v>109</v>
      </c>
      <c r="G41" s="62">
        <v>0</v>
      </c>
      <c r="H41" s="45">
        <f t="shared" si="6"/>
        <v>0.2424</v>
      </c>
      <c r="I41" s="45">
        <f t="shared" si="12"/>
        <v>0.14752999999999999</v>
      </c>
      <c r="J41" s="45">
        <f t="shared" si="7"/>
        <v>8.0160000000000009E-2</v>
      </c>
      <c r="K41" s="41">
        <f>ROUND(H41*G41,2)</f>
        <v>0</v>
      </c>
      <c r="L41" s="41">
        <f t="shared" si="14"/>
        <v>0</v>
      </c>
      <c r="M41" s="46">
        <f t="shared" si="15"/>
        <v>0</v>
      </c>
      <c r="N41" s="42">
        <f t="shared" si="16"/>
        <v>0</v>
      </c>
      <c r="O41" s="41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58"/>
      <c r="AD41" t="s">
        <v>51</v>
      </c>
      <c r="AG41" s="21">
        <v>0</v>
      </c>
      <c r="AK41" t="s">
        <v>101</v>
      </c>
    </row>
    <row r="42" spans="2:37" ht="15" x14ac:dyDescent="0.2">
      <c r="B42" s="36" t="s">
        <v>103</v>
      </c>
      <c r="C42" s="14" t="s">
        <v>105</v>
      </c>
      <c r="D42" s="37">
        <v>5</v>
      </c>
      <c r="E42" s="11" t="s">
        <v>108</v>
      </c>
      <c r="F42" s="38" t="s">
        <v>109</v>
      </c>
      <c r="G42" s="62">
        <v>0</v>
      </c>
      <c r="H42" s="45">
        <f t="shared" si="6"/>
        <v>0.2424</v>
      </c>
      <c r="I42" s="45">
        <f t="shared" si="12"/>
        <v>0.14752999999999999</v>
      </c>
      <c r="J42" s="45">
        <f t="shared" si="7"/>
        <v>8.0160000000000009E-2</v>
      </c>
      <c r="K42" s="41">
        <f t="shared" si="13"/>
        <v>0</v>
      </c>
      <c r="L42" s="41">
        <f t="shared" si="14"/>
        <v>0</v>
      </c>
      <c r="M42" s="46">
        <f>ROUND(G42*J42,2)</f>
        <v>0</v>
      </c>
      <c r="N42" s="42">
        <f t="shared" si="16"/>
        <v>0</v>
      </c>
      <c r="O42" s="41">
        <v>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8"/>
      <c r="AD42" t="s">
        <v>51</v>
      </c>
      <c r="AG42" s="21">
        <v>0</v>
      </c>
      <c r="AK42" t="s">
        <v>101</v>
      </c>
    </row>
    <row r="43" spans="2:37" ht="12.2" customHeight="1" x14ac:dyDescent="0.2">
      <c r="B43" s="36"/>
      <c r="D43" s="37"/>
      <c r="F43" s="38"/>
      <c r="G43" s="63"/>
      <c r="H43" s="45"/>
      <c r="I43" s="45"/>
      <c r="J43" s="45"/>
      <c r="K43" s="41"/>
      <c r="L43" s="41"/>
      <c r="M43" s="46"/>
      <c r="N43" s="41"/>
      <c r="O43" s="4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58"/>
      <c r="AG43" s="21"/>
    </row>
    <row r="44" spans="2:37" ht="14.25" x14ac:dyDescent="0.2">
      <c r="B44" s="36" t="s">
        <v>106</v>
      </c>
      <c r="C44" s="14" t="s">
        <v>111</v>
      </c>
      <c r="D44" s="37">
        <v>6</v>
      </c>
      <c r="E44" s="11" t="s">
        <v>99</v>
      </c>
      <c r="F44" s="38"/>
      <c r="G44" s="64">
        <f>'[3]Core Billed Therms '!$J$88</f>
        <v>0</v>
      </c>
      <c r="H44" s="45">
        <f t="shared" si="6"/>
        <v>0.2424</v>
      </c>
      <c r="I44" s="45">
        <f>$I$33</f>
        <v>0.14752999999999999</v>
      </c>
      <c r="J44" s="45">
        <f t="shared" si="7"/>
        <v>8.0160000000000009E-2</v>
      </c>
      <c r="K44" s="41">
        <f>ROUND(H44*G44,2)</f>
        <v>0</v>
      </c>
      <c r="L44" s="41">
        <f>ROUND(G44*I44,2)</f>
        <v>0</v>
      </c>
      <c r="M44" s="46">
        <f>ROUND(G44*J44,2)</f>
        <v>0</v>
      </c>
      <c r="N44" s="41">
        <f>SUM(K44:M44)</f>
        <v>0</v>
      </c>
      <c r="O44" s="4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1"/>
      <c r="AD44" t="s">
        <v>51</v>
      </c>
      <c r="AG44" s="21">
        <v>0</v>
      </c>
      <c r="AK44" t="s">
        <v>112</v>
      </c>
    </row>
    <row r="45" spans="2:37" ht="12.2" customHeight="1" x14ac:dyDescent="0.2">
      <c r="B45" s="36"/>
      <c r="D45" s="37"/>
      <c r="G45" s="64"/>
      <c r="J45" s="65"/>
      <c r="K45" s="41"/>
      <c r="L45" s="41"/>
      <c r="M45" s="46"/>
      <c r="N45" s="41"/>
      <c r="O45" s="41"/>
      <c r="AC45" s="21"/>
      <c r="AG45" s="21"/>
    </row>
    <row r="46" spans="2:37" ht="15" x14ac:dyDescent="0.25">
      <c r="B46" s="66"/>
      <c r="D46" s="67"/>
      <c r="E46" s="68"/>
      <c r="F46" s="11" t="s">
        <v>115</v>
      </c>
      <c r="G46" s="69">
        <f>SUM(G9:G45)</f>
        <v>10116547</v>
      </c>
      <c r="H46" s="70" t="s">
        <v>114</v>
      </c>
      <c r="K46" s="71">
        <f>SUM(K9:K45)</f>
        <v>2452250.9899999998</v>
      </c>
      <c r="L46" s="72">
        <f>SUM(L9:L45)</f>
        <v>1747582.58</v>
      </c>
      <c r="M46" s="73">
        <f>SUM(M9:M45)</f>
        <v>544001.19999999984</v>
      </c>
      <c r="N46" s="74">
        <f>SUM(N9:N45)</f>
        <v>4743834.7699999986</v>
      </c>
      <c r="O46" s="75">
        <v>0.03</v>
      </c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21"/>
      <c r="AG46" s="21"/>
    </row>
    <row r="47" spans="2:37" ht="14.25" x14ac:dyDescent="0.2">
      <c r="C47" s="3"/>
      <c r="D47" s="67"/>
      <c r="F47" s="11" t="s">
        <v>113</v>
      </c>
      <c r="G47" s="69"/>
      <c r="K47" s="74"/>
      <c r="L47" s="74"/>
      <c r="M47" s="74"/>
      <c r="N47" s="74"/>
      <c r="O47" s="74"/>
      <c r="Q47" s="74">
        <f>-N46</f>
        <v>-4743834.7699999986</v>
      </c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3" t="s">
        <v>117</v>
      </c>
      <c r="AD47" t="s">
        <v>51</v>
      </c>
      <c r="AG47" s="21">
        <v>0</v>
      </c>
      <c r="AK47" t="s">
        <v>118</v>
      </c>
    </row>
    <row r="48" spans="2:37" ht="15" x14ac:dyDescent="0.25">
      <c r="F48" s="76" t="s">
        <v>119</v>
      </c>
      <c r="G48" s="77">
        <f>+G46+G47</f>
        <v>10116547</v>
      </c>
      <c r="H48" s="78"/>
      <c r="K48" s="74">
        <f>SUM(K46:K47)</f>
        <v>2452250.9899999998</v>
      </c>
      <c r="L48" s="74">
        <f>SUM(L46:L47)</f>
        <v>1747582.58</v>
      </c>
      <c r="M48" s="74">
        <f>SUM(M46:M47)</f>
        <v>544001.19999999984</v>
      </c>
      <c r="N48" s="74">
        <f>SUM(N46:N47)</f>
        <v>4743834.7699999986</v>
      </c>
      <c r="O48" s="74"/>
      <c r="P48" s="41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E48" s="21"/>
    </row>
    <row r="49" spans="6:15" ht="21.75" customHeight="1" x14ac:dyDescent="0.25">
      <c r="G49" s="80"/>
      <c r="K49" s="74"/>
      <c r="L49" s="81"/>
      <c r="M49" s="74"/>
      <c r="N49" s="74"/>
      <c r="O49" s="74"/>
    </row>
    <row r="50" spans="6:15" ht="21.75" customHeight="1" x14ac:dyDescent="0.2">
      <c r="G50" s="82"/>
      <c r="H50" s="83"/>
      <c r="L50" s="84"/>
      <c r="M50" s="41"/>
      <c r="N50" s="41"/>
      <c r="O50" s="41"/>
    </row>
    <row r="51" spans="6:15" x14ac:dyDescent="0.2">
      <c r="H51" s="83"/>
      <c r="L51" s="86"/>
      <c r="N51" s="81"/>
      <c r="O51" s="81"/>
    </row>
    <row r="52" spans="6:15" x14ac:dyDescent="0.2">
      <c r="F52" s="11" t="s">
        <v>120</v>
      </c>
      <c r="L52" s="87"/>
      <c r="N52" s="88"/>
      <c r="O52" s="88"/>
    </row>
    <row r="53" spans="6:15" x14ac:dyDescent="0.2">
      <c r="L53" s="87"/>
      <c r="M53" s="89"/>
    </row>
    <row r="54" spans="6:15" x14ac:dyDescent="0.2">
      <c r="L54" s="87"/>
      <c r="M54" s="89"/>
      <c r="N54" s="5"/>
      <c r="O54" s="5"/>
    </row>
    <row r="55" spans="6:15" x14ac:dyDescent="0.2">
      <c r="L55" s="87"/>
      <c r="M55" s="89"/>
      <c r="N55" s="90"/>
      <c r="O55" s="90"/>
    </row>
    <row r="56" spans="6:15" x14ac:dyDescent="0.2">
      <c r="L56" s="87"/>
      <c r="M56" s="89"/>
      <c r="N56" s="90"/>
      <c r="O56" s="90"/>
    </row>
    <row r="57" spans="6:15" x14ac:dyDescent="0.2">
      <c r="L57" s="87"/>
      <c r="M57" s="90"/>
      <c r="N57" s="89"/>
      <c r="O57" s="89"/>
    </row>
    <row r="58" spans="6:15" x14ac:dyDescent="0.2">
      <c r="L58" s="91"/>
      <c r="N58" s="92"/>
      <c r="O58" s="92"/>
    </row>
    <row r="59" spans="6:15" x14ac:dyDescent="0.2">
      <c r="L59" s="86"/>
      <c r="N59" s="93"/>
      <c r="O59" s="93"/>
    </row>
    <row r="71" spans="2:37" s="61" customFormat="1" x14ac:dyDescent="0.2">
      <c r="B71" s="3"/>
      <c r="C71" s="14"/>
      <c r="D71" s="11"/>
      <c r="E71" s="11"/>
      <c r="F71" s="11"/>
      <c r="G71" s="85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7"/>
      <c r="D106" s="67"/>
    </row>
    <row r="107" spans="2:28" x14ac:dyDescent="0.2">
      <c r="B107" s="7"/>
      <c r="D107" s="67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</row>
    <row r="108" spans="2:28" x14ac:dyDescent="0.2"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</row>
    <row r="109" spans="2:28" x14ac:dyDescent="0.2">
      <c r="D109" s="67"/>
    </row>
    <row r="110" spans="2:28" x14ac:dyDescent="0.2">
      <c r="D110" s="6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18E2-6054-4F85-A0A1-DD3391747492}">
  <sheetPr codeName="Sheet3">
    <tabColor theme="4" tint="0.79998168889431442"/>
  </sheetPr>
  <dimension ref="B1:AG71"/>
  <sheetViews>
    <sheetView showGridLines="0" zoomScaleNormal="100" zoomScaleSheetLayoutView="100" workbookViewId="0">
      <pane xSplit="6" topLeftCell="G1" activePane="topRight" state="frozen"/>
      <selection activeCell="B6" sqref="B6"/>
      <selection pane="topRight" activeCell="B3" sqref="B3"/>
    </sheetView>
  </sheetViews>
  <sheetFormatPr defaultColWidth="9.140625" defaultRowHeight="14.1" customHeight="1" x14ac:dyDescent="0.25"/>
  <cols>
    <col min="1" max="1" width="1.7109375" style="8" customWidth="1"/>
    <col min="2" max="2" width="3.42578125" style="104" customWidth="1"/>
    <col min="3" max="3" width="5.5703125" style="104" customWidth="1"/>
    <col min="4" max="4" width="6.42578125" style="104" customWidth="1"/>
    <col min="5" max="5" width="8.85546875" style="220" customWidth="1"/>
    <col min="6" max="6" width="29.5703125" style="8" customWidth="1"/>
    <col min="7" max="7" width="11.140625" style="8" bestFit="1" customWidth="1"/>
    <col min="8" max="8" width="14.5703125" style="107" bestFit="1" customWidth="1"/>
    <col min="9" max="9" width="2.7109375" style="8" customWidth="1"/>
    <col min="10" max="10" width="12.7109375" style="8" bestFit="1" customWidth="1"/>
    <col min="11" max="11" width="16.85546875" style="107" bestFit="1" customWidth="1"/>
    <col min="12" max="12" width="2.7109375" style="8" customWidth="1"/>
    <col min="13" max="13" width="13.42578125" style="8" bestFit="1" customWidth="1"/>
    <col min="14" max="14" width="16.28515625" style="107" customWidth="1"/>
    <col min="15" max="15" width="3" style="8" customWidth="1"/>
    <col min="16" max="16" width="12.85546875" style="114" bestFit="1" customWidth="1"/>
    <col min="17" max="17" width="17.42578125" style="114" customWidth="1"/>
    <col min="18" max="18" width="3.7109375" style="114" customWidth="1"/>
    <col min="19" max="19" width="12.85546875" style="114" bestFit="1" customWidth="1"/>
    <col min="20" max="20" width="16.85546875" style="114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.85546875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4.8554687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03" t="s">
        <v>124</v>
      </c>
      <c r="D1" s="105"/>
      <c r="E1" s="105"/>
      <c r="F1" s="105"/>
      <c r="G1" s="106"/>
      <c r="I1" s="108"/>
      <c r="K1" s="109"/>
      <c r="O1" s="108"/>
      <c r="P1" s="110"/>
      <c r="Q1" s="111"/>
      <c r="R1" s="110"/>
      <c r="S1" s="110"/>
      <c r="T1" s="110"/>
      <c r="U1" s="108"/>
      <c r="W1" s="344">
        <f>B2-31</f>
        <v>43702</v>
      </c>
      <c r="X1" s="344"/>
      <c r="Y1" s="344"/>
    </row>
    <row r="2" spans="2:33" ht="15" customHeight="1" x14ac:dyDescent="0.25">
      <c r="B2" s="348">
        <v>43733</v>
      </c>
      <c r="C2" s="348"/>
      <c r="D2" s="348"/>
      <c r="E2" s="348"/>
      <c r="G2" s="349" t="s">
        <v>12</v>
      </c>
      <c r="H2" s="349"/>
      <c r="I2" s="108"/>
      <c r="J2" s="350" t="s">
        <v>125</v>
      </c>
      <c r="K2" s="350"/>
      <c r="L2" s="350"/>
      <c r="M2" s="350"/>
      <c r="N2" s="350"/>
      <c r="O2" s="108"/>
      <c r="P2" s="351" t="s">
        <v>126</v>
      </c>
      <c r="Q2" s="351"/>
      <c r="R2" s="351"/>
      <c r="S2" s="351"/>
      <c r="T2" s="351"/>
      <c r="U2" s="108"/>
      <c r="W2" s="352" t="s">
        <v>127</v>
      </c>
      <c r="X2" s="352"/>
      <c r="Y2" s="352"/>
    </row>
    <row r="3" spans="2:33" ht="15" x14ac:dyDescent="0.25">
      <c r="E3" s="112"/>
      <c r="H3" s="113"/>
      <c r="I3" s="108"/>
      <c r="K3" s="109"/>
      <c r="O3" s="108"/>
      <c r="U3" s="115"/>
      <c r="W3" s="344">
        <f>B2</f>
        <v>43733</v>
      </c>
      <c r="X3" s="344"/>
      <c r="Y3" s="344"/>
      <c r="Z3" s="116"/>
      <c r="AB3" s="345" t="s">
        <v>128</v>
      </c>
      <c r="AC3" s="345"/>
      <c r="AD3" s="117"/>
    </row>
    <row r="4" spans="2:33" ht="16.5" customHeight="1" x14ac:dyDescent="0.25">
      <c r="B4" s="118"/>
      <c r="C4" s="118"/>
      <c r="D4" s="118"/>
      <c r="E4" s="119"/>
      <c r="F4" s="120" t="s">
        <v>129</v>
      </c>
      <c r="I4" s="108"/>
      <c r="J4" s="346" t="s">
        <v>130</v>
      </c>
      <c r="K4" s="346"/>
      <c r="L4" s="121"/>
      <c r="M4" s="346" t="s">
        <v>131</v>
      </c>
      <c r="N4" s="346"/>
      <c r="O4" s="122"/>
      <c r="P4" s="347" t="s">
        <v>130</v>
      </c>
      <c r="Q4" s="347"/>
      <c r="R4" s="123"/>
      <c r="S4" s="347" t="s">
        <v>131</v>
      </c>
      <c r="T4" s="347"/>
      <c r="U4" s="122"/>
      <c r="V4" s="346" t="s">
        <v>130</v>
      </c>
      <c r="W4" s="346"/>
      <c r="X4" s="121"/>
      <c r="Y4" s="346" t="s">
        <v>131</v>
      </c>
      <c r="Z4" s="346"/>
      <c r="AB4" s="124" t="s">
        <v>2</v>
      </c>
      <c r="AC4" s="124" t="s">
        <v>8</v>
      </c>
      <c r="AD4" s="124"/>
    </row>
    <row r="5" spans="2:33" s="7" customFormat="1" ht="15.75" customHeight="1" x14ac:dyDescent="0.2">
      <c r="B5" s="343" t="s">
        <v>132</v>
      </c>
      <c r="C5" s="343"/>
      <c r="D5" s="343"/>
      <c r="E5" s="343"/>
      <c r="F5" s="125"/>
      <c r="G5" s="126" t="s">
        <v>35</v>
      </c>
      <c r="H5" s="127" t="s">
        <v>133</v>
      </c>
      <c r="I5" s="108"/>
      <c r="J5" s="128" t="s">
        <v>35</v>
      </c>
      <c r="K5" s="129" t="s">
        <v>133</v>
      </c>
      <c r="L5" s="130"/>
      <c r="M5" s="128" t="s">
        <v>35</v>
      </c>
      <c r="N5" s="129" t="s">
        <v>133</v>
      </c>
      <c r="O5" s="108"/>
      <c r="P5" s="131" t="s">
        <v>35</v>
      </c>
      <c r="Q5" s="132" t="s">
        <v>133</v>
      </c>
      <c r="R5" s="130"/>
      <c r="S5" s="130" t="s">
        <v>35</v>
      </c>
      <c r="T5" s="133" t="s">
        <v>133</v>
      </c>
      <c r="U5" s="108"/>
      <c r="V5" s="128" t="s">
        <v>134</v>
      </c>
      <c r="W5" s="133" t="s">
        <v>133</v>
      </c>
      <c r="X5" s="130"/>
      <c r="Y5" s="134" t="s">
        <v>134</v>
      </c>
      <c r="Z5" s="133" t="s">
        <v>133</v>
      </c>
      <c r="AB5" s="135" t="s">
        <v>133</v>
      </c>
      <c r="AC5" s="135" t="s">
        <v>133</v>
      </c>
      <c r="AD5" s="135"/>
    </row>
    <row r="6" spans="2:33" ht="14.25" customHeight="1" x14ac:dyDescent="0.25">
      <c r="B6" s="136" t="s">
        <v>135</v>
      </c>
      <c r="C6" s="137">
        <v>6011</v>
      </c>
      <c r="D6" s="137">
        <v>28040</v>
      </c>
      <c r="E6" s="138">
        <v>671010</v>
      </c>
      <c r="F6" s="7" t="s">
        <v>136</v>
      </c>
      <c r="G6" s="139" t="s">
        <v>137</v>
      </c>
      <c r="H6" s="140">
        <f>K6+N6</f>
        <v>0</v>
      </c>
      <c r="I6" s="108"/>
      <c r="J6" s="141"/>
      <c r="K6" s="142">
        <f>+Q6+W6</f>
        <v>0</v>
      </c>
      <c r="L6" s="143" t="s">
        <v>138</v>
      </c>
      <c r="M6" s="141"/>
      <c r="N6" s="142">
        <f>+T6+Z6</f>
        <v>0</v>
      </c>
      <c r="O6" s="108" t="s">
        <v>138</v>
      </c>
      <c r="P6" s="141"/>
      <c r="Q6" s="144"/>
      <c r="R6" s="7"/>
      <c r="S6" s="141"/>
      <c r="T6" s="144"/>
      <c r="U6" s="108"/>
      <c r="V6" s="145"/>
      <c r="W6" s="144"/>
      <c r="Y6" s="106"/>
      <c r="Z6" s="144"/>
      <c r="AE6" s="146">
        <v>671010</v>
      </c>
    </row>
    <row r="7" spans="2:33" ht="14.25" customHeight="1" x14ac:dyDescent="0.25">
      <c r="B7" s="136" t="s">
        <v>135</v>
      </c>
      <c r="C7" s="137">
        <v>6011</v>
      </c>
      <c r="D7" s="137">
        <v>28040</v>
      </c>
      <c r="E7" s="138">
        <v>671030</v>
      </c>
      <c r="F7" s="7" t="s">
        <v>139</v>
      </c>
      <c r="G7" s="139" t="s">
        <v>137</v>
      </c>
      <c r="H7" s="140">
        <f t="shared" ref="H7:H13" si="0">+K7+N7</f>
        <v>405643.66</v>
      </c>
      <c r="I7" s="108"/>
      <c r="J7" s="141"/>
      <c r="K7" s="142">
        <f>+Q7+W7</f>
        <v>246221.49999999997</v>
      </c>
      <c r="L7" s="143" t="s">
        <v>138</v>
      </c>
      <c r="M7" s="141"/>
      <c r="N7" s="142">
        <f>+T7+Z7</f>
        <v>159422.16</v>
      </c>
      <c r="O7" s="108" t="s">
        <v>138</v>
      </c>
      <c r="P7" s="147"/>
      <c r="Q7" s="148">
        <f>246367.96-3415.89</f>
        <v>242952.06999999998</v>
      </c>
      <c r="R7" s="7"/>
      <c r="S7" s="147"/>
      <c r="T7" s="148">
        <v>160191.76</v>
      </c>
      <c r="U7" s="108"/>
      <c r="V7" s="145"/>
      <c r="W7" s="148">
        <v>3269.43</v>
      </c>
      <c r="X7" s="114"/>
      <c r="Y7" s="149"/>
      <c r="Z7" s="148">
        <v>-769.6</v>
      </c>
      <c r="AE7" s="146">
        <v>671030</v>
      </c>
    </row>
    <row r="8" spans="2:33" ht="14.25" customHeight="1" x14ac:dyDescent="0.25">
      <c r="B8" s="136" t="s">
        <v>135</v>
      </c>
      <c r="C8" s="137">
        <v>6011</v>
      </c>
      <c r="D8" s="137">
        <v>28040</v>
      </c>
      <c r="E8" s="138">
        <v>671050</v>
      </c>
      <c r="F8" s="7" t="s">
        <v>140</v>
      </c>
      <c r="G8" s="150">
        <f t="shared" ref="G8:G14" si="1">+J8+M8</f>
        <v>17008850</v>
      </c>
      <c r="H8" s="140">
        <f t="shared" si="0"/>
        <v>3479082.5</v>
      </c>
      <c r="I8" s="108"/>
      <c r="J8" s="151">
        <f>+P8+V8</f>
        <v>13435174</v>
      </c>
      <c r="K8" s="152">
        <f>+Q8+W8</f>
        <v>2764864.78</v>
      </c>
      <c r="L8" s="143" t="s">
        <v>141</v>
      </c>
      <c r="M8" s="7">
        <f>+S8+Y8</f>
        <v>3573676</v>
      </c>
      <c r="N8" s="153">
        <f>+T8+Z8</f>
        <v>714217.72</v>
      </c>
      <c r="O8" s="108" t="s">
        <v>141</v>
      </c>
      <c r="P8" s="154">
        <v>13435174</v>
      </c>
      <c r="Q8" s="155">
        <f>500+2740365+12000+12000</f>
        <v>2764865</v>
      </c>
      <c r="R8" s="7"/>
      <c r="S8" s="154">
        <v>3573676</v>
      </c>
      <c r="T8" s="155">
        <v>714217.5</v>
      </c>
      <c r="U8" s="108"/>
      <c r="V8" s="156"/>
      <c r="W8" s="155">
        <v>-0.22</v>
      </c>
      <c r="X8" s="114"/>
      <c r="Y8" s="157"/>
      <c r="Z8" s="155">
        <v>0.22</v>
      </c>
      <c r="AB8" s="158">
        <v>0</v>
      </c>
      <c r="AC8" s="158">
        <v>0</v>
      </c>
      <c r="AE8" s="159">
        <v>671050</v>
      </c>
    </row>
    <row r="9" spans="2:33" ht="14.25" customHeight="1" x14ac:dyDescent="0.25">
      <c r="B9" s="136" t="s">
        <v>135</v>
      </c>
      <c r="C9" s="137">
        <v>6011</v>
      </c>
      <c r="D9" s="137">
        <v>28040</v>
      </c>
      <c r="E9" s="138">
        <v>671051</v>
      </c>
      <c r="F9" s="7" t="s">
        <v>142</v>
      </c>
      <c r="G9" s="139" t="s">
        <v>137</v>
      </c>
      <c r="H9" s="140">
        <f t="shared" si="0"/>
        <v>0</v>
      </c>
      <c r="I9" s="108"/>
      <c r="J9" s="160"/>
      <c r="K9" s="153">
        <f t="shared" ref="J9:K14" si="2">+Q9+W9</f>
        <v>0</v>
      </c>
      <c r="L9" s="143" t="s">
        <v>141</v>
      </c>
      <c r="M9" s="161"/>
      <c r="N9" s="153">
        <f>+T9+Z9</f>
        <v>0</v>
      </c>
      <c r="O9" s="108" t="s">
        <v>141</v>
      </c>
      <c r="P9" s="147"/>
      <c r="Q9" s="155"/>
      <c r="R9" s="7"/>
      <c r="S9" s="147"/>
      <c r="T9" s="155"/>
      <c r="U9" s="108"/>
      <c r="V9" s="162"/>
      <c r="W9" s="155"/>
      <c r="X9" s="149"/>
      <c r="Y9" s="163"/>
      <c r="Z9" s="155"/>
      <c r="AE9" s="159">
        <v>671051</v>
      </c>
    </row>
    <row r="10" spans="2:33" ht="14.25" customHeight="1" x14ac:dyDescent="0.25">
      <c r="B10" s="136" t="s">
        <v>135</v>
      </c>
      <c r="C10" s="137">
        <v>6011</v>
      </c>
      <c r="D10" s="137">
        <v>28040</v>
      </c>
      <c r="E10" s="138">
        <v>671070</v>
      </c>
      <c r="F10" s="7" t="s">
        <v>143</v>
      </c>
      <c r="G10" s="150">
        <f t="shared" si="1"/>
        <v>-175150</v>
      </c>
      <c r="H10" s="140">
        <f>+K10+N10</f>
        <v>-1915.7999999999811</v>
      </c>
      <c r="I10" s="108"/>
      <c r="J10" s="151">
        <f t="shared" si="2"/>
        <v>-148234</v>
      </c>
      <c r="K10" s="153">
        <f t="shared" si="2"/>
        <v>-15964.829999999987</v>
      </c>
      <c r="L10" s="143" t="s">
        <v>141</v>
      </c>
      <c r="M10" s="7">
        <f>+S10+Y10</f>
        <v>-26916</v>
      </c>
      <c r="N10" s="153">
        <f>+T10+Z10</f>
        <v>14049.030000000006</v>
      </c>
      <c r="O10" s="164" t="s">
        <v>141</v>
      </c>
      <c r="P10" s="154">
        <f>1249294-1397528</f>
        <v>-148234</v>
      </c>
      <c r="Q10" s="165">
        <f>229601.73-245566.56</f>
        <v>-15964.829999999987</v>
      </c>
      <c r="R10" s="7"/>
      <c r="S10" s="154">
        <f>+-444272+417356</f>
        <v>-26916</v>
      </c>
      <c r="T10" s="155">
        <f>+-78065.25+76703.85-3302.23+6604.47-2201.49+4402.98+11007.45-5503.73-4402.98+8805.96</f>
        <v>14049.030000000006</v>
      </c>
      <c r="U10" s="108"/>
      <c r="V10" s="162"/>
      <c r="W10" s="155"/>
      <c r="X10" s="149">
        <v>0</v>
      </c>
      <c r="Y10" s="163"/>
      <c r="Z10" s="155"/>
      <c r="AE10" s="159">
        <v>671070</v>
      </c>
    </row>
    <row r="11" spans="2:33" ht="14.25" customHeight="1" x14ac:dyDescent="0.25">
      <c r="B11" s="166" t="s">
        <v>135</v>
      </c>
      <c r="C11" s="167">
        <v>6011</v>
      </c>
      <c r="D11" s="167">
        <v>28081</v>
      </c>
      <c r="E11" s="168">
        <v>671050</v>
      </c>
      <c r="F11" s="169" t="s">
        <v>144</v>
      </c>
      <c r="G11" s="150">
        <f t="shared" si="1"/>
        <v>0</v>
      </c>
      <c r="H11" s="140">
        <f t="shared" si="0"/>
        <v>0</v>
      </c>
      <c r="I11" s="108"/>
      <c r="J11" s="151">
        <f t="shared" si="2"/>
        <v>0</v>
      </c>
      <c r="K11" s="153">
        <f t="shared" si="2"/>
        <v>0</v>
      </c>
      <c r="L11" s="143" t="s">
        <v>141</v>
      </c>
      <c r="M11" s="7">
        <f t="shared" ref="M11:N14" si="3">+S11+Y11</f>
        <v>0</v>
      </c>
      <c r="N11" s="153">
        <f t="shared" si="3"/>
        <v>0</v>
      </c>
      <c r="O11" s="108" t="s">
        <v>141</v>
      </c>
      <c r="P11" s="154">
        <v>0</v>
      </c>
      <c r="Q11" s="170">
        <v>0</v>
      </c>
      <c r="R11" s="171">
        <v>-1</v>
      </c>
      <c r="S11" s="154">
        <v>0</v>
      </c>
      <c r="T11" s="170">
        <v>0</v>
      </c>
      <c r="U11" s="172">
        <v>-4</v>
      </c>
      <c r="V11" s="162"/>
      <c r="W11" s="155"/>
      <c r="X11" s="149"/>
      <c r="Y11" s="163"/>
      <c r="Z11" s="155"/>
      <c r="AE11" s="168">
        <v>671050</v>
      </c>
      <c r="AF11" s="114"/>
    </row>
    <row r="12" spans="2:33" ht="14.25" customHeight="1" x14ac:dyDescent="0.25">
      <c r="B12" s="166" t="s">
        <v>135</v>
      </c>
      <c r="C12" s="167">
        <v>6011</v>
      </c>
      <c r="D12" s="167">
        <v>28082</v>
      </c>
      <c r="E12" s="168">
        <v>671050</v>
      </c>
      <c r="F12" s="169" t="s">
        <v>145</v>
      </c>
      <c r="G12" s="150">
        <f t="shared" si="1"/>
        <v>-3292130</v>
      </c>
      <c r="H12" s="140">
        <f t="shared" si="0"/>
        <v>-774648.2</v>
      </c>
      <c r="I12" s="108"/>
      <c r="J12" s="151">
        <f t="shared" si="2"/>
        <v>-3292130</v>
      </c>
      <c r="K12" s="153">
        <f t="shared" si="2"/>
        <v>-774648.2</v>
      </c>
      <c r="L12" s="143" t="s">
        <v>141</v>
      </c>
      <c r="M12" s="85">
        <f t="shared" si="3"/>
        <v>0</v>
      </c>
      <c r="N12" s="153">
        <f t="shared" si="3"/>
        <v>0</v>
      </c>
      <c r="O12" s="108" t="s">
        <v>141</v>
      </c>
      <c r="P12" s="154">
        <v>-3292130</v>
      </c>
      <c r="Q12" s="170">
        <v>-774648.2</v>
      </c>
      <c r="R12" s="171">
        <v>-2</v>
      </c>
      <c r="S12" s="173"/>
      <c r="T12" s="170"/>
      <c r="U12" s="172"/>
      <c r="V12" s="156"/>
      <c r="W12" s="155"/>
      <c r="X12" s="149"/>
      <c r="Y12" s="163"/>
      <c r="Z12" s="155"/>
      <c r="AE12" s="168">
        <v>671050</v>
      </c>
      <c r="AF12" s="114"/>
      <c r="AG12" s="154"/>
    </row>
    <row r="13" spans="2:33" ht="14.25" customHeight="1" x14ac:dyDescent="0.25">
      <c r="B13" s="166" t="s">
        <v>135</v>
      </c>
      <c r="C13" s="167">
        <v>6011</v>
      </c>
      <c r="D13" s="167">
        <v>28120</v>
      </c>
      <c r="E13" s="168">
        <v>671070</v>
      </c>
      <c r="F13" s="169" t="s">
        <v>146</v>
      </c>
      <c r="G13" s="150">
        <f t="shared" si="1"/>
        <v>-25661</v>
      </c>
      <c r="H13" s="140">
        <f t="shared" si="0"/>
        <v>-5926.02</v>
      </c>
      <c r="I13" s="108"/>
      <c r="J13" s="151">
        <f t="shared" si="2"/>
        <v>-20252</v>
      </c>
      <c r="K13" s="153">
        <f>+Q13+W13</f>
        <v>-4909.05</v>
      </c>
      <c r="L13" s="143" t="s">
        <v>141</v>
      </c>
      <c r="M13" s="7">
        <f t="shared" si="3"/>
        <v>-5409</v>
      </c>
      <c r="N13" s="153">
        <f t="shared" si="3"/>
        <v>-1016.97</v>
      </c>
      <c r="O13" s="108" t="s">
        <v>141</v>
      </c>
      <c r="P13" s="154">
        <v>-20252</v>
      </c>
      <c r="Q13" s="170">
        <v>-4909.05</v>
      </c>
      <c r="R13" s="171">
        <v>-3</v>
      </c>
      <c r="S13" s="174">
        <v>-5409</v>
      </c>
      <c r="T13" s="170">
        <v>-1016.97</v>
      </c>
      <c r="U13" s="172">
        <v>-5</v>
      </c>
      <c r="V13" s="162"/>
      <c r="W13" s="155"/>
      <c r="X13" s="149"/>
      <c r="Y13" s="163">
        <v>0</v>
      </c>
      <c r="Z13" s="155"/>
      <c r="AE13" s="168">
        <v>671070</v>
      </c>
    </row>
    <row r="14" spans="2:33" ht="14.25" customHeight="1" x14ac:dyDescent="0.25">
      <c r="B14" s="136" t="s">
        <v>135</v>
      </c>
      <c r="C14" s="137">
        <v>6011</v>
      </c>
      <c r="D14" s="137">
        <v>28040</v>
      </c>
      <c r="E14" s="138">
        <v>671100</v>
      </c>
      <c r="F14" s="7" t="s">
        <v>147</v>
      </c>
      <c r="G14" s="150">
        <f t="shared" si="1"/>
        <v>0</v>
      </c>
      <c r="H14" s="140">
        <f>+K14+N14</f>
        <v>0</v>
      </c>
      <c r="I14" s="108"/>
      <c r="J14" s="151">
        <f>+P14+V14</f>
        <v>0</v>
      </c>
      <c r="K14" s="153">
        <f t="shared" si="2"/>
        <v>0</v>
      </c>
      <c r="L14" s="143" t="s">
        <v>141</v>
      </c>
      <c r="M14" s="175">
        <f t="shared" si="3"/>
        <v>0</v>
      </c>
      <c r="N14" s="176">
        <f t="shared" si="3"/>
        <v>0</v>
      </c>
      <c r="O14" s="108" t="s">
        <v>141</v>
      </c>
      <c r="P14" s="177"/>
      <c r="Q14" s="178"/>
      <c r="R14" s="7"/>
      <c r="S14" s="177"/>
      <c r="T14" s="179"/>
      <c r="U14" s="108"/>
      <c r="V14" s="162"/>
      <c r="W14" s="155"/>
      <c r="X14" s="149"/>
      <c r="Y14" s="163"/>
      <c r="Z14" s="180"/>
      <c r="AE14" s="159">
        <v>671100</v>
      </c>
    </row>
    <row r="15" spans="2:33" ht="14.25" customHeight="1" x14ac:dyDescent="0.25">
      <c r="B15" s="136"/>
      <c r="C15" s="181"/>
      <c r="D15" s="181"/>
      <c r="E15" s="182"/>
      <c r="F15" s="183" t="s">
        <v>148</v>
      </c>
      <c r="G15" s="184">
        <f>SUM(G6:G14)</f>
        <v>13515909</v>
      </c>
      <c r="H15" s="185">
        <f>SUM(H6:H14)</f>
        <v>3102236.14</v>
      </c>
      <c r="I15" s="108"/>
      <c r="J15" s="186">
        <f>SUM(J6:J14)</f>
        <v>9974558</v>
      </c>
      <c r="K15" s="95">
        <f>SUM(K6:K14)</f>
        <v>2215564.2000000002</v>
      </c>
      <c r="L15" s="143"/>
      <c r="M15" s="7">
        <f>SUM(M6:M14)</f>
        <v>3541351</v>
      </c>
      <c r="N15" s="97">
        <f>SUM(N6:N14)</f>
        <v>886671.94000000006</v>
      </c>
      <c r="O15" s="108"/>
      <c r="P15" s="7">
        <f>SUM(P6:P14)</f>
        <v>9974558</v>
      </c>
      <c r="Q15" s="187">
        <f>SUM(Q6:Q14)</f>
        <v>2212294.9900000002</v>
      </c>
      <c r="R15" s="7"/>
      <c r="S15" s="7">
        <f>SUM(S6:S14)</f>
        <v>3541351</v>
      </c>
      <c r="T15" s="187">
        <f>SUM(T6:T14)</f>
        <v>887441.32000000007</v>
      </c>
      <c r="U15" s="108"/>
      <c r="V15" s="188">
        <f>+SUM(V6:V14)</f>
        <v>0</v>
      </c>
      <c r="W15" s="189">
        <f>SUM(W6:W14)</f>
        <v>3269.21</v>
      </c>
      <c r="X15" s="149"/>
      <c r="Y15" s="190">
        <f>SUM(Y6:Y14)</f>
        <v>0</v>
      </c>
      <c r="Z15" s="189">
        <f>SUM(Z6:Z14)</f>
        <v>-769.38</v>
      </c>
      <c r="AB15" s="191">
        <f>SUM(AB6:AB14)</f>
        <v>0</v>
      </c>
      <c r="AC15" s="191">
        <f>SUM(AC6:AC14)</f>
        <v>0</v>
      </c>
      <c r="AD15" s="191"/>
      <c r="AE15" s="182"/>
    </row>
    <row r="16" spans="2:33" ht="14.25" customHeight="1" x14ac:dyDescent="0.25">
      <c r="B16" s="136"/>
      <c r="C16" s="181"/>
      <c r="D16" s="181"/>
      <c r="E16" s="182"/>
      <c r="G16" s="184"/>
      <c r="H16" s="192"/>
      <c r="I16" s="108"/>
      <c r="J16" s="184"/>
      <c r="K16" s="192"/>
      <c r="L16" s="193"/>
      <c r="M16" s="184"/>
      <c r="N16" s="194"/>
      <c r="O16" s="108"/>
      <c r="P16" s="186"/>
      <c r="Q16" s="5"/>
      <c r="R16" s="7"/>
      <c r="S16" s="186"/>
      <c r="T16" s="5"/>
      <c r="U16" s="108"/>
      <c r="V16" s="195"/>
      <c r="W16" s="94"/>
      <c r="X16" s="149"/>
      <c r="Y16" s="149"/>
      <c r="Z16" s="94"/>
      <c r="AE16" s="182"/>
    </row>
    <row r="17" spans="2:33" ht="14.25" customHeight="1" x14ac:dyDescent="0.25">
      <c r="B17" s="136" t="s">
        <v>135</v>
      </c>
      <c r="C17" s="137">
        <v>6011</v>
      </c>
      <c r="D17" s="137">
        <v>28040</v>
      </c>
      <c r="E17" s="138">
        <v>672010</v>
      </c>
      <c r="F17" s="7" t="s">
        <v>149</v>
      </c>
      <c r="G17" s="139"/>
      <c r="H17" s="140">
        <f>K17+N17</f>
        <v>4606071.8100000005</v>
      </c>
      <c r="I17" s="108"/>
      <c r="J17" s="196"/>
      <c r="K17" s="142">
        <f>+Q17+W17</f>
        <v>3779382.43</v>
      </c>
      <c r="L17" s="143" t="s">
        <v>138</v>
      </c>
      <c r="M17" s="141"/>
      <c r="N17" s="142">
        <f>+T17+Z17</f>
        <v>826689.38000000012</v>
      </c>
      <c r="O17" s="108" t="s">
        <v>138</v>
      </c>
      <c r="P17" s="141"/>
      <c r="Q17" s="148">
        <f>88735.2+3690647.23</f>
        <v>3779382.43</v>
      </c>
      <c r="R17" s="7"/>
      <c r="S17" s="141"/>
      <c r="T17" s="148">
        <f>211184.82+615504.56</f>
        <v>826689.38000000012</v>
      </c>
      <c r="U17" s="108"/>
      <c r="V17" s="197"/>
      <c r="W17" s="148"/>
      <c r="X17" s="149"/>
      <c r="Y17" s="198"/>
      <c r="Z17" s="199"/>
      <c r="AE17" s="146">
        <v>672010</v>
      </c>
    </row>
    <row r="18" spans="2:33" ht="14.25" customHeight="1" x14ac:dyDescent="0.25">
      <c r="B18" s="136" t="s">
        <v>135</v>
      </c>
      <c r="C18" s="137">
        <v>6011</v>
      </c>
      <c r="D18" s="137">
        <v>28040</v>
      </c>
      <c r="E18" s="138">
        <v>672020</v>
      </c>
      <c r="F18" s="7" t="s">
        <v>150</v>
      </c>
      <c r="G18" s="139"/>
      <c r="H18" s="140">
        <f>K18+N18</f>
        <v>239869.27</v>
      </c>
      <c r="I18" s="108"/>
      <c r="J18" s="196"/>
      <c r="K18" s="153">
        <f>+Q18+W18</f>
        <v>212150.78</v>
      </c>
      <c r="L18" s="143" t="s">
        <v>141</v>
      </c>
      <c r="M18" s="141"/>
      <c r="N18" s="153">
        <f>+T18+Z18</f>
        <v>27718.49</v>
      </c>
      <c r="O18" s="108" t="s">
        <v>141</v>
      </c>
      <c r="P18" s="141"/>
      <c r="Q18" s="155">
        <v>211081.44</v>
      </c>
      <c r="R18" s="7"/>
      <c r="S18" s="8"/>
      <c r="T18" s="155">
        <v>28648.560000000001</v>
      </c>
      <c r="U18" s="108"/>
      <c r="V18" s="197"/>
      <c r="W18" s="155">
        <v>1069.3399999999999</v>
      </c>
      <c r="X18" s="149"/>
      <c r="Y18" s="198"/>
      <c r="Z18" s="155">
        <v>-930.07</v>
      </c>
      <c r="AE18" s="159">
        <v>672020</v>
      </c>
      <c r="AF18" s="200"/>
    </row>
    <row r="19" spans="2:33" ht="14.25" customHeight="1" x14ac:dyDescent="0.25">
      <c r="B19" s="136" t="s">
        <v>135</v>
      </c>
      <c r="C19" s="137">
        <v>6011</v>
      </c>
      <c r="D19" s="137">
        <v>28040</v>
      </c>
      <c r="E19" s="138">
        <v>672030</v>
      </c>
      <c r="F19" s="7" t="s">
        <v>151</v>
      </c>
      <c r="G19" s="139"/>
      <c r="H19" s="140">
        <f>K19+N19</f>
        <v>0</v>
      </c>
      <c r="I19" s="108"/>
      <c r="J19" s="196"/>
      <c r="K19" s="142">
        <f>+Q19+W19</f>
        <v>0</v>
      </c>
      <c r="L19" s="143" t="s">
        <v>138</v>
      </c>
      <c r="M19" s="141"/>
      <c r="N19" s="142">
        <f>+T19+Z19</f>
        <v>0</v>
      </c>
      <c r="O19" s="108" t="s">
        <v>138</v>
      </c>
      <c r="P19" s="141"/>
      <c r="Q19" s="148"/>
      <c r="R19" s="7"/>
      <c r="S19" s="141"/>
      <c r="T19" s="148"/>
      <c r="U19" s="108"/>
      <c r="V19" s="197"/>
      <c r="W19" s="148"/>
      <c r="X19" s="149"/>
      <c r="Y19" s="198"/>
      <c r="Z19" s="148"/>
      <c r="AE19" s="146">
        <v>672030</v>
      </c>
      <c r="AF19" s="200"/>
    </row>
    <row r="20" spans="2:33" ht="14.25" customHeight="1" x14ac:dyDescent="0.25">
      <c r="B20" s="136" t="s">
        <v>135</v>
      </c>
      <c r="C20" s="137">
        <v>6011</v>
      </c>
      <c r="D20" s="137">
        <v>28040</v>
      </c>
      <c r="E20" s="138">
        <v>672040</v>
      </c>
      <c r="F20" s="7" t="s">
        <v>152</v>
      </c>
      <c r="G20" s="139"/>
      <c r="H20" s="140">
        <f>K20+N20</f>
        <v>356007.26</v>
      </c>
      <c r="I20" s="108"/>
      <c r="J20" s="196"/>
      <c r="K20" s="142">
        <f>+Q20+W20</f>
        <v>292806.78999999998</v>
      </c>
      <c r="L20" s="143" t="s">
        <v>138</v>
      </c>
      <c r="M20" s="141"/>
      <c r="N20" s="142">
        <f>+T20+Z20</f>
        <v>63200.47</v>
      </c>
      <c r="O20" s="108" t="s">
        <v>138</v>
      </c>
      <c r="P20" s="141"/>
      <c r="Q20" s="148">
        <v>292806.78999999998</v>
      </c>
      <c r="R20" s="7"/>
      <c r="S20" s="141"/>
      <c r="T20" s="148">
        <f>40496.32+22704.15</f>
        <v>63200.47</v>
      </c>
      <c r="U20" s="108"/>
      <c r="V20" s="197"/>
      <c r="W20" s="148"/>
      <c r="X20" s="149"/>
      <c r="Y20" s="198"/>
      <c r="Z20" s="148"/>
      <c r="AD20" s="8">
        <v>-64.13</v>
      </c>
      <c r="AE20" s="146">
        <v>672040</v>
      </c>
      <c r="AF20" s="200"/>
      <c r="AG20" s="200"/>
    </row>
    <row r="21" spans="2:33" ht="14.25" customHeight="1" x14ac:dyDescent="0.25">
      <c r="B21" s="136" t="s">
        <v>135</v>
      </c>
      <c r="C21" s="137">
        <v>6011</v>
      </c>
      <c r="D21" s="137">
        <v>28040</v>
      </c>
      <c r="E21" s="138">
        <v>672050</v>
      </c>
      <c r="F21" s="7" t="s">
        <v>153</v>
      </c>
      <c r="G21" s="139"/>
      <c r="H21" s="140">
        <f>K21+N21</f>
        <v>-1208497.56</v>
      </c>
      <c r="I21" s="108"/>
      <c r="J21" s="201"/>
      <c r="K21" s="142">
        <f>+Q21+W21</f>
        <v>-1061557.43</v>
      </c>
      <c r="L21" s="143" t="s">
        <v>138</v>
      </c>
      <c r="M21" s="141"/>
      <c r="N21" s="202">
        <f>+T21+Z21</f>
        <v>-146940.13</v>
      </c>
      <c r="O21" s="108" t="s">
        <v>138</v>
      </c>
      <c r="P21" s="141"/>
      <c r="Q21" s="148">
        <f>+-77.11-1061624.17</f>
        <v>-1061701.28</v>
      </c>
      <c r="R21" s="203"/>
      <c r="S21" s="204"/>
      <c r="T21" s="205">
        <f>+-91.89-146868.13</f>
        <v>-146960.02000000002</v>
      </c>
      <c r="U21" s="108"/>
      <c r="V21" s="197"/>
      <c r="W21" s="148">
        <v>143.85</v>
      </c>
      <c r="X21" s="149"/>
      <c r="Y21" s="198"/>
      <c r="Z21" s="148">
        <v>19.89</v>
      </c>
      <c r="AE21" s="146">
        <v>672050</v>
      </c>
      <c r="AF21" s="200"/>
      <c r="AG21" s="200"/>
    </row>
    <row r="22" spans="2:33" ht="14.25" customHeight="1" x14ac:dyDescent="0.25">
      <c r="B22" s="136"/>
      <c r="C22" s="181"/>
      <c r="D22" s="181"/>
      <c r="E22" s="182"/>
      <c r="F22" s="186" t="s">
        <v>154</v>
      </c>
      <c r="G22" s="206"/>
      <c r="H22" s="207">
        <f>SUM(H17:H21)</f>
        <v>3993450.78</v>
      </c>
      <c r="I22" s="108"/>
      <c r="J22" s="208"/>
      <c r="K22" s="97">
        <f>SUM(K17:K21)</f>
        <v>3222782.5700000003</v>
      </c>
      <c r="L22" s="143"/>
      <c r="M22" s="209"/>
      <c r="N22" s="97">
        <f>SUM(N17:N21)</f>
        <v>770668.21000000008</v>
      </c>
      <c r="O22" s="108"/>
      <c r="P22" s="186"/>
      <c r="Q22" s="189">
        <f>SUM(Q17:Q21)</f>
        <v>3221569.38</v>
      </c>
      <c r="R22" s="143"/>
      <c r="S22" s="96"/>
      <c r="T22" s="187">
        <f>SUM(T17:T21)</f>
        <v>771578.39000000013</v>
      </c>
      <c r="U22" s="108"/>
      <c r="V22" s="210"/>
      <c r="W22" s="211">
        <f>SUM(W17:W21)</f>
        <v>1213.1899999999998</v>
      </c>
      <c r="X22" s="149"/>
      <c r="Y22" s="198"/>
      <c r="Z22" s="189">
        <f>SUM(Z17:Z21)</f>
        <v>-910.18000000000006</v>
      </c>
      <c r="AB22" s="191">
        <f>SUM(AB17:AB21)</f>
        <v>0</v>
      </c>
      <c r="AC22" s="191">
        <f>SUM(AC17:AC21)</f>
        <v>0</v>
      </c>
      <c r="AD22" s="191"/>
      <c r="AE22" s="182"/>
    </row>
    <row r="23" spans="2:33" ht="14.25" customHeight="1" x14ac:dyDescent="0.25">
      <c r="B23" s="136"/>
      <c r="C23" s="181"/>
      <c r="D23" s="181"/>
      <c r="E23" s="182"/>
      <c r="F23" s="212"/>
      <c r="G23" s="150"/>
      <c r="H23" s="192"/>
      <c r="I23" s="108"/>
      <c r="J23" s="196"/>
      <c r="K23" s="194"/>
      <c r="L23" s="193"/>
      <c r="M23" s="213"/>
      <c r="N23" s="194"/>
      <c r="O23" s="108"/>
      <c r="P23" s="186"/>
      <c r="Q23" s="94"/>
      <c r="R23" s="7"/>
      <c r="S23" s="7"/>
      <c r="T23" s="5"/>
      <c r="U23" s="108"/>
      <c r="V23" s="197"/>
      <c r="W23" s="214"/>
      <c r="X23" s="149"/>
      <c r="Y23" s="198"/>
      <c r="Z23" s="94"/>
      <c r="AE23" s="182"/>
    </row>
    <row r="24" spans="2:33" ht="14.25" customHeight="1" x14ac:dyDescent="0.25">
      <c r="B24" s="136" t="s">
        <v>135</v>
      </c>
      <c r="C24" s="137">
        <v>6011</v>
      </c>
      <c r="D24" s="137">
        <v>28040</v>
      </c>
      <c r="E24" s="138">
        <v>673020</v>
      </c>
      <c r="F24" s="7" t="s">
        <v>155</v>
      </c>
      <c r="G24" s="139"/>
      <c r="H24" s="140">
        <f>K24+N24</f>
        <v>63841.32</v>
      </c>
      <c r="I24" s="108"/>
      <c r="J24" s="196"/>
      <c r="K24" s="142">
        <f t="shared" ref="K24:K37" si="4">+Q24+W24</f>
        <v>56084.6</v>
      </c>
      <c r="L24" s="143" t="s">
        <v>138</v>
      </c>
      <c r="M24" s="141"/>
      <c r="N24" s="142">
        <f t="shared" ref="N24:N33" si="5">+T24+Z24</f>
        <v>7756.72</v>
      </c>
      <c r="O24" s="108" t="s">
        <v>138</v>
      </c>
      <c r="P24" s="141"/>
      <c r="Q24" s="148">
        <v>56084.6</v>
      </c>
      <c r="R24" s="7"/>
      <c r="S24" s="141"/>
      <c r="T24" s="144">
        <v>7756.72</v>
      </c>
      <c r="U24" s="108"/>
      <c r="V24" s="197"/>
      <c r="W24" s="148"/>
      <c r="X24" s="215"/>
      <c r="Y24" s="215"/>
      <c r="Z24" s="148"/>
      <c r="AE24" s="146">
        <v>673020</v>
      </c>
    </row>
    <row r="25" spans="2:33" ht="14.25" customHeight="1" x14ac:dyDescent="0.25">
      <c r="B25" s="136" t="s">
        <v>135</v>
      </c>
      <c r="C25" s="137">
        <v>6011</v>
      </c>
      <c r="D25" s="137">
        <v>28040</v>
      </c>
      <c r="E25" s="138">
        <v>673030</v>
      </c>
      <c r="F25" s="7" t="s">
        <v>156</v>
      </c>
      <c r="G25" s="139"/>
      <c r="H25" s="140">
        <f t="shared" ref="H25:H37" si="6">K25+N25</f>
        <v>65756.460000000006</v>
      </c>
      <c r="I25" s="108"/>
      <c r="J25" s="196"/>
      <c r="K25" s="142">
        <f t="shared" si="4"/>
        <v>59305.75</v>
      </c>
      <c r="L25" s="143" t="s">
        <v>138</v>
      </c>
      <c r="M25" s="141"/>
      <c r="N25" s="142">
        <f t="shared" si="5"/>
        <v>6450.71</v>
      </c>
      <c r="O25" s="108" t="s">
        <v>138</v>
      </c>
      <c r="P25" s="141"/>
      <c r="Q25" s="148">
        <v>59305.75</v>
      </c>
      <c r="R25" s="7"/>
      <c r="S25" s="141"/>
      <c r="T25" s="144">
        <v>6450.71</v>
      </c>
      <c r="U25" s="108"/>
      <c r="V25" s="197"/>
      <c r="W25" s="148"/>
      <c r="X25" s="215"/>
      <c r="Y25" s="215"/>
      <c r="Z25" s="148"/>
      <c r="AE25" s="146">
        <v>673030</v>
      </c>
    </row>
    <row r="26" spans="2:33" ht="14.25" customHeight="1" x14ac:dyDescent="0.25">
      <c r="B26" s="136" t="s">
        <v>135</v>
      </c>
      <c r="C26" s="137">
        <v>6011</v>
      </c>
      <c r="D26" s="137">
        <v>28040</v>
      </c>
      <c r="E26" s="138">
        <v>673040</v>
      </c>
      <c r="F26" s="7" t="s">
        <v>157</v>
      </c>
      <c r="G26" s="139"/>
      <c r="H26" s="140">
        <f t="shared" si="6"/>
        <v>0</v>
      </c>
      <c r="I26" s="108"/>
      <c r="J26" s="196"/>
      <c r="K26" s="153">
        <f t="shared" si="4"/>
        <v>0</v>
      </c>
      <c r="L26" s="143" t="s">
        <v>141</v>
      </c>
      <c r="M26" s="141"/>
      <c r="N26" s="153">
        <f>+T26+Z26</f>
        <v>0</v>
      </c>
      <c r="O26" s="108" t="s">
        <v>141</v>
      </c>
      <c r="P26" s="141"/>
      <c r="Q26" s="155"/>
      <c r="R26" s="7"/>
      <c r="S26" s="141"/>
      <c r="T26" s="179"/>
      <c r="U26" s="108"/>
      <c r="V26" s="197"/>
      <c r="W26" s="155"/>
      <c r="X26" s="215"/>
      <c r="Y26" s="215"/>
      <c r="Z26" s="155"/>
      <c r="AE26" s="159">
        <v>673040</v>
      </c>
    </row>
    <row r="27" spans="2:33" ht="14.25" customHeight="1" x14ac:dyDescent="0.25">
      <c r="B27" s="136" t="s">
        <v>135</v>
      </c>
      <c r="C27" s="137">
        <v>6011</v>
      </c>
      <c r="D27" s="137">
        <v>28040</v>
      </c>
      <c r="E27" s="138">
        <v>673050</v>
      </c>
      <c r="F27" s="7" t="s">
        <v>158</v>
      </c>
      <c r="G27" s="139"/>
      <c r="H27" s="140">
        <f t="shared" si="6"/>
        <v>79912.42</v>
      </c>
      <c r="I27" s="108"/>
      <c r="J27" s="196"/>
      <c r="K27" s="153">
        <f t="shared" si="4"/>
        <v>72073.009999999995</v>
      </c>
      <c r="L27" s="143" t="s">
        <v>141</v>
      </c>
      <c r="M27" s="141"/>
      <c r="N27" s="153">
        <f t="shared" si="5"/>
        <v>7839.41</v>
      </c>
      <c r="O27" s="108" t="s">
        <v>138</v>
      </c>
      <c r="P27" s="141"/>
      <c r="Q27" s="155">
        <v>72073.009999999995</v>
      </c>
      <c r="R27" s="7"/>
      <c r="S27" s="141"/>
      <c r="T27" s="179">
        <v>7839.41</v>
      </c>
      <c r="U27" s="108"/>
      <c r="V27" s="197"/>
      <c r="W27" s="155"/>
      <c r="X27" s="215"/>
      <c r="Y27" s="215"/>
      <c r="Z27" s="155"/>
      <c r="AE27" s="159">
        <v>673050</v>
      </c>
    </row>
    <row r="28" spans="2:33" ht="14.25" customHeight="1" x14ac:dyDescent="0.25">
      <c r="B28" s="136" t="s">
        <v>135</v>
      </c>
      <c r="C28" s="137">
        <v>6011</v>
      </c>
      <c r="D28" s="137">
        <v>28040</v>
      </c>
      <c r="E28" s="138">
        <v>673060</v>
      </c>
      <c r="F28" s="7" t="s">
        <v>159</v>
      </c>
      <c r="G28" s="139"/>
      <c r="H28" s="140">
        <f t="shared" si="6"/>
        <v>0</v>
      </c>
      <c r="I28" s="108"/>
      <c r="J28" s="196"/>
      <c r="K28" s="153">
        <f t="shared" si="4"/>
        <v>0</v>
      </c>
      <c r="L28" s="143" t="s">
        <v>141</v>
      </c>
      <c r="M28" s="141"/>
      <c r="N28" s="153">
        <f t="shared" si="5"/>
        <v>0</v>
      </c>
      <c r="O28" s="108" t="s">
        <v>138</v>
      </c>
      <c r="P28" s="141"/>
      <c r="Q28" s="155"/>
      <c r="R28" s="7"/>
      <c r="S28" s="141"/>
      <c r="T28" s="179"/>
      <c r="U28" s="108"/>
      <c r="V28" s="197"/>
      <c r="W28" s="155"/>
      <c r="X28" s="215"/>
      <c r="Y28" s="215"/>
      <c r="Z28" s="155"/>
      <c r="AE28" s="159">
        <v>673060</v>
      </c>
    </row>
    <row r="29" spans="2:33" ht="14.25" customHeight="1" x14ac:dyDescent="0.25">
      <c r="B29" s="136" t="s">
        <v>135</v>
      </c>
      <c r="C29" s="137">
        <v>6011</v>
      </c>
      <c r="D29" s="137">
        <v>28040</v>
      </c>
      <c r="E29" s="138">
        <v>673070</v>
      </c>
      <c r="F29" s="7" t="s">
        <v>160</v>
      </c>
      <c r="G29" s="139"/>
      <c r="H29" s="140">
        <f t="shared" si="6"/>
        <v>0</v>
      </c>
      <c r="I29" s="108"/>
      <c r="J29" s="196"/>
      <c r="K29" s="142">
        <f t="shared" si="4"/>
        <v>0</v>
      </c>
      <c r="L29" s="143" t="s">
        <v>141</v>
      </c>
      <c r="M29" s="141"/>
      <c r="N29" s="142">
        <f t="shared" si="5"/>
        <v>0</v>
      </c>
      <c r="O29" s="108" t="s">
        <v>138</v>
      </c>
      <c r="P29" s="141"/>
      <c r="Q29" s="148"/>
      <c r="R29" s="7"/>
      <c r="S29" s="141"/>
      <c r="T29" s="144"/>
      <c r="U29" s="108"/>
      <c r="V29" s="197"/>
      <c r="W29" s="148"/>
      <c r="X29" s="215"/>
      <c r="Y29" s="215"/>
      <c r="Z29" s="148"/>
      <c r="AE29" s="146">
        <v>673070</v>
      </c>
    </row>
    <row r="30" spans="2:33" ht="14.25" customHeight="1" x14ac:dyDescent="0.25">
      <c r="B30" s="136" t="s">
        <v>135</v>
      </c>
      <c r="C30" s="137">
        <v>6011</v>
      </c>
      <c r="D30" s="137">
        <v>28040</v>
      </c>
      <c r="E30" s="138">
        <v>673080</v>
      </c>
      <c r="F30" s="7" t="s">
        <v>161</v>
      </c>
      <c r="G30" s="139"/>
      <c r="H30" s="140">
        <f t="shared" si="6"/>
        <v>17869.510000000002</v>
      </c>
      <c r="I30" s="108"/>
      <c r="J30" s="196"/>
      <c r="K30" s="142">
        <f t="shared" si="4"/>
        <v>16221.94</v>
      </c>
      <c r="L30" s="143" t="s">
        <v>138</v>
      </c>
      <c r="M30" s="141"/>
      <c r="N30" s="142">
        <f t="shared" si="5"/>
        <v>1647.5700000000002</v>
      </c>
      <c r="O30" s="108" t="s">
        <v>138</v>
      </c>
      <c r="P30" s="141"/>
      <c r="Q30" s="148">
        <v>16370.58</v>
      </c>
      <c r="R30" s="7"/>
      <c r="S30" s="141"/>
      <c r="T30" s="144">
        <v>1662.67</v>
      </c>
      <c r="U30" s="108"/>
      <c r="V30" s="197"/>
      <c r="W30" s="148">
        <v>-148.63999999999999</v>
      </c>
      <c r="X30" s="215"/>
      <c r="Y30" s="215"/>
      <c r="Z30" s="148">
        <v>-15.1</v>
      </c>
      <c r="AE30" s="146">
        <v>673080</v>
      </c>
    </row>
    <row r="31" spans="2:33" ht="14.25" customHeight="1" x14ac:dyDescent="0.25">
      <c r="B31" s="136" t="s">
        <v>135</v>
      </c>
      <c r="C31" s="137">
        <v>6011</v>
      </c>
      <c r="D31" s="137">
        <v>28040</v>
      </c>
      <c r="E31" s="138">
        <v>673090</v>
      </c>
      <c r="F31" s="7" t="s">
        <v>162</v>
      </c>
      <c r="G31" s="139"/>
      <c r="H31" s="140">
        <f t="shared" si="6"/>
        <v>0</v>
      </c>
      <c r="I31" s="108"/>
      <c r="J31" s="196"/>
      <c r="K31" s="153">
        <f t="shared" si="4"/>
        <v>0</v>
      </c>
      <c r="L31" s="143" t="s">
        <v>141</v>
      </c>
      <c r="M31" s="141"/>
      <c r="N31" s="153">
        <f>+T31+Z31</f>
        <v>0</v>
      </c>
      <c r="O31" s="108" t="s">
        <v>141</v>
      </c>
      <c r="P31" s="141"/>
      <c r="Q31" s="155"/>
      <c r="R31" s="7"/>
      <c r="S31" s="141"/>
      <c r="T31" s="179"/>
      <c r="U31" s="108"/>
      <c r="V31" s="197"/>
      <c r="W31" s="179"/>
      <c r="X31" s="216"/>
      <c r="Y31" s="216"/>
      <c r="Z31" s="179"/>
      <c r="AE31" s="159">
        <v>673090</v>
      </c>
    </row>
    <row r="32" spans="2:33" ht="14.25" customHeight="1" x14ac:dyDescent="0.25">
      <c r="B32" s="136" t="s">
        <v>135</v>
      </c>
      <c r="C32" s="137">
        <v>6011</v>
      </c>
      <c r="D32" s="137">
        <v>28040</v>
      </c>
      <c r="E32" s="138">
        <v>673120</v>
      </c>
      <c r="F32" s="7" t="s">
        <v>163</v>
      </c>
      <c r="G32" s="139"/>
      <c r="H32" s="140">
        <f t="shared" si="6"/>
        <v>144910.07999999999</v>
      </c>
      <c r="I32" s="108"/>
      <c r="J32" s="196"/>
      <c r="K32" s="142">
        <f t="shared" si="4"/>
        <v>127303.51</v>
      </c>
      <c r="L32" s="143" t="s">
        <v>138</v>
      </c>
      <c r="M32" s="141"/>
      <c r="N32" s="142">
        <f t="shared" si="5"/>
        <v>17606.57</v>
      </c>
      <c r="O32" s="108" t="s">
        <v>138</v>
      </c>
      <c r="P32" s="141"/>
      <c r="Q32" s="148">
        <v>127303.51</v>
      </c>
      <c r="R32" s="7"/>
      <c r="S32" s="141"/>
      <c r="T32" s="144">
        <v>17606.57</v>
      </c>
      <c r="U32" s="108"/>
      <c r="V32" s="197"/>
      <c r="W32" s="144"/>
      <c r="X32" s="216"/>
      <c r="Y32" s="216"/>
      <c r="Z32" s="144"/>
      <c r="AE32" s="146">
        <v>673120</v>
      </c>
    </row>
    <row r="33" spans="2:32" ht="14.25" customHeight="1" x14ac:dyDescent="0.25">
      <c r="B33" s="136" t="s">
        <v>135</v>
      </c>
      <c r="C33" s="137">
        <v>6011</v>
      </c>
      <c r="D33" s="137">
        <v>28040</v>
      </c>
      <c r="E33" s="138">
        <v>673130</v>
      </c>
      <c r="F33" s="7" t="s">
        <v>164</v>
      </c>
      <c r="G33" s="139"/>
      <c r="H33" s="140">
        <f t="shared" si="6"/>
        <v>0</v>
      </c>
      <c r="I33" s="108"/>
      <c r="J33" s="196"/>
      <c r="K33" s="142">
        <f t="shared" si="4"/>
        <v>0</v>
      </c>
      <c r="L33" s="143" t="s">
        <v>138</v>
      </c>
      <c r="M33" s="141"/>
      <c r="N33" s="142">
        <f t="shared" si="5"/>
        <v>0</v>
      </c>
      <c r="O33" s="108" t="s">
        <v>138</v>
      </c>
      <c r="P33" s="141"/>
      <c r="Q33" s="148"/>
      <c r="R33" s="7"/>
      <c r="S33" s="141"/>
      <c r="T33" s="144"/>
      <c r="U33" s="108"/>
      <c r="V33" s="197"/>
      <c r="W33" s="144"/>
      <c r="X33" s="106"/>
      <c r="Y33" s="145"/>
      <c r="Z33" s="144"/>
      <c r="AE33" s="146">
        <v>673130</v>
      </c>
    </row>
    <row r="34" spans="2:32" ht="14.25" customHeight="1" x14ac:dyDescent="0.25">
      <c r="B34" s="136" t="s">
        <v>135</v>
      </c>
      <c r="C34" s="137">
        <v>6011</v>
      </c>
      <c r="D34" s="137">
        <v>28040</v>
      </c>
      <c r="E34" s="138">
        <v>673140</v>
      </c>
      <c r="F34" s="7" t="s">
        <v>165</v>
      </c>
      <c r="G34" s="139"/>
      <c r="H34" s="140">
        <f t="shared" si="6"/>
        <v>0</v>
      </c>
      <c r="I34" s="108"/>
      <c r="J34" s="196"/>
      <c r="K34" s="153">
        <f t="shared" si="4"/>
        <v>0</v>
      </c>
      <c r="L34" s="143" t="s">
        <v>141</v>
      </c>
      <c r="M34" s="141"/>
      <c r="N34" s="153">
        <f>+T34+Z34</f>
        <v>0</v>
      </c>
      <c r="O34" s="108" t="s">
        <v>141</v>
      </c>
      <c r="P34" s="141"/>
      <c r="Q34" s="155"/>
      <c r="R34" s="7"/>
      <c r="S34" s="141"/>
      <c r="T34" s="179"/>
      <c r="U34" s="108"/>
      <c r="V34" s="197"/>
      <c r="W34" s="179"/>
      <c r="X34" s="106"/>
      <c r="Y34" s="145"/>
      <c r="Z34" s="179"/>
      <c r="AE34" s="159">
        <v>673140</v>
      </c>
    </row>
    <row r="35" spans="2:32" ht="14.25" customHeight="1" x14ac:dyDescent="0.25">
      <c r="B35" s="136" t="s">
        <v>135</v>
      </c>
      <c r="C35" s="137">
        <v>6011</v>
      </c>
      <c r="D35" s="137">
        <v>28040</v>
      </c>
      <c r="E35" s="138">
        <v>673160</v>
      </c>
      <c r="F35" s="7" t="s">
        <v>166</v>
      </c>
      <c r="G35" s="139"/>
      <c r="H35" s="140">
        <f t="shared" si="6"/>
        <v>0</v>
      </c>
      <c r="I35" s="108"/>
      <c r="J35" s="196"/>
      <c r="K35" s="153">
        <f t="shared" si="4"/>
        <v>0</v>
      </c>
      <c r="L35" s="143" t="s">
        <v>141</v>
      </c>
      <c r="M35" s="141"/>
      <c r="N35" s="153">
        <f>+T35+Z35</f>
        <v>0</v>
      </c>
      <c r="O35" s="108" t="s">
        <v>141</v>
      </c>
      <c r="P35" s="141"/>
      <c r="Q35" s="155"/>
      <c r="R35" s="7"/>
      <c r="S35" s="141"/>
      <c r="T35" s="179"/>
      <c r="U35" s="108"/>
      <c r="V35" s="197"/>
      <c r="W35" s="179"/>
      <c r="X35" s="106"/>
      <c r="Y35" s="145"/>
      <c r="Z35" s="179"/>
      <c r="AE35" s="159">
        <v>673160</v>
      </c>
    </row>
    <row r="36" spans="2:32" ht="14.25" customHeight="1" x14ac:dyDescent="0.25">
      <c r="B36" s="136" t="s">
        <v>135</v>
      </c>
      <c r="C36" s="137">
        <v>6011</v>
      </c>
      <c r="D36" s="137">
        <v>28040</v>
      </c>
      <c r="E36" s="138">
        <v>673180</v>
      </c>
      <c r="F36" s="7" t="s">
        <v>167</v>
      </c>
      <c r="G36" s="139"/>
      <c r="H36" s="140">
        <f t="shared" si="6"/>
        <v>19386.62</v>
      </c>
      <c r="I36" s="108"/>
      <c r="J36" s="196"/>
      <c r="K36" s="142">
        <f>+Q36+W36</f>
        <v>17599.169999999998</v>
      </c>
      <c r="L36" s="143" t="s">
        <v>138</v>
      </c>
      <c r="M36" s="141"/>
      <c r="N36" s="142">
        <f>+T36+Z36</f>
        <v>1787.45</v>
      </c>
      <c r="O36" s="108" t="s">
        <v>138</v>
      </c>
      <c r="P36" s="141"/>
      <c r="Q36" s="148">
        <v>17599.169999999998</v>
      </c>
      <c r="R36" s="7"/>
      <c r="S36" s="141"/>
      <c r="T36" s="144">
        <v>1787.45</v>
      </c>
      <c r="U36" s="108"/>
      <c r="V36" s="197"/>
      <c r="W36" s="144"/>
      <c r="X36" s="216"/>
      <c r="Y36" s="216"/>
      <c r="Z36" s="144"/>
      <c r="AE36" s="146">
        <v>673180</v>
      </c>
    </row>
    <row r="37" spans="2:32" ht="14.25" customHeight="1" x14ac:dyDescent="0.25">
      <c r="B37" s="136" t="s">
        <v>135</v>
      </c>
      <c r="C37" s="137">
        <v>6011</v>
      </c>
      <c r="D37" s="137">
        <v>28040</v>
      </c>
      <c r="E37" s="138">
        <v>673190</v>
      </c>
      <c r="F37" s="175" t="s">
        <v>168</v>
      </c>
      <c r="G37" s="139"/>
      <c r="H37" s="217">
        <f t="shared" si="6"/>
        <v>0</v>
      </c>
      <c r="I37" s="108"/>
      <c r="J37" s="196"/>
      <c r="K37" s="153">
        <f t="shared" si="4"/>
        <v>0</v>
      </c>
      <c r="L37" s="143" t="s">
        <v>141</v>
      </c>
      <c r="M37" s="204"/>
      <c r="N37" s="153">
        <f>+T37+Z37</f>
        <v>0</v>
      </c>
      <c r="O37" s="108" t="s">
        <v>141</v>
      </c>
      <c r="P37" s="204"/>
      <c r="Q37" s="179"/>
      <c r="R37" s="7"/>
      <c r="S37" s="204"/>
      <c r="T37" s="218"/>
      <c r="U37" s="108"/>
      <c r="V37" s="219"/>
      <c r="W37" s="179"/>
      <c r="X37" s="106"/>
      <c r="Y37" s="145"/>
      <c r="Z37" s="179"/>
      <c r="AE37" s="159">
        <v>673190</v>
      </c>
    </row>
    <row r="38" spans="2:32" ht="15" x14ac:dyDescent="0.25">
      <c r="F38" s="7" t="s">
        <v>169</v>
      </c>
      <c r="G38" s="206"/>
      <c r="H38" s="140">
        <f>SUM(H24:H37)</f>
        <v>391676.41000000003</v>
      </c>
      <c r="I38" s="108"/>
      <c r="J38" s="206"/>
      <c r="K38" s="97">
        <f>SUM(K24:K37)</f>
        <v>348587.98</v>
      </c>
      <c r="L38" s="143"/>
      <c r="M38" s="7"/>
      <c r="N38" s="97">
        <f>SUM(N24:N37)</f>
        <v>43088.429999999993</v>
      </c>
      <c r="O38" s="108"/>
      <c r="P38" s="221"/>
      <c r="Q38" s="187">
        <f>SUM(Q24:Q37)</f>
        <v>348736.61999999994</v>
      </c>
      <c r="R38" s="143"/>
      <c r="S38" s="96"/>
      <c r="T38" s="187">
        <f>SUM(T24:T37)</f>
        <v>43103.53</v>
      </c>
      <c r="U38" s="108"/>
      <c r="W38" s="187">
        <f>SUM(W24:W37)</f>
        <v>-148.63999999999999</v>
      </c>
      <c r="Y38" s="222"/>
      <c r="Z38" s="187">
        <f>SUM(Z24:Z37)</f>
        <v>-15.1</v>
      </c>
      <c r="AB38" s="191">
        <f>SUM(AB24:AB37)</f>
        <v>0</v>
      </c>
      <c r="AC38" s="191">
        <f>SUM(AC24:AC37)</f>
        <v>0</v>
      </c>
      <c r="AD38" s="191"/>
    </row>
    <row r="39" spans="2:32" ht="14.1" customHeight="1" x14ac:dyDescent="0.25">
      <c r="F39" s="212"/>
      <c r="H39" s="223"/>
      <c r="I39" s="108"/>
      <c r="J39" s="206"/>
      <c r="K39" s="224"/>
      <c r="L39" s="225"/>
      <c r="M39" s="206"/>
      <c r="N39" s="224"/>
      <c r="O39" s="108"/>
      <c r="P39" s="226"/>
      <c r="Q39" s="227"/>
      <c r="R39" s="221"/>
      <c r="S39" s="226"/>
      <c r="T39" s="227"/>
      <c r="U39" s="108"/>
      <c r="V39" s="228"/>
      <c r="W39" s="183"/>
      <c r="Z39" s="98"/>
      <c r="AB39" s="107"/>
      <c r="AC39" s="107"/>
      <c r="AD39" s="107"/>
    </row>
    <row r="40" spans="2:32" ht="15.75" customHeight="1" x14ac:dyDescent="0.25">
      <c r="F40" s="96" t="s">
        <v>170</v>
      </c>
      <c r="G40" s="206">
        <f>+G38+G22+G15</f>
        <v>13515909</v>
      </c>
      <c r="H40" s="140">
        <f>+H38+H22+H15</f>
        <v>7487363.3300000001</v>
      </c>
      <c r="I40" s="108"/>
      <c r="J40" s="229">
        <f>+J38+J22+J15</f>
        <v>9974558</v>
      </c>
      <c r="K40" s="187">
        <f>+K38+K22+K15</f>
        <v>5786934.75</v>
      </c>
      <c r="L40" s="230"/>
      <c r="M40" s="229">
        <f>+M38+M22+M15</f>
        <v>3541351</v>
      </c>
      <c r="N40" s="187">
        <f>+N38+N22+N15</f>
        <v>1700428.58</v>
      </c>
      <c r="O40" s="122"/>
      <c r="P40" s="231">
        <f>+P38+P22+P15</f>
        <v>9974558</v>
      </c>
      <c r="Q40" s="189">
        <f>+Q38+Q22+Q15</f>
        <v>5782600.9900000002</v>
      </c>
      <c r="R40" s="70"/>
      <c r="S40" s="231">
        <f>+S38+S22+S15</f>
        <v>3541351</v>
      </c>
      <c r="T40" s="189">
        <f>+T38+T22+T15</f>
        <v>1702123.2400000002</v>
      </c>
      <c r="U40" s="108"/>
      <c r="V40" s="232">
        <f>+V38+V22+V15</f>
        <v>0</v>
      </c>
      <c r="W40" s="187">
        <f>+W38+W22+W15</f>
        <v>4333.76</v>
      </c>
      <c r="Y40" s="8">
        <f>+Y38+Y22+Y15</f>
        <v>0</v>
      </c>
      <c r="Z40" s="187">
        <f>+Z38+Z22+Z15</f>
        <v>-1694.66</v>
      </c>
      <c r="AB40" s="191">
        <f>+AB38+AB22+AB15</f>
        <v>0</v>
      </c>
      <c r="AC40" s="191">
        <f>+AC38+AC22+AC15</f>
        <v>0</v>
      </c>
      <c r="AD40" s="191"/>
      <c r="AE40" s="200"/>
    </row>
    <row r="41" spans="2:32" ht="14.1" customHeight="1" x14ac:dyDescent="0.25">
      <c r="H41" s="233"/>
      <c r="I41" s="108"/>
      <c r="J41" s="150"/>
      <c r="K41" s="194"/>
      <c r="L41" s="225"/>
      <c r="M41" s="150"/>
      <c r="N41" s="194"/>
      <c r="O41" s="108"/>
      <c r="P41" s="221"/>
      <c r="Q41" s="94"/>
      <c r="R41" s="221"/>
      <c r="S41" s="221"/>
      <c r="T41" s="94"/>
      <c r="U41" s="108"/>
      <c r="W41" s="98"/>
      <c r="Z41" s="98"/>
    </row>
    <row r="42" spans="2:32" ht="14.1" customHeight="1" x14ac:dyDescent="0.25">
      <c r="C42" s="150" t="s">
        <v>171</v>
      </c>
      <c r="I42" s="108"/>
      <c r="J42" s="234" t="s">
        <v>116</v>
      </c>
      <c r="K42" s="235">
        <f>+K8+K9+K10+K11+K12+K13+K14+K18+K26+K27+K28+K31+K34+K35+K37</f>
        <v>2253566.4899999993</v>
      </c>
      <c r="L42" s="225" t="s">
        <v>141</v>
      </c>
      <c r="M42" s="150"/>
      <c r="N42" s="236">
        <f>+N8+N9+N10+N11+N12+N13+N14+N18+N26+N31+N34+N35+N37+N27+N28</f>
        <v>762807.68</v>
      </c>
      <c r="O42" s="237" t="s">
        <v>141</v>
      </c>
      <c r="P42" s="221"/>
      <c r="Q42" s="238">
        <f>+Q8+Q9+Q10+Q11+Q12+Q13+Q14+Q18+Q26+Q27+Q28+Q31+Q34+Q35+Q37</f>
        <v>2252497.3699999996</v>
      </c>
      <c r="R42" s="221"/>
      <c r="S42" s="234" t="s">
        <v>121</v>
      </c>
      <c r="T42" s="238">
        <f>+T8+T10+T9+T11+T12+T13+T14+T18+T26+T31+T34+T35+T37+T27+T28</f>
        <v>763737.53000000014</v>
      </c>
      <c r="U42" s="108"/>
      <c r="W42" s="239">
        <f>+W8+W9+W10+W11+W12+W13+W14+W18+W26+W27+W28+W31+W34+W35+W37</f>
        <v>1069.1199999999999</v>
      </c>
      <c r="Z42" s="239">
        <f>Z9+Z10+Z11+Z12+Z13+Z14+Z18+Z26+Z31+Z34+Z35+Z37+Z8+Z27+Z28</f>
        <v>-929.85</v>
      </c>
      <c r="AB42" s="240">
        <f>+AB8+AB9+AB10+AB11+AB12+AB13+AB14+AB18+AB26+AB27+AB28+AB29+AB31+AB34+AB35+AB37</f>
        <v>0</v>
      </c>
      <c r="AC42" s="240">
        <f>+AC6+AC8+AC9+AC10+AC11+AC12+AC13+AC14+AC18+AC26+AC31+AC34+AC35+AC37</f>
        <v>0</v>
      </c>
    </row>
    <row r="43" spans="2:32" ht="14.1" customHeight="1" x14ac:dyDescent="0.25">
      <c r="C43" s="150" t="s">
        <v>172</v>
      </c>
      <c r="I43" s="108"/>
      <c r="J43" s="234" t="s">
        <v>116</v>
      </c>
      <c r="K43" s="235">
        <f>+K6+K7+K17+K24+K25+K30+K32+K33+K36+K19+K20+K21+K29</f>
        <v>3533368.2600000007</v>
      </c>
      <c r="L43" s="225" t="s">
        <v>138</v>
      </c>
      <c r="M43" s="150"/>
      <c r="N43" s="236">
        <f>N6+N7+N17+N24+N25+N30+N32+N33+N36+N19+N20+N21+N29</f>
        <v>937620.9</v>
      </c>
      <c r="O43" s="237" t="s">
        <v>138</v>
      </c>
      <c r="P43" s="221"/>
      <c r="Q43" s="241">
        <f>Q6+Q7+Q17+Q24+Q25+Q30+Q32+Q33+Q36+Q19+Q20+Q21+Q29</f>
        <v>3530103.62</v>
      </c>
      <c r="R43" s="221"/>
      <c r="S43" s="234" t="s">
        <v>121</v>
      </c>
      <c r="T43" s="241">
        <f>+T7+T6+T17+T24+T25+T30+T32+T33+T36+T19+T20+T21+T29</f>
        <v>938385.71</v>
      </c>
      <c r="U43" s="108"/>
      <c r="W43" s="242">
        <f>W6+W7+W17+W24+W25+W30+W32+W33+W36+W19+W20+W21+W29</f>
        <v>3264.64</v>
      </c>
      <c r="Z43" s="242">
        <f>+Z7+Z17+Z24+Z25+Z30+Z32+Z33+Z36+Z19+Z20+Z21+Z29+Z6</f>
        <v>-764.81000000000006</v>
      </c>
      <c r="AB43" s="243">
        <f>AB6+AB7+AB17+AB24+AB25+AB30+AB32+AB33+AB36</f>
        <v>0</v>
      </c>
      <c r="AC43" s="243">
        <f>+AC7+AC17+AC24+AC25+AC27+AC28+AC29+AC30+AC32+AC33+AC36</f>
        <v>0</v>
      </c>
    </row>
    <row r="44" spans="2:32" ht="15" customHeight="1" x14ac:dyDescent="0.25">
      <c r="C44" s="150" t="s">
        <v>12</v>
      </c>
      <c r="I44" s="108"/>
      <c r="J44" s="150"/>
      <c r="K44" s="187">
        <f>SUM(K42:K43)</f>
        <v>5786934.75</v>
      </c>
      <c r="L44" s="244"/>
      <c r="M44" s="150"/>
      <c r="N44" s="187">
        <f>SUM(N42:N43)</f>
        <v>1700428.58</v>
      </c>
      <c r="O44" s="108"/>
      <c r="P44" s="221"/>
      <c r="Q44" s="189">
        <f>SUM(Q42:Q43)</f>
        <v>5782600.9900000002</v>
      </c>
      <c r="R44" s="221"/>
      <c r="S44" s="221"/>
      <c r="T44" s="189">
        <f>SUM(T42:T43)</f>
        <v>1702123.2400000002</v>
      </c>
      <c r="U44" s="108"/>
      <c r="W44" s="187">
        <f>SUM(W42:W43)</f>
        <v>4333.76</v>
      </c>
      <c r="Z44" s="187">
        <f>SUM(Z42:Z43)</f>
        <v>-1694.66</v>
      </c>
      <c r="AB44" s="245">
        <f>SUM(AB42:AB43)</f>
        <v>0</v>
      </c>
      <c r="AC44" s="245">
        <f>SUM(AC42:AC43)</f>
        <v>0</v>
      </c>
      <c r="AD44" s="246"/>
      <c r="AE44" s="247">
        <f>+Z44+W44</f>
        <v>2639.1000000000004</v>
      </c>
    </row>
    <row r="45" spans="2:32" ht="15" customHeight="1" x14ac:dyDescent="0.25">
      <c r="L45" s="102"/>
      <c r="AE45" s="247">
        <f>+'[4]Supplier Invoices'!$Q$95</f>
        <v>2639.0984550001258</v>
      </c>
      <c r="AF45" s="69" t="s">
        <v>173</v>
      </c>
    </row>
    <row r="46" spans="2:32" ht="15" customHeight="1" x14ac:dyDescent="0.25">
      <c r="J46" s="7" t="s">
        <v>174</v>
      </c>
      <c r="K46" s="248">
        <f>K44+N44</f>
        <v>7487363.3300000001</v>
      </c>
      <c r="P46" s="249" t="s">
        <v>175</v>
      </c>
      <c r="Q46" s="250">
        <f>Q44-Q11-Q12-Q13</f>
        <v>6562158.2400000002</v>
      </c>
      <c r="R46" s="110"/>
      <c r="S46" s="249" t="s">
        <v>175</v>
      </c>
      <c r="T46" s="250">
        <f>T44-T11-T12-T13</f>
        <v>1703140.2100000002</v>
      </c>
      <c r="W46" s="200"/>
      <c r="AE46" s="251">
        <f>+AE44-AE45</f>
        <v>1.5449998745680205E-3</v>
      </c>
    </row>
    <row r="47" spans="2:32" ht="15" customHeight="1" x14ac:dyDescent="0.25">
      <c r="F47" s="252"/>
      <c r="K47" s="253"/>
      <c r="P47" s="254" t="s">
        <v>176</v>
      </c>
      <c r="Q47" s="255">
        <f>W44</f>
        <v>4333.76</v>
      </c>
      <c r="R47" s="171"/>
      <c r="S47" s="254" t="s">
        <v>176</v>
      </c>
      <c r="T47" s="255">
        <f>Z44</f>
        <v>-1694.66</v>
      </c>
      <c r="W47" s="256"/>
    </row>
    <row r="48" spans="2:32" ht="15" customHeight="1" x14ac:dyDescent="0.25">
      <c r="F48" s="252"/>
      <c r="G48" s="8" t="s">
        <v>177</v>
      </c>
      <c r="Q48" s="257">
        <f>Q46+Q47</f>
        <v>6566492</v>
      </c>
      <c r="R48" s="258"/>
      <c r="S48" s="258"/>
      <c r="T48" s="257">
        <f>T46+T47</f>
        <v>1701445.5500000003</v>
      </c>
      <c r="U48" s="256"/>
      <c r="V48" s="256"/>
      <c r="W48" s="259"/>
      <c r="Z48" s="260"/>
    </row>
    <row r="49" spans="2:26" ht="15" customHeight="1" x14ac:dyDescent="0.25">
      <c r="F49" s="252"/>
      <c r="L49" s="261"/>
      <c r="M49" s="262" t="s">
        <v>1</v>
      </c>
      <c r="N49" s="263" t="s">
        <v>178</v>
      </c>
      <c r="Q49" s="264"/>
      <c r="T49" s="264"/>
      <c r="Z49" s="260"/>
    </row>
    <row r="50" spans="2:26" ht="14.1" customHeight="1" x14ac:dyDescent="0.25">
      <c r="L50" s="115"/>
      <c r="M50" s="262" t="s">
        <v>179</v>
      </c>
      <c r="N50" s="263" t="s">
        <v>180</v>
      </c>
      <c r="P50" s="70"/>
      <c r="Z50" s="260"/>
    </row>
    <row r="51" spans="2:26" ht="14.1" customHeight="1" x14ac:dyDescent="0.25">
      <c r="B51" s="8"/>
      <c r="L51" s="115"/>
      <c r="M51" s="262" t="s">
        <v>181</v>
      </c>
      <c r="N51" s="263" t="s">
        <v>182</v>
      </c>
    </row>
    <row r="52" spans="2:26" ht="14.1" customHeight="1" x14ac:dyDescent="0.25">
      <c r="B52" s="265"/>
      <c r="L52" s="115"/>
      <c r="M52" s="262" t="s">
        <v>183</v>
      </c>
      <c r="N52" s="263" t="s">
        <v>184</v>
      </c>
      <c r="W52" s="266"/>
    </row>
    <row r="53" spans="2:26" ht="14.1" customHeight="1" x14ac:dyDescent="0.25">
      <c r="L53" s="115"/>
      <c r="M53" s="262" t="s">
        <v>185</v>
      </c>
      <c r="N53" s="267" t="s">
        <v>186</v>
      </c>
    </row>
    <row r="54" spans="2:26" ht="14.1" customHeight="1" x14ac:dyDescent="0.25">
      <c r="L54" s="115"/>
      <c r="M54" s="262" t="s">
        <v>187</v>
      </c>
      <c r="N54" s="263" t="s">
        <v>188</v>
      </c>
    </row>
    <row r="55" spans="2:26" ht="14.1" customHeight="1" x14ac:dyDescent="0.25">
      <c r="L55" s="115"/>
      <c r="M55" s="262" t="s">
        <v>189</v>
      </c>
      <c r="N55" s="263" t="s">
        <v>190</v>
      </c>
    </row>
    <row r="56" spans="2:26" ht="14.1" customHeight="1" x14ac:dyDescent="0.25">
      <c r="L56" s="115"/>
      <c r="M56" s="262" t="s">
        <v>191</v>
      </c>
      <c r="N56" s="263" t="s">
        <v>192</v>
      </c>
    </row>
    <row r="57" spans="2:26" ht="14.1" customHeight="1" x14ac:dyDescent="0.25">
      <c r="L57" s="102"/>
      <c r="M57" s="268"/>
      <c r="N57" s="263" t="s">
        <v>193</v>
      </c>
    </row>
    <row r="58" spans="2:26" ht="14.1" customHeight="1" thickBot="1" x14ac:dyDescent="0.3">
      <c r="P58" s="269" t="s">
        <v>134</v>
      </c>
      <c r="Q58" s="270"/>
      <c r="R58" s="269"/>
      <c r="S58" s="269" t="s">
        <v>134</v>
      </c>
      <c r="T58" s="270"/>
    </row>
    <row r="59" spans="2:26" ht="14.1" customHeight="1" x14ac:dyDescent="0.25">
      <c r="B59" s="8"/>
      <c r="J59" s="271" t="s">
        <v>194</v>
      </c>
      <c r="K59" s="272" t="s">
        <v>195</v>
      </c>
      <c r="L59" s="69"/>
      <c r="M59" s="1">
        <v>6011</v>
      </c>
      <c r="N59" s="263" t="s">
        <v>196</v>
      </c>
      <c r="P59" s="70" t="e">
        <f ca="1">_xll.GXL(1, N$49,"CURRENCY="&amp;N$54&amp;";"&amp;"WEEKLY=FALSE",N$51,N$52,N$53,N$55,J59,$M59,$N59)</f>
        <v>#NAME?</v>
      </c>
      <c r="Q59" s="273" t="e">
        <f ca="1">_xll.GXL(1, N$50,"CURRENCY="&amp;N$54&amp;";"&amp;"WEEKLY=FALSE",N$51,N$52,N$53,N$55,J59,$M59,$N59)</f>
        <v>#NAME?</v>
      </c>
      <c r="R59" s="171">
        <v>-1</v>
      </c>
      <c r="S59" s="70" t="e">
        <f ca="1">_xll.GXL(1, N$49,"CURRENCY="&amp;N$54&amp;";"&amp;"WEEKLY=FALSE",N$51,N$52,N$53,N$55,K59,$M59,$N59)</f>
        <v>#NAME?</v>
      </c>
      <c r="T59" s="273" t="e">
        <f ca="1">_xll.GXL(1, N$50,"CURRENCY="&amp;N$54&amp;";"&amp;"WEEKLY=FALSE",N$51,N$52,N$53,N$55,K59,$M59,$N59)</f>
        <v>#NAME?</v>
      </c>
      <c r="U59" s="274">
        <v>-4</v>
      </c>
    </row>
    <row r="60" spans="2:26" ht="14.1" customHeight="1" x14ac:dyDescent="0.25">
      <c r="J60" s="271" t="s">
        <v>194</v>
      </c>
      <c r="K60" s="272" t="s">
        <v>195</v>
      </c>
      <c r="L60" s="69"/>
      <c r="M60" s="1">
        <v>6011</v>
      </c>
      <c r="N60" s="1">
        <v>28082</v>
      </c>
      <c r="P60" s="70" t="e">
        <f ca="1">_xll.GXL(1, N$49,"CURRENCY="&amp;N$54&amp;";"&amp;"WEEKLY=FALSE",N$51,N$52,N$53,N$55,J60,$M60,$N60)</f>
        <v>#NAME?</v>
      </c>
      <c r="Q60" s="275" t="e">
        <f ca="1">_xll.GXL(1, N$50,"CURRENCY="&amp;N$54&amp;";"&amp;"WEEKLY=FALSE",N$51,N$52,N$53,N$55,N$56,$M60,$N60)</f>
        <v>#NAME?</v>
      </c>
      <c r="R60" s="171">
        <v>-2</v>
      </c>
      <c r="S60" s="273"/>
      <c r="T60" s="275"/>
      <c r="U60" s="274"/>
    </row>
    <row r="61" spans="2:26" ht="15" x14ac:dyDescent="0.25">
      <c r="J61" s="271" t="s">
        <v>194</v>
      </c>
      <c r="K61" s="272" t="s">
        <v>195</v>
      </c>
      <c r="L61" s="69"/>
      <c r="M61" s="1">
        <v>6011</v>
      </c>
      <c r="N61" s="1">
        <v>28120</v>
      </c>
      <c r="P61" s="70" t="e">
        <f ca="1">_xll.GXL(1, N$49,"CURRENCY="&amp;N$54&amp;";"&amp;"WEEKLY=FALSE",N$51,N$52,N$53,N$55,J61,$M61,$N61)</f>
        <v>#NAME?</v>
      </c>
      <c r="Q61" s="273" t="e">
        <f ca="1">_xll.GXL(1, N$50,"CURRENCY="&amp;N$54&amp;";"&amp;"WEEKLY=FALSE",N$51,N$52,N$53,N$55,J61,$M61,$N61)</f>
        <v>#NAME?</v>
      </c>
      <c r="R61" s="171">
        <v>-3</v>
      </c>
      <c r="S61" s="70" t="e">
        <f ca="1">_xll.GXL(1, N$49,"CURRENCY="&amp;N$54&amp;";"&amp;"WEEKLY=FALSE",N$51,N$52,N$53,N$55,K61,$M61,$N61)</f>
        <v>#NAME?</v>
      </c>
      <c r="T61" s="273" t="e">
        <f ca="1">_xll.GXL(1, N$50,"CURRENCY="&amp;N$54&amp;";"&amp;"WEEKLY=FALSE",N$51,N$52,N$53,N$55,K61,$M61,$N61)</f>
        <v>#NAME?</v>
      </c>
      <c r="U61" s="274">
        <v>-5</v>
      </c>
    </row>
    <row r="62" spans="2:26" ht="14.1" customHeight="1" x14ac:dyDescent="0.25">
      <c r="B62" s="6"/>
      <c r="P62" s="70"/>
      <c r="Q62" s="276" t="e">
        <f ca="1">SUM(Q59:Q61)</f>
        <v>#NAME?</v>
      </c>
      <c r="R62" s="123"/>
      <c r="S62" s="123"/>
      <c r="T62" s="276" t="e">
        <f ca="1">SUM(T59:T61)</f>
        <v>#NAME?</v>
      </c>
      <c r="U62" s="69"/>
    </row>
    <row r="63" spans="2:26" ht="14.1" customHeight="1" x14ac:dyDescent="0.25">
      <c r="P63" s="277"/>
      <c r="Q63" s="278"/>
      <c r="R63" s="277"/>
      <c r="S63" s="277"/>
      <c r="T63" s="278"/>
      <c r="U63" s="69"/>
    </row>
    <row r="69" spans="17:22" ht="14.1" customHeight="1" x14ac:dyDescent="0.25">
      <c r="Q69" s="114">
        <v>9776852</v>
      </c>
      <c r="S69" s="114">
        <v>2278617.61</v>
      </c>
      <c r="T69" s="114">
        <v>2102518</v>
      </c>
      <c r="V69" s="8">
        <v>317389.78000000003</v>
      </c>
    </row>
    <row r="71" spans="17:22" ht="14.1" customHeight="1" x14ac:dyDescent="0.25">
      <c r="S71" s="279">
        <f>+S69/Q69</f>
        <v>0.23306250416800825</v>
      </c>
      <c r="V71" s="280">
        <f>+V69/T69</f>
        <v>0.15095698586171438</v>
      </c>
    </row>
  </sheetData>
  <mergeCells count="15">
    <mergeCell ref="W1:Y1"/>
    <mergeCell ref="B2:E2"/>
    <mergeCell ref="G2:H2"/>
    <mergeCell ref="J2:N2"/>
    <mergeCell ref="P2:T2"/>
    <mergeCell ref="W2:Y2"/>
    <mergeCell ref="B5:E5"/>
    <mergeCell ref="W3:Y3"/>
    <mergeCell ref="AB3:AC3"/>
    <mergeCell ref="J4:K4"/>
    <mergeCell ref="M4:N4"/>
    <mergeCell ref="P4:Q4"/>
    <mergeCell ref="S4:T4"/>
    <mergeCell ref="V4:W4"/>
    <mergeCell ref="Y4:Z4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2019-10-25T07:00:00+00:00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2D2BEF-64D4-4F2B-AE13-8750E10500D6}"/>
</file>

<file path=customXml/itemProps2.xml><?xml version="1.0" encoding="utf-8"?>
<ds:datastoreItem xmlns:ds="http://schemas.openxmlformats.org/officeDocument/2006/customXml" ds:itemID="{DB8E73F4-BCF8-4E1B-AE4C-32B0B6D140ED}"/>
</file>

<file path=customXml/itemProps3.xml><?xml version="1.0" encoding="utf-8"?>
<ds:datastoreItem xmlns:ds="http://schemas.openxmlformats.org/officeDocument/2006/customXml" ds:itemID="{9F1417EA-20B5-408B-AE53-378A74505D47}"/>
</file>

<file path=customXml/itemProps4.xml><?xml version="1.0" encoding="utf-8"?>
<ds:datastoreItem xmlns:ds="http://schemas.openxmlformats.org/officeDocument/2006/customXml" ds:itemID="{CB9E7026-2492-42FA-BA97-A32FEF0D5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DEFERRALS</vt:lpstr>
      <vt:lpstr>WA Rates</vt:lpstr>
      <vt:lpstr>Core Cost Incurred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2019-10-23T18:40:33Z</dcterms:created>
  <dcterms:modified xsi:type="dcterms:W3CDTF">2019-10-23T18:46:02Z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