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0" yWindow="6990" windowWidth="15690" windowHeight="1125" tabRatio="670" activeTab="2"/>
  </bookViews>
  <sheets>
    <sheet name="Title Page" sheetId="9" r:id="rId1"/>
    <sheet name="Instructions" sheetId="7" r:id="rId2"/>
    <sheet name="Compliance Summary" sheetId="6" r:id="rId3"/>
    <sheet name="Facility Detail" sheetId="1" r:id="rId4"/>
    <sheet name="Generation Rollup" sheetId="8" r:id="rId5"/>
  </sheets>
  <definedNames>
    <definedName name="Facility">'Facility Detail'!$B$1755:$B$1764</definedName>
    <definedName name="LaborBonus">'Facility Detail'!$B$1744:$B$1746</definedName>
    <definedName name="_xlnm.Print_Area" localSheetId="2">'Compliance Summary'!$A$1:$J$62</definedName>
    <definedName name="_xlnm.Print_Area" localSheetId="3">'Facility Detail'!$A$1:$L$1699</definedName>
    <definedName name="_xlnm.Print_Area" localSheetId="4">'Generation Rollup'!$A$1:$I$13</definedName>
    <definedName name="_xlnm.Print_Area" localSheetId="1">Instructions!$A$2:$F$40</definedName>
    <definedName name="_xlnm.Print_Area" localSheetId="0">'Title Page'!$A$1:$J$51</definedName>
  </definedNames>
  <calcPr calcId="152511"/>
</workbook>
</file>

<file path=xl/calcChain.xml><?xml version="1.0" encoding="utf-8"?>
<calcChain xmlns="http://schemas.openxmlformats.org/spreadsheetml/2006/main">
  <c r="H5" i="8" l="1"/>
  <c r="H6" i="8"/>
  <c r="H7" i="8"/>
  <c r="H8" i="8"/>
  <c r="H9" i="8"/>
  <c r="H10" i="8"/>
  <c r="H11" i="8"/>
  <c r="H12" i="8"/>
  <c r="H13" i="8"/>
  <c r="J1698" i="1" l="1"/>
  <c r="L1698" i="1"/>
  <c r="K1698" i="1"/>
  <c r="L1694" i="1"/>
  <c r="J1694" i="1" l="1"/>
  <c r="K1691" i="1"/>
  <c r="E1679" i="1"/>
  <c r="D1680" i="1"/>
  <c r="E1681" i="1"/>
  <c r="F1681" i="1"/>
  <c r="E1682" i="1"/>
  <c r="F1683" i="1"/>
  <c r="G1683" i="1"/>
  <c r="F1684" i="1"/>
  <c r="G1685" i="1"/>
  <c r="H1685" i="1" s="1"/>
  <c r="I1685" i="1" s="1"/>
  <c r="I1687" i="1"/>
  <c r="I1689" i="1"/>
  <c r="J1689" i="1" s="1"/>
  <c r="D1694" i="1"/>
  <c r="E1694" i="1"/>
  <c r="F1694" i="1"/>
  <c r="G1694" i="1"/>
  <c r="K938" i="1" l="1"/>
  <c r="I911" i="1"/>
  <c r="L256" i="1" l="1"/>
  <c r="K571" i="1"/>
  <c r="D668" i="1"/>
  <c r="E670" i="1"/>
  <c r="F672" i="1"/>
  <c r="I677" i="1"/>
  <c r="J677" i="1" s="1"/>
  <c r="K679" i="1"/>
  <c r="L726" i="1"/>
  <c r="E799" i="1" l="1"/>
  <c r="D800" i="1"/>
  <c r="E802" i="1"/>
  <c r="F804" i="1"/>
  <c r="H805" i="1"/>
  <c r="I805" i="1" s="1"/>
  <c r="G806" i="1"/>
  <c r="J809" i="1"/>
  <c r="J814" i="1" s="1"/>
  <c r="K811" i="1"/>
  <c r="K814" i="1" s="1"/>
  <c r="D712" i="1"/>
  <c r="E714" i="1"/>
  <c r="F716" i="1"/>
  <c r="H717" i="1"/>
  <c r="J721" i="1"/>
  <c r="J726" i="1" s="1"/>
  <c r="L697" i="1"/>
  <c r="L730" i="1" s="1"/>
  <c r="K700" i="1"/>
  <c r="K701" i="1"/>
  <c r="L770" i="1"/>
  <c r="L774" i="1" s="1"/>
  <c r="J767" i="1"/>
  <c r="J788" i="1"/>
  <c r="K788" i="1"/>
  <c r="L788" i="1"/>
  <c r="J789" i="1"/>
  <c r="K789" i="1"/>
  <c r="L789" i="1"/>
  <c r="J796" i="1"/>
  <c r="K796" i="1"/>
  <c r="L796" i="1"/>
  <c r="J829" i="1"/>
  <c r="K829" i="1"/>
  <c r="J832" i="1"/>
  <c r="J833" i="1"/>
  <c r="K855" i="1"/>
  <c r="K856" i="1"/>
  <c r="J871" i="1"/>
  <c r="K871" i="1"/>
  <c r="J874" i="1"/>
  <c r="J875" i="1"/>
  <c r="J882" i="1"/>
  <c r="J896" i="1"/>
  <c r="K896" i="1"/>
  <c r="J914" i="1"/>
  <c r="J915" i="1"/>
  <c r="J922" i="1"/>
  <c r="K942" i="1"/>
  <c r="J953" i="1"/>
  <c r="K953" i="1"/>
  <c r="J956" i="1"/>
  <c r="K956" i="1"/>
  <c r="J957" i="1"/>
  <c r="K957" i="1"/>
  <c r="J964" i="1"/>
  <c r="K964" i="1"/>
  <c r="J995" i="1"/>
  <c r="K995" i="1"/>
  <c r="J998" i="1"/>
  <c r="K998" i="1"/>
  <c r="J999" i="1"/>
  <c r="K999" i="1"/>
  <c r="J1006" i="1"/>
  <c r="K1006" i="1"/>
  <c r="K1022" i="1"/>
  <c r="J1037" i="1"/>
  <c r="K1037" i="1"/>
  <c r="J1040" i="1"/>
  <c r="K1040" i="1"/>
  <c r="J1041" i="1"/>
  <c r="K1041" i="1"/>
  <c r="J1048" i="1"/>
  <c r="K1048" i="1"/>
  <c r="K1064" i="1"/>
  <c r="J1079" i="1"/>
  <c r="K1079" i="1"/>
  <c r="J1082" i="1"/>
  <c r="K1082" i="1"/>
  <c r="J1083" i="1"/>
  <c r="K1083" i="1"/>
  <c r="J1090" i="1"/>
  <c r="K1090" i="1"/>
  <c r="K1106" i="1"/>
  <c r="J1121" i="1"/>
  <c r="K1121" i="1"/>
  <c r="J1124" i="1"/>
  <c r="K1124" i="1"/>
  <c r="J1125" i="1"/>
  <c r="K1125" i="1"/>
  <c r="J1132" i="1"/>
  <c r="K1132" i="1"/>
  <c r="K1148" i="1"/>
  <c r="J1163" i="1"/>
  <c r="K1163" i="1"/>
  <c r="J1166" i="1"/>
  <c r="K1166" i="1"/>
  <c r="J1167" i="1"/>
  <c r="K1167" i="1"/>
  <c r="J1174" i="1"/>
  <c r="K1174" i="1"/>
  <c r="K1190" i="1"/>
  <c r="J1205" i="1"/>
  <c r="K1205" i="1"/>
  <c r="J1208" i="1"/>
  <c r="K1208" i="1"/>
  <c r="J1209" i="1"/>
  <c r="K1209" i="1"/>
  <c r="J1216" i="1"/>
  <c r="K1216" i="1"/>
  <c r="K1232" i="1"/>
  <c r="K1274" i="1"/>
  <c r="K1278" i="1" s="1"/>
  <c r="K1315" i="1"/>
  <c r="K1319" i="1" s="1"/>
  <c r="K1356" i="1"/>
  <c r="K1360" i="1" s="1"/>
  <c r="K1397" i="1"/>
  <c r="K1401" i="1" s="1"/>
  <c r="E755" i="1"/>
  <c r="D756" i="1"/>
  <c r="E758" i="1"/>
  <c r="F760" i="1"/>
  <c r="H761" i="1"/>
  <c r="I761" i="1" s="1"/>
  <c r="J765" i="1"/>
  <c r="J744" i="1"/>
  <c r="K744" i="1"/>
  <c r="J745" i="1"/>
  <c r="K745" i="1"/>
  <c r="J752" i="1"/>
  <c r="K752" i="1"/>
  <c r="L1411" i="1"/>
  <c r="K1440" i="1"/>
  <c r="L1440" i="1"/>
  <c r="E1468" i="1"/>
  <c r="D1469" i="1"/>
  <c r="E1470" i="1"/>
  <c r="F1470" i="1" s="1"/>
  <c r="E1471" i="1"/>
  <c r="F1472" i="1"/>
  <c r="G1472" i="1" s="1"/>
  <c r="F1473" i="1"/>
  <c r="G1474" i="1"/>
  <c r="H1474" i="1" s="1"/>
  <c r="I1474" i="1" s="1"/>
  <c r="I1476" i="1"/>
  <c r="I1478" i="1"/>
  <c r="J1478" i="1" s="1"/>
  <c r="J1483" i="1" s="1"/>
  <c r="J1480" i="1"/>
  <c r="K1480" i="1" s="1"/>
  <c r="K1483" i="1"/>
  <c r="L1483" i="1"/>
  <c r="L1487" i="1" s="1"/>
  <c r="J1497" i="1"/>
  <c r="J770" i="1" l="1"/>
  <c r="L790" i="1"/>
  <c r="L1444" i="1"/>
  <c r="J1126" i="1"/>
  <c r="J916" i="1"/>
  <c r="J1210" i="1"/>
  <c r="K1168" i="1"/>
  <c r="K1194" i="1" s="1"/>
  <c r="J876" i="1"/>
  <c r="J900" i="1" s="1"/>
  <c r="K900" i="1"/>
  <c r="K702" i="1"/>
  <c r="K1084" i="1"/>
  <c r="K1110" i="1" s="1"/>
  <c r="K790" i="1"/>
  <c r="J1084" i="1"/>
  <c r="K1210" i="1"/>
  <c r="K1236" i="1" s="1"/>
  <c r="K1126" i="1"/>
  <c r="K1152" i="1" s="1"/>
  <c r="K860" i="1"/>
  <c r="J790" i="1"/>
  <c r="J818" i="1" s="1"/>
  <c r="J1168" i="1"/>
  <c r="K1042" i="1"/>
  <c r="K1068" i="1" s="1"/>
  <c r="K1000" i="1"/>
  <c r="K1026" i="1" s="1"/>
  <c r="K958" i="1"/>
  <c r="J1042" i="1"/>
  <c r="J1000" i="1"/>
  <c r="J958" i="1"/>
  <c r="J746" i="1"/>
  <c r="J774" i="1" s="1"/>
  <c r="K746" i="1"/>
  <c r="E1511" i="1"/>
  <c r="D1512" i="1"/>
  <c r="E1513" i="1"/>
  <c r="F1513" i="1" s="1"/>
  <c r="E1514" i="1"/>
  <c r="F1515" i="1"/>
  <c r="G1515" i="1"/>
  <c r="F1516" i="1"/>
  <c r="G1517" i="1"/>
  <c r="H1517" i="1" s="1"/>
  <c r="I1517" i="1" s="1"/>
  <c r="I1519" i="1"/>
  <c r="I1521" i="1"/>
  <c r="J1521" i="1" s="1"/>
  <c r="J1526" i="1" s="1"/>
  <c r="K1526" i="1"/>
  <c r="L1526" i="1"/>
  <c r="L1530" i="1" s="1"/>
  <c r="J1568" i="1" l="1"/>
  <c r="K1568" i="1"/>
  <c r="L1568" i="1"/>
  <c r="L1572" i="1" s="1"/>
  <c r="E1553" i="1"/>
  <c r="D1554" i="1"/>
  <c r="E1555" i="1"/>
  <c r="F1555" i="1" s="1"/>
  <c r="E1556" i="1"/>
  <c r="F1557" i="1"/>
  <c r="G1557" i="1" s="1"/>
  <c r="F1558" i="1"/>
  <c r="F1568" i="1" s="1"/>
  <c r="G1559" i="1"/>
  <c r="H1559" i="1" s="1"/>
  <c r="H1568" i="1" s="1"/>
  <c r="I1561" i="1"/>
  <c r="I1568" i="1" s="1"/>
  <c r="I1563" i="1"/>
  <c r="J1563" i="1" s="1"/>
  <c r="J1565" i="1"/>
  <c r="K1565" i="1" s="1"/>
  <c r="G1568" i="1" l="1"/>
  <c r="I1581" i="1" l="1"/>
  <c r="E1637" i="1" l="1"/>
  <c r="D1638" i="1"/>
  <c r="E1639" i="1"/>
  <c r="F1639" i="1" s="1"/>
  <c r="E1640" i="1"/>
  <c r="F1641" i="1"/>
  <c r="G1641" i="1"/>
  <c r="F1642" i="1"/>
  <c r="G1643" i="1"/>
  <c r="H1643" i="1" s="1"/>
  <c r="I1643" i="1" s="1"/>
  <c r="I1645" i="1"/>
  <c r="K1649" i="1"/>
  <c r="I1623" i="1" l="1"/>
  <c r="I1647" i="1" s="1"/>
  <c r="J1647" i="1" s="1"/>
  <c r="I548" i="1" l="1"/>
  <c r="K527" i="1"/>
  <c r="K528" i="1" s="1"/>
  <c r="L527" i="1"/>
  <c r="L528" i="1" s="1"/>
  <c r="L556" i="1" s="1"/>
  <c r="K552" i="1"/>
  <c r="L552" i="1"/>
  <c r="L653" i="1"/>
  <c r="K658" i="1"/>
  <c r="L658" i="1"/>
  <c r="K664" i="1"/>
  <c r="L664" i="1"/>
  <c r="L567" i="1"/>
  <c r="L571" i="1"/>
  <c r="L572" i="1" s="1"/>
  <c r="L578" i="1"/>
  <c r="L593" i="1"/>
  <c r="L596" i="1" s="1"/>
  <c r="L611" i="1"/>
  <c r="L638" i="1"/>
  <c r="I504" i="1"/>
  <c r="L479" i="1"/>
  <c r="K483" i="1"/>
  <c r="K484" i="1" s="1"/>
  <c r="L483" i="1"/>
  <c r="L484" i="1" s="1"/>
  <c r="K490" i="1"/>
  <c r="L490" i="1"/>
  <c r="K508" i="1"/>
  <c r="L508" i="1"/>
  <c r="K439" i="1"/>
  <c r="K440" i="1" s="1"/>
  <c r="L439" i="1"/>
  <c r="L440" i="1" s="1"/>
  <c r="I460" i="1"/>
  <c r="L435" i="1"/>
  <c r="K446" i="1"/>
  <c r="L446" i="1"/>
  <c r="K464" i="1"/>
  <c r="L464" i="1"/>
  <c r="L391" i="1"/>
  <c r="I416" i="1"/>
  <c r="K395" i="1"/>
  <c r="K396" i="1" s="1"/>
  <c r="L395" i="1"/>
  <c r="L396" i="1" s="1"/>
  <c r="K402" i="1"/>
  <c r="L402" i="1"/>
  <c r="K420" i="1"/>
  <c r="L420" i="1"/>
  <c r="K315" i="1"/>
  <c r="L315" i="1"/>
  <c r="K318" i="1"/>
  <c r="L318" i="1"/>
  <c r="K319" i="1"/>
  <c r="L319" i="1"/>
  <c r="K326" i="1"/>
  <c r="L326" i="1"/>
  <c r="I376" i="1"/>
  <c r="J376" i="1"/>
  <c r="K376" i="1"/>
  <c r="L376" i="1"/>
  <c r="K353" i="1"/>
  <c r="L353" i="1"/>
  <c r="K357" i="1"/>
  <c r="K358" i="1" s="1"/>
  <c r="L357" i="1"/>
  <c r="L358" i="1" s="1"/>
  <c r="K364" i="1"/>
  <c r="L364" i="1"/>
  <c r="L300" i="1"/>
  <c r="K282" i="1"/>
  <c r="L282" i="1"/>
  <c r="K274" i="1"/>
  <c r="L274" i="1"/>
  <c r="K275" i="1"/>
  <c r="L275" i="1"/>
  <c r="L271" i="1"/>
  <c r="I271" i="1"/>
  <c r="K271" i="1"/>
  <c r="K230" i="1"/>
  <c r="L230" i="1"/>
  <c r="K231" i="1"/>
  <c r="L231" i="1"/>
  <c r="K238" i="1"/>
  <c r="L238" i="1"/>
  <c r="K227" i="1"/>
  <c r="L227" i="1"/>
  <c r="L212" i="1"/>
  <c r="K186" i="1"/>
  <c r="L186" i="1"/>
  <c r="K187" i="1"/>
  <c r="L187" i="1"/>
  <c r="K194" i="1"/>
  <c r="L194" i="1"/>
  <c r="K150" i="1"/>
  <c r="L150" i="1"/>
  <c r="K142" i="1"/>
  <c r="L142" i="1"/>
  <c r="K143" i="1"/>
  <c r="L143" i="1"/>
  <c r="L124" i="1"/>
  <c r="L139" i="1"/>
  <c r="K121" i="1"/>
  <c r="I120" i="1"/>
  <c r="K106" i="1"/>
  <c r="L106" i="1"/>
  <c r="K98" i="1"/>
  <c r="L98" i="1"/>
  <c r="K99" i="1"/>
  <c r="L99" i="1"/>
  <c r="L95" i="1"/>
  <c r="L79" i="1"/>
  <c r="K77" i="1"/>
  <c r="K80" i="1"/>
  <c r="L80" i="1"/>
  <c r="K62" i="1"/>
  <c r="L62" i="1"/>
  <c r="K54" i="1"/>
  <c r="L54" i="1"/>
  <c r="K55" i="1"/>
  <c r="L55" i="1"/>
  <c r="L51" i="1"/>
  <c r="K144" i="1" l="1"/>
  <c r="L232" i="1"/>
  <c r="L188" i="1"/>
  <c r="L216" i="1" s="1"/>
  <c r="L468" i="1"/>
  <c r="L512" i="1"/>
  <c r="L276" i="1"/>
  <c r="L304" i="1" s="1"/>
  <c r="L320" i="1"/>
  <c r="L342" i="1" s="1"/>
  <c r="L260" i="1"/>
  <c r="L642" i="1"/>
  <c r="K100" i="1"/>
  <c r="K232" i="1"/>
  <c r="L600" i="1"/>
  <c r="K320" i="1"/>
  <c r="K342" i="1" s="1"/>
  <c r="L424" i="1"/>
  <c r="L380" i="1"/>
  <c r="K380" i="1"/>
  <c r="K276" i="1"/>
  <c r="K188" i="1"/>
  <c r="L144" i="1"/>
  <c r="L172" i="1" s="1"/>
  <c r="L100" i="1"/>
  <c r="L128" i="1" s="1"/>
  <c r="L56" i="1"/>
  <c r="L84" i="1" s="1"/>
  <c r="J9" i="6" l="1"/>
  <c r="J17" i="6"/>
  <c r="J18" i="6"/>
  <c r="J19" i="6"/>
  <c r="J40" i="6"/>
  <c r="J20" i="6" l="1"/>
  <c r="C1659" i="1"/>
  <c r="J28" i="8" l="1"/>
  <c r="D30" i="8"/>
  <c r="D31" i="8"/>
  <c r="D32" i="8"/>
  <c r="J27" i="8"/>
  <c r="D58" i="8"/>
  <c r="E58" i="8"/>
  <c r="F58" i="8"/>
  <c r="G58" i="8"/>
  <c r="H58" i="8"/>
  <c r="I58" i="8"/>
  <c r="J58" i="8"/>
  <c r="C58"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G744" i="1" l="1"/>
  <c r="H744" i="1"/>
  <c r="G745" i="1"/>
  <c r="H745" i="1"/>
  <c r="K638" i="1" l="1"/>
  <c r="K596" i="1"/>
  <c r="J552" i="1"/>
  <c r="J508" i="1"/>
  <c r="J464" i="1"/>
  <c r="J420" i="1"/>
  <c r="K124" i="1"/>
  <c r="F744" i="1"/>
  <c r="F745" i="1"/>
  <c r="K212" i="1"/>
  <c r="K168" i="1"/>
  <c r="J50" i="8"/>
  <c r="J57" i="8"/>
  <c r="I9" i="6"/>
  <c r="J1607" i="1" l="1"/>
  <c r="C1617" i="1"/>
  <c r="B1620" i="1" s="1"/>
  <c r="C1575" i="1"/>
  <c r="K1734" i="1"/>
  <c r="K1738" i="1" s="1"/>
  <c r="G1734" i="1"/>
  <c r="G1738" i="1" s="1"/>
  <c r="F1734" i="1"/>
  <c r="F1738" i="1" s="1"/>
  <c r="E1734" i="1"/>
  <c r="E1738" i="1" s="1"/>
  <c r="D1734" i="1"/>
  <c r="D1738" i="1" s="1"/>
  <c r="I1731" i="1"/>
  <c r="J1731" i="1" s="1"/>
  <c r="J1734" i="1" s="1"/>
  <c r="J1738" i="1" s="1"/>
  <c r="I1729" i="1"/>
  <c r="G1727" i="1"/>
  <c r="H1727" i="1" s="1"/>
  <c r="H1734" i="1" s="1"/>
  <c r="H1738" i="1" s="1"/>
  <c r="F1726" i="1"/>
  <c r="F1725" i="1"/>
  <c r="G1725" i="1" s="1"/>
  <c r="E1724" i="1"/>
  <c r="E1723" i="1"/>
  <c r="F1723" i="1" s="1"/>
  <c r="D1722" i="1"/>
  <c r="E1721" i="1"/>
  <c r="D1720" i="1"/>
  <c r="E1720" i="1" s="1"/>
  <c r="F1720" i="1" s="1"/>
  <c r="G1720" i="1" s="1"/>
  <c r="H1720" i="1" s="1"/>
  <c r="I1720" i="1" s="1"/>
  <c r="J1720" i="1" s="1"/>
  <c r="K1720" i="1" s="1"/>
  <c r="B1704" i="1"/>
  <c r="G1698" i="1"/>
  <c r="F1698" i="1"/>
  <c r="E1698" i="1"/>
  <c r="D1698" i="1"/>
  <c r="I1694" i="1"/>
  <c r="H1694" i="1"/>
  <c r="D1678" i="1"/>
  <c r="E1678" i="1" s="1"/>
  <c r="F1678" i="1" s="1"/>
  <c r="G1678" i="1" s="1"/>
  <c r="H1678" i="1" s="1"/>
  <c r="I1678" i="1" s="1"/>
  <c r="J1678" i="1" s="1"/>
  <c r="K1678" i="1" s="1"/>
  <c r="B1662" i="1"/>
  <c r="G1652" i="1"/>
  <c r="G1656" i="1" s="1"/>
  <c r="F57" i="8" s="1"/>
  <c r="F1652" i="1"/>
  <c r="F1656" i="1" s="1"/>
  <c r="E57" i="8" s="1"/>
  <c r="E1652" i="1"/>
  <c r="E1656" i="1" s="1"/>
  <c r="D57" i="8" s="1"/>
  <c r="D1652" i="1"/>
  <c r="D1656" i="1" s="1"/>
  <c r="C57" i="8" s="1"/>
  <c r="H1652" i="1"/>
  <c r="D1636" i="1"/>
  <c r="E1636" i="1" s="1"/>
  <c r="F1636" i="1" s="1"/>
  <c r="G1636" i="1" s="1"/>
  <c r="H1636" i="1" s="1"/>
  <c r="I1636" i="1" s="1"/>
  <c r="J1636" i="1" s="1"/>
  <c r="K1636" i="1" s="1"/>
  <c r="C1533" i="1"/>
  <c r="J1523" i="1"/>
  <c r="K1523" i="1" s="1"/>
  <c r="C1491" i="1"/>
  <c r="C1448" i="1"/>
  <c r="J1411" i="1"/>
  <c r="J1437" i="1" s="1"/>
  <c r="K1437" i="1" s="1"/>
  <c r="C1405" i="1"/>
  <c r="K1607" i="1" l="1"/>
  <c r="I1652" i="1"/>
  <c r="I1656" i="1" s="1"/>
  <c r="H57" i="8" s="1"/>
  <c r="J1652" i="1"/>
  <c r="I1734" i="1"/>
  <c r="I1738" i="1" s="1"/>
  <c r="I1698" i="1"/>
  <c r="H1698" i="1"/>
  <c r="I1727" i="1"/>
  <c r="H1656" i="1"/>
  <c r="G57" i="8" s="1"/>
  <c r="J1656" i="1" l="1"/>
  <c r="I57" i="8" s="1"/>
  <c r="J56" i="8"/>
  <c r="G1610" i="1"/>
  <c r="G1614" i="1" s="1"/>
  <c r="F56" i="8" s="1"/>
  <c r="F1610" i="1"/>
  <c r="F1614" i="1" s="1"/>
  <c r="E56" i="8" s="1"/>
  <c r="E1610" i="1"/>
  <c r="E1614" i="1" s="1"/>
  <c r="D56" i="8" s="1"/>
  <c r="D1610" i="1"/>
  <c r="D1614" i="1" s="1"/>
  <c r="C56" i="8" s="1"/>
  <c r="I1605" i="1"/>
  <c r="I1610" i="1" s="1"/>
  <c r="I1603" i="1"/>
  <c r="G1601" i="1"/>
  <c r="H1601" i="1" s="1"/>
  <c r="F1600" i="1"/>
  <c r="F1599" i="1"/>
  <c r="G1599" i="1" s="1"/>
  <c r="E1598" i="1"/>
  <c r="E1597" i="1"/>
  <c r="F1597" i="1" s="1"/>
  <c r="D1596" i="1"/>
  <c r="E1595" i="1"/>
  <c r="D1594" i="1"/>
  <c r="E1594" i="1" s="1"/>
  <c r="F1594" i="1" s="1"/>
  <c r="G1594" i="1" s="1"/>
  <c r="H1594" i="1" s="1"/>
  <c r="I1594" i="1" s="1"/>
  <c r="J1594" i="1" s="1"/>
  <c r="K1594" i="1" s="1"/>
  <c r="B1578" i="1"/>
  <c r="J55" i="8"/>
  <c r="G1572" i="1"/>
  <c r="F55" i="8" s="1"/>
  <c r="F1572" i="1"/>
  <c r="E55" i="8" s="1"/>
  <c r="E1568" i="1"/>
  <c r="E1572" i="1" s="1"/>
  <c r="D55" i="8" s="1"/>
  <c r="D1568" i="1"/>
  <c r="D1572" i="1" s="1"/>
  <c r="C55" i="8" s="1"/>
  <c r="D1552" i="1"/>
  <c r="E1552" i="1" s="1"/>
  <c r="F1552" i="1" s="1"/>
  <c r="G1552" i="1" s="1"/>
  <c r="H1552" i="1" s="1"/>
  <c r="I1552" i="1" s="1"/>
  <c r="J1552" i="1" s="1"/>
  <c r="K1552" i="1" s="1"/>
  <c r="L1552" i="1" s="1"/>
  <c r="B1536" i="1"/>
  <c r="J54" i="8"/>
  <c r="G1526" i="1"/>
  <c r="G1530" i="1" s="1"/>
  <c r="F54" i="8" s="1"/>
  <c r="F1526" i="1"/>
  <c r="F1530" i="1" s="1"/>
  <c r="E54" i="8" s="1"/>
  <c r="E1526" i="1"/>
  <c r="E1530" i="1" s="1"/>
  <c r="D54" i="8" s="1"/>
  <c r="D1526" i="1"/>
  <c r="D1530" i="1" s="1"/>
  <c r="C54" i="8" s="1"/>
  <c r="H1526" i="1"/>
  <c r="H1530" i="1" s="1"/>
  <c r="G54" i="8" s="1"/>
  <c r="D1510" i="1"/>
  <c r="E1510" i="1" s="1"/>
  <c r="F1510" i="1" s="1"/>
  <c r="G1510" i="1" s="1"/>
  <c r="H1510" i="1" s="1"/>
  <c r="I1510" i="1" s="1"/>
  <c r="J1510" i="1" s="1"/>
  <c r="K1510" i="1" s="1"/>
  <c r="B1494" i="1"/>
  <c r="J53" i="8"/>
  <c r="G1483" i="1"/>
  <c r="G1487" i="1" s="1"/>
  <c r="F53" i="8" s="1"/>
  <c r="F1483" i="1"/>
  <c r="F1487" i="1" s="1"/>
  <c r="E53" i="8" s="1"/>
  <c r="E1483" i="1"/>
  <c r="E1487" i="1" s="1"/>
  <c r="D53" i="8" s="1"/>
  <c r="D1483" i="1"/>
  <c r="D1487" i="1" s="1"/>
  <c r="C53" i="8" s="1"/>
  <c r="D1467" i="1"/>
  <c r="E1467" i="1" s="1"/>
  <c r="F1467" i="1" s="1"/>
  <c r="G1467" i="1" s="1"/>
  <c r="H1467" i="1" s="1"/>
  <c r="I1467" i="1" s="1"/>
  <c r="J1467" i="1" s="1"/>
  <c r="K1467" i="1" s="1"/>
  <c r="L1467" i="1" s="1"/>
  <c r="B1451" i="1"/>
  <c r="J52" i="8"/>
  <c r="G1440" i="1"/>
  <c r="G1444" i="1" s="1"/>
  <c r="F52" i="8" s="1"/>
  <c r="F1440" i="1"/>
  <c r="F1444" i="1" s="1"/>
  <c r="E52" i="8" s="1"/>
  <c r="E1440" i="1"/>
  <c r="E1444" i="1" s="1"/>
  <c r="D52" i="8" s="1"/>
  <c r="D1440" i="1"/>
  <c r="D1444" i="1" s="1"/>
  <c r="C52" i="8" s="1"/>
  <c r="I1435" i="1"/>
  <c r="J1435" i="1" s="1"/>
  <c r="J1440" i="1" s="1"/>
  <c r="I1433" i="1"/>
  <c r="G1431" i="1"/>
  <c r="H1431" i="1" s="1"/>
  <c r="F1430" i="1"/>
  <c r="F1429" i="1"/>
  <c r="G1429" i="1" s="1"/>
  <c r="E1428" i="1"/>
  <c r="E1427" i="1"/>
  <c r="F1427" i="1" s="1"/>
  <c r="D1426" i="1"/>
  <c r="E1425" i="1"/>
  <c r="D1424" i="1"/>
  <c r="E1424" i="1" s="1"/>
  <c r="F1424" i="1" s="1"/>
  <c r="G1424" i="1" s="1"/>
  <c r="H1424" i="1" s="1"/>
  <c r="I1424" i="1" s="1"/>
  <c r="J1424" i="1" s="1"/>
  <c r="K1424" i="1" s="1"/>
  <c r="B1408" i="1"/>
  <c r="J186" i="1"/>
  <c r="J187" i="1"/>
  <c r="J708" i="1"/>
  <c r="K708" i="1"/>
  <c r="J700" i="1"/>
  <c r="J701" i="1"/>
  <c r="I829" i="1"/>
  <c r="C1364" i="1"/>
  <c r="B1367" i="1" s="1"/>
  <c r="J51" i="8"/>
  <c r="G1397" i="1"/>
  <c r="G1401" i="1" s="1"/>
  <c r="F51" i="8" s="1"/>
  <c r="F1397" i="1"/>
  <c r="F1401" i="1" s="1"/>
  <c r="E51" i="8" s="1"/>
  <c r="E1397" i="1"/>
  <c r="E1401" i="1" s="1"/>
  <c r="D51" i="8" s="1"/>
  <c r="D1397" i="1"/>
  <c r="D1401" i="1" s="1"/>
  <c r="C51" i="8" s="1"/>
  <c r="I1394" i="1"/>
  <c r="J1394" i="1" s="1"/>
  <c r="J1397" i="1" s="1"/>
  <c r="J1401" i="1" s="1"/>
  <c r="I1392" i="1"/>
  <c r="G1390" i="1"/>
  <c r="H1390" i="1" s="1"/>
  <c r="F1389" i="1"/>
  <c r="F1388" i="1"/>
  <c r="G1388" i="1" s="1"/>
  <c r="E1387" i="1"/>
  <c r="E1386" i="1"/>
  <c r="F1386" i="1" s="1"/>
  <c r="D1385" i="1"/>
  <c r="E1384" i="1"/>
  <c r="D1383" i="1"/>
  <c r="E1383" i="1" s="1"/>
  <c r="F1383" i="1" s="1"/>
  <c r="G1383" i="1" s="1"/>
  <c r="H1383" i="1" s="1"/>
  <c r="I1383" i="1" s="1"/>
  <c r="J1383" i="1" s="1"/>
  <c r="K1383" i="1" s="1"/>
  <c r="C1323" i="1"/>
  <c r="B1326" i="1" s="1"/>
  <c r="G1356" i="1"/>
  <c r="G1360" i="1" s="1"/>
  <c r="F50" i="8" s="1"/>
  <c r="F1356" i="1"/>
  <c r="F1360" i="1" s="1"/>
  <c r="E50" i="8" s="1"/>
  <c r="E1356" i="1"/>
  <c r="E1360" i="1" s="1"/>
  <c r="D50" i="8" s="1"/>
  <c r="D1356" i="1"/>
  <c r="D1360" i="1" s="1"/>
  <c r="C50" i="8" s="1"/>
  <c r="I1353" i="1"/>
  <c r="J1353" i="1" s="1"/>
  <c r="J1356" i="1" s="1"/>
  <c r="J1360" i="1" s="1"/>
  <c r="I1351" i="1"/>
  <c r="I1356" i="1" s="1"/>
  <c r="I1360" i="1" s="1"/>
  <c r="H50" i="8" s="1"/>
  <c r="G1349" i="1"/>
  <c r="H1349" i="1" s="1"/>
  <c r="F1348" i="1"/>
  <c r="F1347" i="1"/>
  <c r="G1347" i="1" s="1"/>
  <c r="E1346" i="1"/>
  <c r="E1345" i="1"/>
  <c r="F1345" i="1" s="1"/>
  <c r="D1344" i="1"/>
  <c r="E1343" i="1"/>
  <c r="D1342" i="1"/>
  <c r="E1342" i="1" s="1"/>
  <c r="F1342" i="1" s="1"/>
  <c r="G1342" i="1" s="1"/>
  <c r="H1342" i="1" s="1"/>
  <c r="I1342" i="1" s="1"/>
  <c r="J1342" i="1" s="1"/>
  <c r="K1342" i="1" s="1"/>
  <c r="J49" i="8"/>
  <c r="G1315" i="1"/>
  <c r="G1319" i="1" s="1"/>
  <c r="F49" i="8" s="1"/>
  <c r="F1315" i="1"/>
  <c r="F1319" i="1" s="1"/>
  <c r="E49" i="8" s="1"/>
  <c r="E1315" i="1"/>
  <c r="E1319" i="1" s="1"/>
  <c r="D49" i="8" s="1"/>
  <c r="D1315" i="1"/>
  <c r="D1319" i="1" s="1"/>
  <c r="C49" i="8" s="1"/>
  <c r="I1312" i="1"/>
  <c r="J1312" i="1" s="1"/>
  <c r="J1315" i="1" s="1"/>
  <c r="J1319" i="1" s="1"/>
  <c r="I1310" i="1"/>
  <c r="G1308" i="1"/>
  <c r="H1308" i="1" s="1"/>
  <c r="F1307" i="1"/>
  <c r="F1306" i="1"/>
  <c r="G1306" i="1" s="1"/>
  <c r="E1305" i="1"/>
  <c r="E1304" i="1"/>
  <c r="F1304" i="1" s="1"/>
  <c r="D1303" i="1"/>
  <c r="E1302" i="1"/>
  <c r="D1301" i="1"/>
  <c r="E1301" i="1" s="1"/>
  <c r="F1301" i="1" s="1"/>
  <c r="G1301" i="1" s="1"/>
  <c r="H1301" i="1" s="1"/>
  <c r="I1301" i="1" s="1"/>
  <c r="J1301" i="1" s="1"/>
  <c r="K1301" i="1" s="1"/>
  <c r="G1274" i="1"/>
  <c r="G1278" i="1" s="1"/>
  <c r="F1274" i="1"/>
  <c r="F1278" i="1" s="1"/>
  <c r="E1274" i="1"/>
  <c r="E1278" i="1" s="1"/>
  <c r="D1274" i="1"/>
  <c r="D1278" i="1" s="1"/>
  <c r="I1271" i="1"/>
  <c r="J1271" i="1" s="1"/>
  <c r="J1274" i="1" s="1"/>
  <c r="J1278" i="1" s="1"/>
  <c r="I1269" i="1"/>
  <c r="G1267" i="1"/>
  <c r="H1267" i="1" s="1"/>
  <c r="H1274" i="1" s="1"/>
  <c r="H1278" i="1" s="1"/>
  <c r="F1266" i="1"/>
  <c r="F1265" i="1"/>
  <c r="G1265" i="1" s="1"/>
  <c r="E1264" i="1"/>
  <c r="E1263" i="1"/>
  <c r="F1263" i="1" s="1"/>
  <c r="D1262" i="1"/>
  <c r="E1261" i="1"/>
  <c r="D1260" i="1"/>
  <c r="E1260" i="1" s="1"/>
  <c r="F1260" i="1" s="1"/>
  <c r="G1260" i="1" s="1"/>
  <c r="H1260" i="1" s="1"/>
  <c r="I1260" i="1" s="1"/>
  <c r="J1260" i="1" s="1"/>
  <c r="K1260" i="1" s="1"/>
  <c r="G1232" i="1"/>
  <c r="F1232" i="1"/>
  <c r="E1232" i="1"/>
  <c r="D1232" i="1"/>
  <c r="I1227" i="1"/>
  <c r="F1224" i="1"/>
  <c r="E1222" i="1"/>
  <c r="D1220" i="1"/>
  <c r="E1219" i="1"/>
  <c r="D1218" i="1"/>
  <c r="E1218" i="1" s="1"/>
  <c r="F1218" i="1" s="1"/>
  <c r="G1218" i="1" s="1"/>
  <c r="H1218" i="1" s="1"/>
  <c r="I1218" i="1" s="1"/>
  <c r="J1218" i="1" s="1"/>
  <c r="K1218" i="1" s="1"/>
  <c r="C1199" i="1"/>
  <c r="I1160" i="1"/>
  <c r="C1073" i="1"/>
  <c r="C1115" i="1"/>
  <c r="C1157" i="1"/>
  <c r="C1282" i="1"/>
  <c r="I227" i="1"/>
  <c r="I611" i="1"/>
  <c r="F1205" i="1"/>
  <c r="F1223" i="1" s="1"/>
  <c r="G1223" i="1" s="1"/>
  <c r="G1205" i="1"/>
  <c r="G1225" i="1" s="1"/>
  <c r="H1225" i="1" s="1"/>
  <c r="H1205" i="1"/>
  <c r="I1205" i="1"/>
  <c r="I1229" i="1" s="1"/>
  <c r="J1229" i="1" s="1"/>
  <c r="J1232" i="1" s="1"/>
  <c r="J1236" i="1" s="1"/>
  <c r="F1208" i="1"/>
  <c r="G1208" i="1"/>
  <c r="H1208" i="1"/>
  <c r="I1208" i="1"/>
  <c r="F1209" i="1"/>
  <c r="G1209" i="1"/>
  <c r="H1209" i="1"/>
  <c r="I1209" i="1"/>
  <c r="F1216" i="1"/>
  <c r="G1216" i="1"/>
  <c r="H1216" i="1"/>
  <c r="I1216" i="1"/>
  <c r="E1051" i="1"/>
  <c r="D1052" i="1"/>
  <c r="E1054" i="1"/>
  <c r="F1056" i="1"/>
  <c r="E1009" i="1"/>
  <c r="D1010" i="1"/>
  <c r="E1012" i="1"/>
  <c r="F1014" i="1"/>
  <c r="E967" i="1"/>
  <c r="D968" i="1"/>
  <c r="E970" i="1"/>
  <c r="F972" i="1"/>
  <c r="G974" i="1"/>
  <c r="H976" i="1"/>
  <c r="D980" i="1"/>
  <c r="E980" i="1"/>
  <c r="E925" i="1"/>
  <c r="D926" i="1"/>
  <c r="E928" i="1"/>
  <c r="F930" i="1"/>
  <c r="J402" i="1"/>
  <c r="J395" i="1"/>
  <c r="J396" i="1" s="1"/>
  <c r="I635" i="1" l="1"/>
  <c r="J635" i="1" s="1"/>
  <c r="J638" i="1" s="1"/>
  <c r="I1397" i="1"/>
  <c r="I1401" i="1" s="1"/>
  <c r="H51" i="8" s="1"/>
  <c r="J424" i="1"/>
  <c r="I49" i="8"/>
  <c r="I50" i="8"/>
  <c r="J1444" i="1"/>
  <c r="I52" i="8" s="1"/>
  <c r="J1487" i="1"/>
  <c r="I53" i="8" s="1"/>
  <c r="J1530" i="1"/>
  <c r="I54" i="8" s="1"/>
  <c r="J1572" i="1"/>
  <c r="I55" i="8" s="1"/>
  <c r="I51" i="8"/>
  <c r="I1614" i="1"/>
  <c r="H56" i="8" s="1"/>
  <c r="J1605" i="1"/>
  <c r="I1440" i="1"/>
  <c r="I1444" i="1" s="1"/>
  <c r="H52" i="8" s="1"/>
  <c r="I1572" i="1"/>
  <c r="H55" i="8" s="1"/>
  <c r="I1526" i="1"/>
  <c r="I1530" i="1" s="1"/>
  <c r="H54" i="8" s="1"/>
  <c r="H1610" i="1"/>
  <c r="H1614" i="1" s="1"/>
  <c r="G56" i="8" s="1"/>
  <c r="J188" i="1"/>
  <c r="I1315" i="1"/>
  <c r="I1319" i="1" s="1"/>
  <c r="H49" i="8" s="1"/>
  <c r="I1483" i="1"/>
  <c r="I1487" i="1" s="1"/>
  <c r="H53" i="8" s="1"/>
  <c r="H1572" i="1"/>
  <c r="G55" i="8" s="1"/>
  <c r="H1483" i="1"/>
  <c r="H1487" i="1" s="1"/>
  <c r="G53" i="8" s="1"/>
  <c r="H1440" i="1"/>
  <c r="H1444" i="1" s="1"/>
  <c r="G52" i="8" s="1"/>
  <c r="I1431" i="1"/>
  <c r="J702" i="1"/>
  <c r="J730" i="1" s="1"/>
  <c r="I1390" i="1"/>
  <c r="H1397" i="1"/>
  <c r="H1401" i="1" s="1"/>
  <c r="G51" i="8" s="1"/>
  <c r="I1232" i="1"/>
  <c r="I1274" i="1"/>
  <c r="I1278" i="1" s="1"/>
  <c r="H1356" i="1"/>
  <c r="H1360" i="1" s="1"/>
  <c r="G50" i="8" s="1"/>
  <c r="I1349" i="1"/>
  <c r="H1315" i="1"/>
  <c r="H1319" i="1" s="1"/>
  <c r="G49" i="8" s="1"/>
  <c r="I1308" i="1"/>
  <c r="I1267" i="1"/>
  <c r="H1232" i="1"/>
  <c r="I1225" i="1"/>
  <c r="H1210" i="1"/>
  <c r="J48" i="8"/>
  <c r="G1210" i="1"/>
  <c r="G1236" i="1" s="1"/>
  <c r="F48" i="8" s="1"/>
  <c r="I1210" i="1"/>
  <c r="I1236" i="1" s="1"/>
  <c r="H48" i="8" s="1"/>
  <c r="I48" i="8"/>
  <c r="F1210" i="1"/>
  <c r="F1236" i="1" s="1"/>
  <c r="E48" i="8" s="1"/>
  <c r="J1610" i="1" l="1"/>
  <c r="J1614" i="1" s="1"/>
  <c r="I56" i="8" s="1"/>
  <c r="H1236" i="1"/>
  <c r="G48" i="8" s="1"/>
  <c r="I391" i="1" l="1"/>
  <c r="J615" i="1" l="1"/>
  <c r="J616" i="1" s="1"/>
  <c r="F630" i="1"/>
  <c r="E628" i="1"/>
  <c r="D626" i="1"/>
  <c r="J622" i="1"/>
  <c r="J483" i="1"/>
  <c r="J484" i="1" s="1"/>
  <c r="J490" i="1"/>
  <c r="J439" i="1"/>
  <c r="J440" i="1" s="1"/>
  <c r="J446" i="1"/>
  <c r="J357" i="1"/>
  <c r="J358" i="1" s="1"/>
  <c r="J364" i="1"/>
  <c r="J318" i="1"/>
  <c r="J319" i="1"/>
  <c r="J326" i="1"/>
  <c r="J274" i="1"/>
  <c r="J275" i="1"/>
  <c r="J282" i="1"/>
  <c r="J238" i="1"/>
  <c r="J230" i="1"/>
  <c r="J231" i="1"/>
  <c r="J468" i="1" l="1"/>
  <c r="J512" i="1"/>
  <c r="J320" i="1"/>
  <c r="J276" i="1"/>
  <c r="I832" i="1"/>
  <c r="I853" i="1"/>
  <c r="J853" i="1" s="1"/>
  <c r="J856" i="1" s="1"/>
  <c r="J860" i="1" s="1"/>
  <c r="J656" i="1"/>
  <c r="J657" i="1"/>
  <c r="J571" i="1"/>
  <c r="J527" i="1"/>
  <c r="J207" i="1"/>
  <c r="J163" i="1"/>
  <c r="J168" i="1" s="1"/>
  <c r="J142" i="1"/>
  <c r="J143" i="1"/>
  <c r="J119" i="1"/>
  <c r="J98" i="1"/>
  <c r="J99" i="1"/>
  <c r="I76" i="1"/>
  <c r="J75" i="1"/>
  <c r="K572" i="1"/>
  <c r="K578" i="1"/>
  <c r="K611" i="1"/>
  <c r="I40" i="6"/>
  <c r="H40" i="6"/>
  <c r="I17" i="6"/>
  <c r="I18" i="6"/>
  <c r="I19" i="6"/>
  <c r="B4" i="6"/>
  <c r="J33" i="8" l="1"/>
  <c r="J80" i="1"/>
  <c r="J124" i="1"/>
  <c r="J212" i="1"/>
  <c r="J30" i="8"/>
  <c r="J29" i="8"/>
  <c r="J25" i="8"/>
  <c r="J24" i="8"/>
  <c r="J36" i="8"/>
  <c r="K642" i="1"/>
  <c r="J34" i="8" s="1"/>
  <c r="J31" i="8"/>
  <c r="J22" i="8"/>
  <c r="K56" i="1"/>
  <c r="J39" i="8"/>
  <c r="I20" i="6"/>
  <c r="H653" i="1"/>
  <c r="H675" i="1" s="1"/>
  <c r="I675" i="1" s="1"/>
  <c r="J13" i="6" l="1"/>
  <c r="J21" i="8"/>
  <c r="F51" i="1"/>
  <c r="G51" i="1"/>
  <c r="G95" i="1"/>
  <c r="F95" i="1"/>
  <c r="E95" i="1"/>
  <c r="D95" i="1"/>
  <c r="D51" i="1"/>
  <c r="E51" i="1"/>
  <c r="D139" i="1"/>
  <c r="E139" i="1"/>
  <c r="F139" i="1"/>
  <c r="G139" i="1"/>
  <c r="H139" i="1"/>
  <c r="D183" i="1"/>
  <c r="E183" i="1"/>
  <c r="F183" i="1"/>
  <c r="G183" i="1"/>
  <c r="H183" i="1"/>
  <c r="E353" i="1"/>
  <c r="F353" i="1"/>
  <c r="E391" i="1"/>
  <c r="F391" i="1"/>
  <c r="G391" i="1"/>
  <c r="H391" i="1"/>
  <c r="E435" i="1"/>
  <c r="F435" i="1"/>
  <c r="G435" i="1"/>
  <c r="H435" i="1"/>
  <c r="I435" i="1"/>
  <c r="E479" i="1"/>
  <c r="F479" i="1"/>
  <c r="G479" i="1"/>
  <c r="H479" i="1"/>
  <c r="E523" i="1"/>
  <c r="F523" i="1"/>
  <c r="G523" i="1"/>
  <c r="H523" i="1"/>
  <c r="H567" i="1"/>
  <c r="I567" i="1"/>
  <c r="I591" i="1" s="1"/>
  <c r="J591" i="1" s="1"/>
  <c r="J596" i="1" s="1"/>
  <c r="H697" i="1"/>
  <c r="H719" i="1" s="1"/>
  <c r="H741" i="1"/>
  <c r="H763" i="1" s="1"/>
  <c r="I763" i="1" s="1"/>
  <c r="I770" i="1" s="1"/>
  <c r="D227" i="1"/>
  <c r="H227" i="1"/>
  <c r="I719" i="1" l="1"/>
  <c r="I726" i="1" s="1"/>
  <c r="H726" i="1"/>
  <c r="H785" i="1"/>
  <c r="H807" i="1" s="1"/>
  <c r="I807" i="1" s="1"/>
  <c r="K21" i="8" l="1"/>
  <c r="L21" i="8"/>
  <c r="M21" i="8"/>
  <c r="N21" i="8"/>
  <c r="K22" i="8"/>
  <c r="L22" i="8"/>
  <c r="M22" i="8"/>
  <c r="N22" i="8"/>
  <c r="K23" i="8"/>
  <c r="L23" i="8"/>
  <c r="M23" i="8"/>
  <c r="N23" i="8"/>
  <c r="K24" i="8"/>
  <c r="L24" i="8"/>
  <c r="M24" i="8"/>
  <c r="N24" i="8"/>
  <c r="K25" i="8"/>
  <c r="L25" i="8"/>
  <c r="M25" i="8"/>
  <c r="N25" i="8"/>
  <c r="K26" i="8"/>
  <c r="L26" i="8"/>
  <c r="M26" i="8"/>
  <c r="N26" i="8"/>
  <c r="K27" i="8"/>
  <c r="L27" i="8"/>
  <c r="M27" i="8"/>
  <c r="N27" i="8"/>
  <c r="K28" i="8"/>
  <c r="L28" i="8"/>
  <c r="M28" i="8"/>
  <c r="N28" i="8"/>
  <c r="K29" i="8"/>
  <c r="L29" i="8"/>
  <c r="M29" i="8"/>
  <c r="N29" i="8"/>
  <c r="K30" i="8"/>
  <c r="L30" i="8"/>
  <c r="M30" i="8"/>
  <c r="N30" i="8"/>
  <c r="K31" i="8"/>
  <c r="L31" i="8"/>
  <c r="M31" i="8"/>
  <c r="N31" i="8"/>
  <c r="K32" i="8"/>
  <c r="L32" i="8"/>
  <c r="M32" i="8"/>
  <c r="N32" i="8"/>
  <c r="K33" i="8"/>
  <c r="L33" i="8"/>
  <c r="M33" i="8"/>
  <c r="N33" i="8"/>
  <c r="K34" i="8"/>
  <c r="L34" i="8"/>
  <c r="M34" i="8"/>
  <c r="N34" i="8"/>
  <c r="K35" i="8"/>
  <c r="L35" i="8"/>
  <c r="M35" i="8"/>
  <c r="N35" i="8"/>
  <c r="K36" i="8"/>
  <c r="L36" i="8"/>
  <c r="M36" i="8"/>
  <c r="N36" i="8"/>
  <c r="K37" i="8"/>
  <c r="L37" i="8"/>
  <c r="M37" i="8"/>
  <c r="N37" i="8"/>
  <c r="K38" i="8"/>
  <c r="L38" i="8"/>
  <c r="M38" i="8"/>
  <c r="N38" i="8"/>
  <c r="K39" i="8"/>
  <c r="L39" i="8"/>
  <c r="M39" i="8"/>
  <c r="N39" i="8"/>
  <c r="K40" i="8"/>
  <c r="L40" i="8"/>
  <c r="M40" i="8"/>
  <c r="N40" i="8"/>
  <c r="K41" i="8"/>
  <c r="L41" i="8"/>
  <c r="M41" i="8"/>
  <c r="N41" i="8"/>
  <c r="K42" i="8"/>
  <c r="L42" i="8"/>
  <c r="M42" i="8"/>
  <c r="N42" i="8"/>
  <c r="K43" i="8"/>
  <c r="L43" i="8"/>
  <c r="M43" i="8"/>
  <c r="N43" i="8"/>
  <c r="K44" i="8"/>
  <c r="L44" i="8"/>
  <c r="M44" i="8"/>
  <c r="N44" i="8"/>
  <c r="K45" i="8"/>
  <c r="L45" i="8"/>
  <c r="M45" i="8"/>
  <c r="N45" i="8"/>
  <c r="K46" i="8"/>
  <c r="L46" i="8"/>
  <c r="M46" i="8"/>
  <c r="N46" i="8"/>
  <c r="K47" i="8"/>
  <c r="L47" i="8"/>
  <c r="M47" i="8"/>
  <c r="N47" i="8"/>
  <c r="K48" i="8"/>
  <c r="L48" i="8"/>
  <c r="M48" i="8"/>
  <c r="N48" i="8"/>
  <c r="K49" i="8"/>
  <c r="L49" i="8"/>
  <c r="M49" i="8"/>
  <c r="N49" i="8"/>
  <c r="K50" i="8"/>
  <c r="L50" i="8"/>
  <c r="M50" i="8"/>
  <c r="N50" i="8"/>
  <c r="G1190" i="1" l="1"/>
  <c r="F1190" i="1"/>
  <c r="E1190" i="1"/>
  <c r="D1190" i="1"/>
  <c r="I1185" i="1"/>
  <c r="F1182" i="1"/>
  <c r="E1180" i="1"/>
  <c r="D1178" i="1"/>
  <c r="E1177" i="1"/>
  <c r="D1176" i="1"/>
  <c r="E1176" i="1" s="1"/>
  <c r="F1176" i="1" s="1"/>
  <c r="G1176" i="1" s="1"/>
  <c r="H1176" i="1" s="1"/>
  <c r="I1176" i="1" s="1"/>
  <c r="J1176" i="1" s="1"/>
  <c r="K1176" i="1" s="1"/>
  <c r="I1174" i="1"/>
  <c r="H1174" i="1"/>
  <c r="G1174" i="1"/>
  <c r="F1174" i="1"/>
  <c r="E1174" i="1"/>
  <c r="D1174" i="1"/>
  <c r="D1170" i="1"/>
  <c r="E1170" i="1" s="1"/>
  <c r="F1170" i="1" s="1"/>
  <c r="G1170" i="1" s="1"/>
  <c r="H1170" i="1" s="1"/>
  <c r="I1170" i="1" s="1"/>
  <c r="J1170" i="1" s="1"/>
  <c r="K1170" i="1" s="1"/>
  <c r="I1167" i="1"/>
  <c r="H1167" i="1"/>
  <c r="G1167" i="1"/>
  <c r="F1167" i="1"/>
  <c r="E1167" i="1"/>
  <c r="D1167" i="1"/>
  <c r="I1166" i="1"/>
  <c r="H1166" i="1"/>
  <c r="G1166" i="1"/>
  <c r="F1166" i="1"/>
  <c r="E1166" i="1"/>
  <c r="D1166" i="1"/>
  <c r="D1165" i="1"/>
  <c r="E1165" i="1" s="1"/>
  <c r="F1165" i="1" s="1"/>
  <c r="G1165" i="1" s="1"/>
  <c r="H1165" i="1" s="1"/>
  <c r="I1165" i="1" s="1"/>
  <c r="J1165" i="1" s="1"/>
  <c r="K1165" i="1" s="1"/>
  <c r="I1163" i="1"/>
  <c r="I1187" i="1" s="1"/>
  <c r="J1187" i="1" s="1"/>
  <c r="J1190" i="1" s="1"/>
  <c r="J1194" i="1" s="1"/>
  <c r="H1163" i="1"/>
  <c r="G1163" i="1"/>
  <c r="G1183" i="1" s="1"/>
  <c r="H1183" i="1" s="1"/>
  <c r="F1163" i="1"/>
  <c r="F1181" i="1" s="1"/>
  <c r="G1181" i="1" s="1"/>
  <c r="E1163" i="1"/>
  <c r="E1179" i="1" s="1"/>
  <c r="F1179" i="1" s="1"/>
  <c r="D1163" i="1"/>
  <c r="D1159" i="1"/>
  <c r="E1159" i="1" s="1"/>
  <c r="F1159" i="1" s="1"/>
  <c r="G1159" i="1" s="1"/>
  <c r="H1159" i="1" s="1"/>
  <c r="I1159" i="1" s="1"/>
  <c r="J1159" i="1" s="1"/>
  <c r="K1159" i="1" s="1"/>
  <c r="J658" i="1"/>
  <c r="J664" i="1"/>
  <c r="I545" i="1"/>
  <c r="B635" i="1"/>
  <c r="B634" i="1"/>
  <c r="G40" i="6"/>
  <c r="I457" i="1"/>
  <c r="C605" i="1"/>
  <c r="G292" i="1"/>
  <c r="B295" i="1"/>
  <c r="H294" i="1"/>
  <c r="B294" i="1"/>
  <c r="H250" i="1"/>
  <c r="G248" i="1"/>
  <c r="B251" i="1"/>
  <c r="B250" i="1"/>
  <c r="J32" i="8" l="1"/>
  <c r="D1168" i="1"/>
  <c r="H1168" i="1"/>
  <c r="G1168" i="1"/>
  <c r="G1194" i="1" s="1"/>
  <c r="F47" i="8" s="1"/>
  <c r="F1168" i="1"/>
  <c r="F1194" i="1" s="1"/>
  <c r="E47" i="8" s="1"/>
  <c r="E1168" i="1"/>
  <c r="I1168" i="1"/>
  <c r="H1190" i="1"/>
  <c r="I1183" i="1"/>
  <c r="I1190" i="1"/>
  <c r="J47" i="8" l="1"/>
  <c r="H1194" i="1"/>
  <c r="G47" i="8" s="1"/>
  <c r="I1194" i="1"/>
  <c r="H47" i="8" s="1"/>
  <c r="I47" i="8" l="1"/>
  <c r="D9" i="6"/>
  <c r="E9" i="6"/>
  <c r="C9" i="6"/>
  <c r="F1040" i="1"/>
  <c r="G1040" i="1"/>
  <c r="H1040" i="1"/>
  <c r="I1040" i="1"/>
  <c r="F1041" i="1"/>
  <c r="G1041" i="1"/>
  <c r="H1041" i="1"/>
  <c r="I1041" i="1"/>
  <c r="F956" i="1"/>
  <c r="G956" i="1"/>
  <c r="H956" i="1"/>
  <c r="I956" i="1"/>
  <c r="F957" i="1"/>
  <c r="G957" i="1"/>
  <c r="H957" i="1"/>
  <c r="I957" i="1"/>
  <c r="F914" i="1"/>
  <c r="G914" i="1"/>
  <c r="H914" i="1"/>
  <c r="I914" i="1"/>
  <c r="F915" i="1"/>
  <c r="G915" i="1"/>
  <c r="H915" i="1"/>
  <c r="I915" i="1"/>
  <c r="E829" i="1"/>
  <c r="F829" i="1"/>
  <c r="G829" i="1"/>
  <c r="H829" i="1"/>
  <c r="D829" i="1"/>
  <c r="E785" i="1"/>
  <c r="E801" i="1" s="1"/>
  <c r="F801" i="1" s="1"/>
  <c r="F785" i="1"/>
  <c r="F803" i="1" s="1"/>
  <c r="G803" i="1" s="1"/>
  <c r="G785" i="1"/>
  <c r="D785" i="1"/>
  <c r="E741" i="1"/>
  <c r="E757" i="1" s="1"/>
  <c r="F757" i="1" s="1"/>
  <c r="F741" i="1"/>
  <c r="F759" i="1" s="1"/>
  <c r="G759" i="1" s="1"/>
  <c r="G741" i="1"/>
  <c r="D741" i="1"/>
  <c r="E697" i="1"/>
  <c r="E713" i="1" s="1"/>
  <c r="F713" i="1" s="1"/>
  <c r="F697" i="1"/>
  <c r="F715" i="1" s="1"/>
  <c r="G715" i="1" s="1"/>
  <c r="G697" i="1"/>
  <c r="D697" i="1"/>
  <c r="D711" i="1" s="1"/>
  <c r="E711" i="1" s="1"/>
  <c r="E653" i="1"/>
  <c r="E669" i="1" s="1"/>
  <c r="F669" i="1" s="1"/>
  <c r="F653" i="1"/>
  <c r="F671" i="1" s="1"/>
  <c r="G671" i="1" s="1"/>
  <c r="G653" i="1"/>
  <c r="G673" i="1" s="1"/>
  <c r="H673" i="1" s="1"/>
  <c r="D653" i="1"/>
  <c r="D667" i="1" s="1"/>
  <c r="E667" i="1" s="1"/>
  <c r="E567" i="1"/>
  <c r="F567" i="1"/>
  <c r="G567" i="1"/>
  <c r="J567" i="1"/>
  <c r="D567" i="1"/>
  <c r="D523" i="1"/>
  <c r="D479" i="1"/>
  <c r="I30" i="8"/>
  <c r="D435" i="1"/>
  <c r="D391" i="1"/>
  <c r="G353" i="1"/>
  <c r="H353" i="1"/>
  <c r="I353" i="1"/>
  <c r="J353" i="1"/>
  <c r="J380" i="1" s="1"/>
  <c r="I28" i="8" s="1"/>
  <c r="D353" i="1"/>
  <c r="E315" i="1"/>
  <c r="F315" i="1"/>
  <c r="G315" i="1"/>
  <c r="H315" i="1"/>
  <c r="I315" i="1"/>
  <c r="J315" i="1"/>
  <c r="J342" i="1" s="1"/>
  <c r="I27" i="8" s="1"/>
  <c r="D315" i="1"/>
  <c r="D271" i="1"/>
  <c r="H502" i="1"/>
  <c r="I31" i="8" l="1"/>
  <c r="G30" i="6"/>
  <c r="G1148" i="1"/>
  <c r="F1148" i="1"/>
  <c r="E1148" i="1"/>
  <c r="D1148" i="1"/>
  <c r="I1143" i="1"/>
  <c r="F1140" i="1"/>
  <c r="E1138" i="1"/>
  <c r="D1136" i="1"/>
  <c r="E1135" i="1"/>
  <c r="D1134" i="1"/>
  <c r="E1134" i="1" s="1"/>
  <c r="F1134" i="1" s="1"/>
  <c r="G1134" i="1" s="1"/>
  <c r="H1134" i="1" s="1"/>
  <c r="I1134" i="1" s="1"/>
  <c r="J1134" i="1" s="1"/>
  <c r="K1134" i="1" s="1"/>
  <c r="I1132" i="1"/>
  <c r="H1132" i="1"/>
  <c r="G1132" i="1"/>
  <c r="F1132" i="1"/>
  <c r="E1132" i="1"/>
  <c r="D1132" i="1"/>
  <c r="D1128" i="1"/>
  <c r="E1128" i="1" s="1"/>
  <c r="F1128" i="1" s="1"/>
  <c r="G1128" i="1" s="1"/>
  <c r="H1128" i="1" s="1"/>
  <c r="I1128" i="1" s="1"/>
  <c r="J1128" i="1" s="1"/>
  <c r="K1128" i="1" s="1"/>
  <c r="I1125" i="1"/>
  <c r="H1125" i="1"/>
  <c r="G1125" i="1"/>
  <c r="F1125" i="1"/>
  <c r="E1125" i="1"/>
  <c r="D1125" i="1"/>
  <c r="I1124" i="1"/>
  <c r="H1124" i="1"/>
  <c r="G1124" i="1"/>
  <c r="F1124" i="1"/>
  <c r="E1124" i="1"/>
  <c r="D1124" i="1"/>
  <c r="D1123" i="1"/>
  <c r="E1123" i="1" s="1"/>
  <c r="F1123" i="1" s="1"/>
  <c r="G1123" i="1" s="1"/>
  <c r="H1123" i="1" s="1"/>
  <c r="I1123" i="1" s="1"/>
  <c r="J1123" i="1" s="1"/>
  <c r="K1123" i="1" s="1"/>
  <c r="I1121" i="1"/>
  <c r="I1145" i="1" s="1"/>
  <c r="J1145" i="1" s="1"/>
  <c r="J1148" i="1" s="1"/>
  <c r="J1152" i="1" s="1"/>
  <c r="H1121" i="1"/>
  <c r="G1121" i="1"/>
  <c r="G1141" i="1" s="1"/>
  <c r="H1141" i="1" s="1"/>
  <c r="F1121" i="1"/>
  <c r="F1139" i="1" s="1"/>
  <c r="G1139" i="1" s="1"/>
  <c r="E1121" i="1"/>
  <c r="D1121" i="1"/>
  <c r="D1117" i="1"/>
  <c r="E1117" i="1" s="1"/>
  <c r="F1117" i="1" s="1"/>
  <c r="G1117" i="1" s="1"/>
  <c r="H1117" i="1" s="1"/>
  <c r="I1117" i="1" s="1"/>
  <c r="J1117" i="1" s="1"/>
  <c r="K1117" i="1" s="1"/>
  <c r="G1106" i="1"/>
  <c r="F1106" i="1"/>
  <c r="E1106" i="1"/>
  <c r="D1106" i="1"/>
  <c r="I1101" i="1"/>
  <c r="F1098" i="1"/>
  <c r="E1096" i="1"/>
  <c r="D1094" i="1"/>
  <c r="E1093" i="1"/>
  <c r="D1092" i="1"/>
  <c r="E1092" i="1" s="1"/>
  <c r="F1092" i="1" s="1"/>
  <c r="G1092" i="1" s="1"/>
  <c r="H1092" i="1" s="1"/>
  <c r="I1092" i="1" s="1"/>
  <c r="J1092" i="1" s="1"/>
  <c r="K1092" i="1" s="1"/>
  <c r="I1090" i="1"/>
  <c r="H1090" i="1"/>
  <c r="G1090" i="1"/>
  <c r="F1090" i="1"/>
  <c r="E1090" i="1"/>
  <c r="D1090" i="1"/>
  <c r="D1086" i="1"/>
  <c r="E1086" i="1" s="1"/>
  <c r="F1086" i="1" s="1"/>
  <c r="G1086" i="1" s="1"/>
  <c r="H1086" i="1" s="1"/>
  <c r="I1086" i="1" s="1"/>
  <c r="J1086" i="1" s="1"/>
  <c r="K1086" i="1" s="1"/>
  <c r="I1083" i="1"/>
  <c r="H1083" i="1"/>
  <c r="G1083" i="1"/>
  <c r="F1083" i="1"/>
  <c r="E1083" i="1"/>
  <c r="D1083" i="1"/>
  <c r="I1082" i="1"/>
  <c r="H1082" i="1"/>
  <c r="G1082" i="1"/>
  <c r="F1082" i="1"/>
  <c r="E1082" i="1"/>
  <c r="D1082" i="1"/>
  <c r="D1081" i="1"/>
  <c r="E1081" i="1" s="1"/>
  <c r="F1081" i="1" s="1"/>
  <c r="G1081" i="1" s="1"/>
  <c r="H1081" i="1" s="1"/>
  <c r="I1081" i="1" s="1"/>
  <c r="J1081" i="1" s="1"/>
  <c r="K1081" i="1" s="1"/>
  <c r="I1079" i="1"/>
  <c r="I1103" i="1" s="1"/>
  <c r="J1103" i="1" s="1"/>
  <c r="J1106" i="1" s="1"/>
  <c r="J1110" i="1" s="1"/>
  <c r="H1079" i="1"/>
  <c r="G1079" i="1"/>
  <c r="F1079" i="1"/>
  <c r="E1079" i="1"/>
  <c r="E1095" i="1" s="1"/>
  <c r="F1095" i="1" s="1"/>
  <c r="D1079" i="1"/>
  <c r="D1075" i="1"/>
  <c r="E1075" i="1" s="1"/>
  <c r="F1075" i="1" s="1"/>
  <c r="G1075" i="1" s="1"/>
  <c r="H1075" i="1" s="1"/>
  <c r="I1075" i="1" s="1"/>
  <c r="J1075" i="1" s="1"/>
  <c r="K1075" i="1" s="1"/>
  <c r="L682" i="1" l="1"/>
  <c r="L686" i="1" s="1"/>
  <c r="J37" i="8"/>
  <c r="I37" i="8"/>
  <c r="J682" i="1"/>
  <c r="F1084" i="1"/>
  <c r="F1110" i="1" s="1"/>
  <c r="E45" i="8" s="1"/>
  <c r="E1126" i="1"/>
  <c r="E1152" i="1" s="1"/>
  <c r="D46" i="8" s="1"/>
  <c r="G1126" i="1"/>
  <c r="G1152" i="1" s="1"/>
  <c r="F46" i="8" s="1"/>
  <c r="H1126" i="1"/>
  <c r="D1084" i="1"/>
  <c r="D1110" i="1" s="1"/>
  <c r="C45" i="8" s="1"/>
  <c r="G1084" i="1"/>
  <c r="G1110" i="1" s="1"/>
  <c r="F45" i="8" s="1"/>
  <c r="D1126" i="1"/>
  <c r="D1152" i="1" s="1"/>
  <c r="C46" i="8" s="1"/>
  <c r="E1084" i="1"/>
  <c r="E1110" i="1" s="1"/>
  <c r="D45" i="8" s="1"/>
  <c r="F1126" i="1"/>
  <c r="F1152" i="1" s="1"/>
  <c r="E46" i="8" s="1"/>
  <c r="I1148" i="1"/>
  <c r="I1126" i="1"/>
  <c r="H1148" i="1"/>
  <c r="I1141" i="1"/>
  <c r="E1137" i="1"/>
  <c r="F1137" i="1" s="1"/>
  <c r="I1084" i="1"/>
  <c r="I1106" i="1"/>
  <c r="H1084" i="1"/>
  <c r="G1099" i="1"/>
  <c r="H1099" i="1" s="1"/>
  <c r="F1097" i="1"/>
  <c r="G1097" i="1" s="1"/>
  <c r="J686" i="1" l="1"/>
  <c r="I35" i="8" s="1"/>
  <c r="J45" i="8"/>
  <c r="J46" i="8"/>
  <c r="I46" i="8"/>
  <c r="J35" i="8"/>
  <c r="I45" i="8"/>
  <c r="H1152" i="1"/>
  <c r="G46" i="8" s="1"/>
  <c r="I1152" i="1"/>
  <c r="H46" i="8" s="1"/>
  <c r="I1110" i="1"/>
  <c r="H45" i="8" s="1"/>
  <c r="H1106" i="1"/>
  <c r="H1110" i="1" s="1"/>
  <c r="G45" i="8" s="1"/>
  <c r="I1099" i="1"/>
  <c r="F998" i="1" l="1"/>
  <c r="G998" i="1"/>
  <c r="H998" i="1"/>
  <c r="I998" i="1"/>
  <c r="F999" i="1"/>
  <c r="G999" i="1"/>
  <c r="H999" i="1"/>
  <c r="I999" i="1"/>
  <c r="D1064" i="1"/>
  <c r="G1037" i="1"/>
  <c r="G1057" i="1" s="1"/>
  <c r="H1057" i="1" s="1"/>
  <c r="I1057" i="1" s="1"/>
  <c r="H1037" i="1"/>
  <c r="H1059" i="1" s="1"/>
  <c r="I1059" i="1" s="1"/>
  <c r="I1037" i="1"/>
  <c r="I1061" i="1" s="1"/>
  <c r="J1061" i="1" s="1"/>
  <c r="J1064" i="1" s="1"/>
  <c r="J1068" i="1" s="1"/>
  <c r="G1048" i="1"/>
  <c r="H1048" i="1"/>
  <c r="I1048" i="1"/>
  <c r="I953" i="1"/>
  <c r="I977" i="1" s="1"/>
  <c r="J977" i="1" s="1"/>
  <c r="G1022" i="1"/>
  <c r="F1022" i="1"/>
  <c r="E1022" i="1"/>
  <c r="D1022" i="1"/>
  <c r="G995" i="1"/>
  <c r="G1015" i="1" s="1"/>
  <c r="H1015" i="1" s="1"/>
  <c r="I1015" i="1" s="1"/>
  <c r="H995" i="1"/>
  <c r="H1017" i="1" s="1"/>
  <c r="I1017" i="1" s="1"/>
  <c r="I995" i="1"/>
  <c r="I1019" i="1" s="1"/>
  <c r="J1019" i="1" s="1"/>
  <c r="G1006" i="1"/>
  <c r="H1006" i="1"/>
  <c r="I1006" i="1"/>
  <c r="G938" i="1"/>
  <c r="F938" i="1"/>
  <c r="E938" i="1"/>
  <c r="D938" i="1"/>
  <c r="G953" i="1"/>
  <c r="G973" i="1" s="1"/>
  <c r="H973" i="1" s="1"/>
  <c r="H953" i="1"/>
  <c r="H975" i="1" s="1"/>
  <c r="I975" i="1" s="1"/>
  <c r="G964" i="1"/>
  <c r="H964" i="1"/>
  <c r="I964" i="1"/>
  <c r="D953" i="1"/>
  <c r="E953" i="1"/>
  <c r="E969" i="1" s="1"/>
  <c r="F969" i="1" s="1"/>
  <c r="F953" i="1"/>
  <c r="F971" i="1" s="1"/>
  <c r="G971" i="1" s="1"/>
  <c r="D955" i="1"/>
  <c r="E955" i="1" s="1"/>
  <c r="F955" i="1" s="1"/>
  <c r="G955" i="1" s="1"/>
  <c r="H955" i="1" s="1"/>
  <c r="I955" i="1" s="1"/>
  <c r="J955" i="1" s="1"/>
  <c r="K955" i="1" s="1"/>
  <c r="D956" i="1"/>
  <c r="E956" i="1"/>
  <c r="D957" i="1"/>
  <c r="E957" i="1"/>
  <c r="D960" i="1"/>
  <c r="E960" i="1" s="1"/>
  <c r="F960" i="1" s="1"/>
  <c r="G960" i="1" s="1"/>
  <c r="H960" i="1" s="1"/>
  <c r="I960" i="1" s="1"/>
  <c r="J960" i="1" s="1"/>
  <c r="K960" i="1" s="1"/>
  <c r="D964" i="1"/>
  <c r="E964" i="1"/>
  <c r="F964" i="1"/>
  <c r="D966" i="1"/>
  <c r="E966" i="1" s="1"/>
  <c r="F966" i="1" s="1"/>
  <c r="G966" i="1" s="1"/>
  <c r="H966" i="1" s="1"/>
  <c r="I966" i="1" s="1"/>
  <c r="J966" i="1" s="1"/>
  <c r="K966" i="1" s="1"/>
  <c r="G896" i="1"/>
  <c r="H871" i="1"/>
  <c r="I871" i="1"/>
  <c r="G17" i="6"/>
  <c r="G18" i="6"/>
  <c r="G19" i="6"/>
  <c r="C865" i="1"/>
  <c r="F896" i="1"/>
  <c r="C823" i="1"/>
  <c r="B826" i="1" s="1"/>
  <c r="D825" i="1"/>
  <c r="E825" i="1" s="1"/>
  <c r="F825" i="1" s="1"/>
  <c r="G825" i="1" s="1"/>
  <c r="H825" i="1" s="1"/>
  <c r="I825" i="1" s="1"/>
  <c r="J825" i="1" s="1"/>
  <c r="K825" i="1" s="1"/>
  <c r="E845" i="1"/>
  <c r="F845" i="1" s="1"/>
  <c r="F847" i="1"/>
  <c r="G847" i="1" s="1"/>
  <c r="H851" i="1"/>
  <c r="D831" i="1"/>
  <c r="E831" i="1" s="1"/>
  <c r="F831" i="1" s="1"/>
  <c r="G831" i="1" s="1"/>
  <c r="H831" i="1" s="1"/>
  <c r="I831" i="1" s="1"/>
  <c r="J831" i="1" s="1"/>
  <c r="K831" i="1" s="1"/>
  <c r="D832" i="1"/>
  <c r="E832" i="1"/>
  <c r="F832" i="1"/>
  <c r="G832" i="1"/>
  <c r="H832" i="1"/>
  <c r="D833" i="1"/>
  <c r="E833" i="1"/>
  <c r="F833" i="1"/>
  <c r="G833" i="1"/>
  <c r="H833" i="1"/>
  <c r="I833" i="1"/>
  <c r="D836" i="1"/>
  <c r="E836" i="1" s="1"/>
  <c r="F836" i="1" s="1"/>
  <c r="G836" i="1" s="1"/>
  <c r="H836" i="1" s="1"/>
  <c r="I836" i="1" s="1"/>
  <c r="J836" i="1" s="1"/>
  <c r="K836" i="1" s="1"/>
  <c r="D840" i="1"/>
  <c r="E840" i="1"/>
  <c r="F840" i="1"/>
  <c r="G840" i="1"/>
  <c r="H840" i="1"/>
  <c r="I840" i="1"/>
  <c r="D842" i="1"/>
  <c r="E842" i="1" s="1"/>
  <c r="F842" i="1" s="1"/>
  <c r="G842" i="1" s="1"/>
  <c r="H842" i="1" s="1"/>
  <c r="I842" i="1" s="1"/>
  <c r="J842" i="1" s="1"/>
  <c r="K842" i="1" s="1"/>
  <c r="E843" i="1"/>
  <c r="D844" i="1"/>
  <c r="E846" i="1"/>
  <c r="F848" i="1"/>
  <c r="H849" i="1"/>
  <c r="I849" i="1" s="1"/>
  <c r="D856" i="1"/>
  <c r="E856" i="1"/>
  <c r="F856" i="1"/>
  <c r="G856" i="1"/>
  <c r="K977" i="1" l="1"/>
  <c r="K980" i="1" s="1"/>
  <c r="K984" i="1" s="1"/>
  <c r="J980" i="1"/>
  <c r="J984" i="1" s="1"/>
  <c r="I42" i="8" s="1"/>
  <c r="K1019" i="1"/>
  <c r="J1022" i="1"/>
  <c r="J1026" i="1" s="1"/>
  <c r="G980" i="1"/>
  <c r="J44" i="8"/>
  <c r="I44" i="8"/>
  <c r="I980" i="1"/>
  <c r="I895" i="1"/>
  <c r="F980" i="1"/>
  <c r="I973" i="1"/>
  <c r="H980" i="1"/>
  <c r="I39" i="8"/>
  <c r="H1000" i="1"/>
  <c r="G1042" i="1"/>
  <c r="I1042" i="1"/>
  <c r="H1042" i="1"/>
  <c r="G1000" i="1"/>
  <c r="G1026" i="1" s="1"/>
  <c r="F43" i="8" s="1"/>
  <c r="E958" i="1"/>
  <c r="E984" i="1" s="1"/>
  <c r="D42" i="8" s="1"/>
  <c r="G1064" i="1"/>
  <c r="I1022" i="1"/>
  <c r="H1022" i="1"/>
  <c r="G958" i="1"/>
  <c r="I1000" i="1"/>
  <c r="F834" i="1"/>
  <c r="F860" i="1" s="1"/>
  <c r="E39" i="8" s="1"/>
  <c r="I958" i="1"/>
  <c r="H958" i="1"/>
  <c r="I851" i="1"/>
  <c r="H856" i="1"/>
  <c r="D958" i="1"/>
  <c r="D984" i="1" s="1"/>
  <c r="C42" i="8" s="1"/>
  <c r="I834" i="1"/>
  <c r="E834" i="1"/>
  <c r="E860" i="1" s="1"/>
  <c r="D39" i="8" s="1"/>
  <c r="G834" i="1"/>
  <c r="G860" i="1" s="1"/>
  <c r="F39" i="8" s="1"/>
  <c r="F958" i="1"/>
  <c r="H834" i="1"/>
  <c r="D834" i="1"/>
  <c r="D860" i="1" s="1"/>
  <c r="C39" i="8" s="1"/>
  <c r="G984" i="1" l="1"/>
  <c r="F42" i="8" s="1"/>
  <c r="I984" i="1"/>
  <c r="H42" i="8" s="1"/>
  <c r="J43" i="8"/>
  <c r="I43" i="8"/>
  <c r="J42" i="8"/>
  <c r="F984" i="1"/>
  <c r="E42" i="8" s="1"/>
  <c r="J40" i="8"/>
  <c r="H984" i="1"/>
  <c r="G42" i="8" s="1"/>
  <c r="I40" i="8"/>
  <c r="I856" i="1"/>
  <c r="I860" i="1" s="1"/>
  <c r="H39" i="8" s="1"/>
  <c r="I1026" i="1"/>
  <c r="H43" i="8" s="1"/>
  <c r="I1064" i="1"/>
  <c r="G1068" i="1"/>
  <c r="F44" i="8" s="1"/>
  <c r="H1064" i="1"/>
  <c r="H1068" i="1" s="1"/>
  <c r="G44" i="8" s="1"/>
  <c r="H1026" i="1"/>
  <c r="G43" i="8" s="1"/>
  <c r="H860" i="1"/>
  <c r="G39" i="8" s="1"/>
  <c r="H590" i="1"/>
  <c r="J578" i="1"/>
  <c r="I571" i="1"/>
  <c r="I572" i="1" s="1"/>
  <c r="J572" i="1"/>
  <c r="D682" i="1"/>
  <c r="E682" i="1"/>
  <c r="G588" i="1"/>
  <c r="H587" i="1"/>
  <c r="F586" i="1"/>
  <c r="G585" i="1"/>
  <c r="G596" i="1" s="1"/>
  <c r="E584" i="1"/>
  <c r="F583" i="1"/>
  <c r="F596" i="1" s="1"/>
  <c r="D582" i="1"/>
  <c r="D596" i="1" s="1"/>
  <c r="E581" i="1"/>
  <c r="G544" i="1"/>
  <c r="H543" i="1"/>
  <c r="H552" i="1" s="1"/>
  <c r="F542" i="1"/>
  <c r="G541" i="1"/>
  <c r="G552" i="1" s="1"/>
  <c r="E540" i="1"/>
  <c r="F539" i="1"/>
  <c r="F552" i="1" s="1"/>
  <c r="D538" i="1"/>
  <c r="D552" i="1" s="1"/>
  <c r="E537" i="1"/>
  <c r="G500" i="1"/>
  <c r="H499" i="1"/>
  <c r="H508" i="1" s="1"/>
  <c r="F498" i="1"/>
  <c r="G497" i="1"/>
  <c r="G508" i="1" s="1"/>
  <c r="E496" i="1"/>
  <c r="F495" i="1"/>
  <c r="F508" i="1" s="1"/>
  <c r="D494" i="1"/>
  <c r="D508" i="1" s="1"/>
  <c r="E493" i="1"/>
  <c r="J528" i="1"/>
  <c r="J556" i="1" s="1"/>
  <c r="I413" i="1"/>
  <c r="H414" i="1"/>
  <c r="J611" i="1"/>
  <c r="J642" i="1" s="1"/>
  <c r="J194" i="1"/>
  <c r="J216" i="1" s="1"/>
  <c r="J150" i="1"/>
  <c r="D98" i="1"/>
  <c r="J106" i="1"/>
  <c r="J62" i="1"/>
  <c r="J54" i="1"/>
  <c r="J55" i="1"/>
  <c r="H74" i="1"/>
  <c r="G72" i="1"/>
  <c r="J600" i="1" l="1"/>
  <c r="I34" i="8"/>
  <c r="I1068" i="1"/>
  <c r="H44" i="8" s="1"/>
  <c r="I32" i="8"/>
  <c r="J144" i="1"/>
  <c r="J172" i="1" s="1"/>
  <c r="J232" i="1"/>
  <c r="E508" i="1"/>
  <c r="E552" i="1"/>
  <c r="E596" i="1"/>
  <c r="J100" i="1"/>
  <c r="J56" i="1"/>
  <c r="J84" i="1" s="1"/>
  <c r="I543" i="1"/>
  <c r="I552" i="1" s="1"/>
  <c r="B895" i="1"/>
  <c r="B894" i="1"/>
  <c r="B765" i="1"/>
  <c r="B764" i="1"/>
  <c r="B721" i="1"/>
  <c r="B720" i="1"/>
  <c r="B677" i="1"/>
  <c r="B676" i="1"/>
  <c r="B591" i="1"/>
  <c r="B590" i="1"/>
  <c r="B547" i="1"/>
  <c r="B546" i="1"/>
  <c r="B503" i="1"/>
  <c r="B502" i="1"/>
  <c r="B459" i="1"/>
  <c r="B458" i="1"/>
  <c r="B415" i="1"/>
  <c r="B414" i="1"/>
  <c r="B207" i="1"/>
  <c r="B206" i="1"/>
  <c r="B163" i="1"/>
  <c r="B162" i="1"/>
  <c r="B119" i="1"/>
  <c r="B118" i="1"/>
  <c r="B75" i="1"/>
  <c r="B74" i="1"/>
  <c r="A33" i="6"/>
  <c r="A32" i="6"/>
  <c r="J128" i="1" l="1"/>
  <c r="I22" i="8" s="1"/>
  <c r="I21" i="8"/>
  <c r="I13" i="6"/>
  <c r="I14" i="6" s="1"/>
  <c r="H9" i="6"/>
  <c r="H17" i="6"/>
  <c r="H18" i="6"/>
  <c r="H19" i="6"/>
  <c r="H20" i="6" l="1"/>
  <c r="H911" i="1" l="1"/>
  <c r="H933" i="1" s="1"/>
  <c r="I933" i="1" s="1"/>
  <c r="H12" i="6"/>
  <c r="I935" i="1" l="1"/>
  <c r="G770" i="1"/>
  <c r="D770" i="1"/>
  <c r="J935" i="1" l="1"/>
  <c r="J938" i="1" s="1"/>
  <c r="J942" i="1" s="1"/>
  <c r="J41" i="8"/>
  <c r="I938" i="1"/>
  <c r="B893" i="1"/>
  <c r="B892" i="1"/>
  <c r="B891" i="1"/>
  <c r="F890" i="1"/>
  <c r="B890" i="1"/>
  <c r="B889" i="1"/>
  <c r="E888" i="1"/>
  <c r="B888" i="1"/>
  <c r="B887" i="1"/>
  <c r="D886" i="1"/>
  <c r="B886" i="1"/>
  <c r="E885" i="1"/>
  <c r="B885" i="1"/>
  <c r="G911" i="1"/>
  <c r="G931" i="1" s="1"/>
  <c r="H931" i="1" s="1"/>
  <c r="I931" i="1" s="1"/>
  <c r="G922" i="1"/>
  <c r="H922" i="1"/>
  <c r="I922" i="1"/>
  <c r="G871" i="1"/>
  <c r="G891" i="1" s="1"/>
  <c r="H891" i="1" s="1"/>
  <c r="I891" i="1" s="1"/>
  <c r="G874" i="1"/>
  <c r="H874" i="1"/>
  <c r="I874" i="1"/>
  <c r="G875" i="1"/>
  <c r="H875" i="1"/>
  <c r="I875" i="1"/>
  <c r="G882" i="1"/>
  <c r="H882" i="1"/>
  <c r="I882" i="1"/>
  <c r="B763" i="1"/>
  <c r="B762" i="1"/>
  <c r="B761" i="1"/>
  <c r="F770" i="1"/>
  <c r="B760" i="1"/>
  <c r="B759" i="1"/>
  <c r="B758" i="1"/>
  <c r="B757" i="1"/>
  <c r="B756" i="1"/>
  <c r="E770" i="1"/>
  <c r="B755" i="1"/>
  <c r="E726" i="1"/>
  <c r="D726" i="1"/>
  <c r="B719" i="1"/>
  <c r="B718" i="1"/>
  <c r="B717" i="1"/>
  <c r="B716" i="1"/>
  <c r="B715" i="1"/>
  <c r="B714" i="1"/>
  <c r="B713" i="1"/>
  <c r="B712" i="1"/>
  <c r="B711" i="1"/>
  <c r="I41" i="8" l="1"/>
  <c r="I876" i="1"/>
  <c r="I893" i="1"/>
  <c r="H896" i="1"/>
  <c r="I916" i="1"/>
  <c r="H876" i="1"/>
  <c r="H916" i="1"/>
  <c r="G916" i="1"/>
  <c r="G942" i="1" s="1"/>
  <c r="F41" i="8" s="1"/>
  <c r="G876" i="1"/>
  <c r="G900" i="1" s="1"/>
  <c r="F40" i="8" s="1"/>
  <c r="H900" i="1" l="1"/>
  <c r="G40" i="8" s="1"/>
  <c r="I942" i="1"/>
  <c r="H41" i="8" s="1"/>
  <c r="H938" i="1"/>
  <c r="H942" i="1" s="1"/>
  <c r="G41" i="8" s="1"/>
  <c r="I896" i="1"/>
  <c r="I900" i="1" s="1"/>
  <c r="H40" i="8" s="1"/>
  <c r="G788" i="1" l="1"/>
  <c r="H788" i="1"/>
  <c r="I788" i="1"/>
  <c r="G789" i="1"/>
  <c r="H789" i="1"/>
  <c r="I789" i="1"/>
  <c r="G796" i="1"/>
  <c r="H796" i="1"/>
  <c r="I796" i="1"/>
  <c r="H770" i="1"/>
  <c r="I744" i="1"/>
  <c r="I745" i="1"/>
  <c r="G752" i="1"/>
  <c r="H752" i="1"/>
  <c r="I752" i="1"/>
  <c r="G700" i="1"/>
  <c r="H700" i="1"/>
  <c r="I700" i="1"/>
  <c r="G701" i="1"/>
  <c r="H701" i="1"/>
  <c r="I701" i="1"/>
  <c r="G708" i="1"/>
  <c r="H708" i="1"/>
  <c r="I708" i="1"/>
  <c r="I36" i="8" l="1"/>
  <c r="J38" i="8"/>
  <c r="I814" i="1"/>
  <c r="H814" i="1"/>
  <c r="I682" i="1"/>
  <c r="I746" i="1"/>
  <c r="I790" i="1"/>
  <c r="H682" i="1"/>
  <c r="G746" i="1"/>
  <c r="G790" i="1"/>
  <c r="H790" i="1"/>
  <c r="H702" i="1"/>
  <c r="H730" i="1" s="1"/>
  <c r="G36" i="8" s="1"/>
  <c r="I702" i="1"/>
  <c r="G702" i="1"/>
  <c r="G814" i="1"/>
  <c r="H746" i="1"/>
  <c r="I774" i="1" l="1"/>
  <c r="H37" i="8" s="1"/>
  <c r="I38" i="8"/>
  <c r="I818" i="1"/>
  <c r="H38" i="8" s="1"/>
  <c r="H774" i="1"/>
  <c r="G37" i="8" s="1"/>
  <c r="I730" i="1"/>
  <c r="H36" i="8" s="1"/>
  <c r="G818" i="1"/>
  <c r="F38" i="8" s="1"/>
  <c r="H818" i="1"/>
  <c r="G38" i="8" s="1"/>
  <c r="B633" i="1" l="1"/>
  <c r="B632" i="1"/>
  <c r="I337" i="1"/>
  <c r="H335" i="1"/>
  <c r="B589" i="1"/>
  <c r="B588" i="1"/>
  <c r="B375" i="1"/>
  <c r="B374" i="1"/>
  <c r="B293" i="1"/>
  <c r="B292" i="1"/>
  <c r="B249" i="1"/>
  <c r="B248" i="1"/>
  <c r="G456" i="1"/>
  <c r="G412" i="1"/>
  <c r="B336" i="1"/>
  <c r="G336" i="1"/>
  <c r="B337" i="1"/>
  <c r="B675" i="1" l="1"/>
  <c r="B674" i="1"/>
  <c r="B673" i="1"/>
  <c r="B672" i="1"/>
  <c r="B671" i="1"/>
  <c r="B670" i="1"/>
  <c r="B669" i="1"/>
  <c r="B668" i="1"/>
  <c r="B667" i="1"/>
  <c r="G664" i="1"/>
  <c r="H664" i="1"/>
  <c r="I664" i="1"/>
  <c r="G656" i="1"/>
  <c r="H656" i="1"/>
  <c r="I656" i="1"/>
  <c r="G657" i="1"/>
  <c r="H657" i="1"/>
  <c r="I657" i="1"/>
  <c r="B545" i="1"/>
  <c r="B544" i="1"/>
  <c r="B501" i="1"/>
  <c r="B500" i="1"/>
  <c r="B457" i="1"/>
  <c r="B456" i="1"/>
  <c r="B413" i="1"/>
  <c r="B412" i="1"/>
  <c r="G658" i="1" l="1"/>
  <c r="I658" i="1"/>
  <c r="I686" i="1" s="1"/>
  <c r="H35" i="8" s="1"/>
  <c r="H658" i="1"/>
  <c r="H686" i="1" l="1"/>
  <c r="G35" i="8" s="1"/>
  <c r="B631" i="1"/>
  <c r="H338" i="1" l="1"/>
  <c r="B205" i="1"/>
  <c r="B204" i="1"/>
  <c r="B161" i="1"/>
  <c r="B160" i="1"/>
  <c r="G318" i="1"/>
  <c r="H318" i="1"/>
  <c r="I318" i="1"/>
  <c r="G319" i="1"/>
  <c r="H319" i="1"/>
  <c r="I319" i="1"/>
  <c r="G274" i="1"/>
  <c r="H274" i="1"/>
  <c r="I274" i="1"/>
  <c r="G275" i="1"/>
  <c r="H275" i="1"/>
  <c r="I275" i="1"/>
  <c r="G230" i="1"/>
  <c r="H230" i="1"/>
  <c r="I230" i="1"/>
  <c r="G231" i="1"/>
  <c r="H231" i="1"/>
  <c r="I231" i="1"/>
  <c r="G186" i="1"/>
  <c r="H186" i="1"/>
  <c r="I186" i="1"/>
  <c r="G187" i="1"/>
  <c r="H187" i="1"/>
  <c r="I187" i="1"/>
  <c r="G142" i="1"/>
  <c r="H142" i="1"/>
  <c r="I142" i="1"/>
  <c r="G143" i="1"/>
  <c r="H143" i="1"/>
  <c r="I143" i="1"/>
  <c r="B117" i="1"/>
  <c r="B116" i="1"/>
  <c r="G98" i="1"/>
  <c r="H98" i="1"/>
  <c r="I98" i="1"/>
  <c r="G99" i="1"/>
  <c r="H99" i="1"/>
  <c r="I99" i="1"/>
  <c r="G54" i="1"/>
  <c r="H54" i="1"/>
  <c r="I54" i="1"/>
  <c r="G55" i="1"/>
  <c r="H55" i="1"/>
  <c r="I55" i="1"/>
  <c r="B73" i="1"/>
  <c r="B72" i="1"/>
  <c r="A31" i="6"/>
  <c r="A30" i="6"/>
  <c r="I56" i="1" l="1"/>
  <c r="G100" i="1"/>
  <c r="I100" i="1"/>
  <c r="H100" i="1"/>
  <c r="I62" i="1" l="1"/>
  <c r="I106" i="1"/>
  <c r="I144" i="1"/>
  <c r="I150" i="1"/>
  <c r="I188" i="1"/>
  <c r="I194" i="1"/>
  <c r="I232" i="1"/>
  <c r="I238" i="1"/>
  <c r="I295" i="1"/>
  <c r="J295" i="1" s="1"/>
  <c r="I276" i="1"/>
  <c r="I282" i="1"/>
  <c r="I320" i="1"/>
  <c r="I326" i="1"/>
  <c r="I357" i="1"/>
  <c r="I358" i="1" s="1"/>
  <c r="I364" i="1"/>
  <c r="I395" i="1"/>
  <c r="I396" i="1" s="1"/>
  <c r="I402" i="1"/>
  <c r="I439" i="1"/>
  <c r="I440" i="1" s="1"/>
  <c r="I446" i="1"/>
  <c r="I483" i="1"/>
  <c r="I484" i="1" s="1"/>
  <c r="I490" i="1"/>
  <c r="I527" i="1"/>
  <c r="I528" i="1" s="1"/>
  <c r="I534" i="1"/>
  <c r="I578" i="1"/>
  <c r="I615" i="1"/>
  <c r="I616" i="1" s="1"/>
  <c r="I622" i="1"/>
  <c r="G9" i="6"/>
  <c r="I556" i="1" l="1"/>
  <c r="H32" i="8"/>
  <c r="I251" i="1"/>
  <c r="I33" i="8"/>
  <c r="J23" i="8"/>
  <c r="H13" i="6"/>
  <c r="H14" i="6" s="1"/>
  <c r="G20" i="6"/>
  <c r="J251" i="1" l="1"/>
  <c r="I24" i="8"/>
  <c r="I23" i="8"/>
  <c r="J26" i="8"/>
  <c r="I73" i="1"/>
  <c r="F28" i="6"/>
  <c r="A29" i="6"/>
  <c r="A28" i="6"/>
  <c r="I80" i="1" l="1"/>
  <c r="I33" i="6"/>
  <c r="I25" i="8"/>
  <c r="I26" i="8"/>
  <c r="I84" i="1"/>
  <c r="H21" i="8" s="1"/>
  <c r="D624" i="1"/>
  <c r="E624" i="1" s="1"/>
  <c r="F624" i="1" s="1"/>
  <c r="G624" i="1" s="1"/>
  <c r="H624" i="1" s="1"/>
  <c r="I624" i="1" s="1"/>
  <c r="J624" i="1" s="1"/>
  <c r="K624" i="1" s="1"/>
  <c r="L624" i="1" s="1"/>
  <c r="B630" i="1"/>
  <c r="B629" i="1"/>
  <c r="B628" i="1"/>
  <c r="B627" i="1"/>
  <c r="B626" i="1"/>
  <c r="B625" i="1"/>
  <c r="H622" i="1"/>
  <c r="G622" i="1"/>
  <c r="F622" i="1"/>
  <c r="E622" i="1"/>
  <c r="D622" i="1"/>
  <c r="D618" i="1"/>
  <c r="E618" i="1" s="1"/>
  <c r="F618" i="1" s="1"/>
  <c r="H615" i="1"/>
  <c r="H616" i="1" s="1"/>
  <c r="G615" i="1"/>
  <c r="G616" i="1" s="1"/>
  <c r="F615" i="1"/>
  <c r="E615" i="1"/>
  <c r="D615" i="1"/>
  <c r="F614" i="1"/>
  <c r="E614" i="1"/>
  <c r="D614" i="1"/>
  <c r="D613" i="1"/>
  <c r="E613" i="1" s="1"/>
  <c r="F613" i="1" s="1"/>
  <c r="H611" i="1"/>
  <c r="G611" i="1"/>
  <c r="G631" i="1" s="1"/>
  <c r="H631" i="1" s="1"/>
  <c r="F611" i="1"/>
  <c r="F629" i="1" s="1"/>
  <c r="G629" i="1" s="1"/>
  <c r="E611" i="1"/>
  <c r="E627" i="1" s="1"/>
  <c r="F627" i="1" s="1"/>
  <c r="D611" i="1"/>
  <c r="D625" i="1" s="1"/>
  <c r="E625" i="1" s="1"/>
  <c r="D607" i="1"/>
  <c r="E607" i="1" s="1"/>
  <c r="F607" i="1" s="1"/>
  <c r="G607" i="1" s="1"/>
  <c r="G333" i="1"/>
  <c r="B587" i="1"/>
  <c r="B586" i="1"/>
  <c r="B585" i="1"/>
  <c r="B584" i="1"/>
  <c r="B583" i="1"/>
  <c r="B543" i="1"/>
  <c r="B542" i="1"/>
  <c r="B541" i="1"/>
  <c r="B540" i="1"/>
  <c r="B539" i="1"/>
  <c r="B499" i="1"/>
  <c r="B498" i="1"/>
  <c r="B497" i="1"/>
  <c r="B496" i="1"/>
  <c r="B495" i="1"/>
  <c r="B455" i="1"/>
  <c r="F454" i="1"/>
  <c r="B454" i="1"/>
  <c r="B453" i="1"/>
  <c r="E452" i="1"/>
  <c r="B452" i="1"/>
  <c r="B451" i="1"/>
  <c r="B411" i="1"/>
  <c r="F410" i="1"/>
  <c r="B410" i="1"/>
  <c r="B409" i="1"/>
  <c r="E408" i="1"/>
  <c r="B408" i="1"/>
  <c r="B407" i="1"/>
  <c r="B373" i="1"/>
  <c r="F372" i="1"/>
  <c r="B372" i="1"/>
  <c r="B371" i="1"/>
  <c r="E370" i="1"/>
  <c r="B370" i="1"/>
  <c r="B369" i="1"/>
  <c r="B335" i="1"/>
  <c r="F334" i="1"/>
  <c r="B334" i="1"/>
  <c r="B333" i="1"/>
  <c r="E332" i="1"/>
  <c r="B332" i="1"/>
  <c r="F331" i="1"/>
  <c r="F338" i="1" s="1"/>
  <c r="B331" i="1"/>
  <c r="B291" i="1"/>
  <c r="F290" i="1"/>
  <c r="B290" i="1"/>
  <c r="B289" i="1"/>
  <c r="E288" i="1"/>
  <c r="B288" i="1"/>
  <c r="B287" i="1"/>
  <c r="B247" i="1"/>
  <c r="F246" i="1"/>
  <c r="B246" i="1"/>
  <c r="B245" i="1"/>
  <c r="E244" i="1"/>
  <c r="B244" i="1"/>
  <c r="B243" i="1"/>
  <c r="B203" i="1"/>
  <c r="F202" i="1"/>
  <c r="B202" i="1"/>
  <c r="B201" i="1"/>
  <c r="E200" i="1"/>
  <c r="B200" i="1"/>
  <c r="B199" i="1"/>
  <c r="B159" i="1"/>
  <c r="F158" i="1"/>
  <c r="B158" i="1"/>
  <c r="B157" i="1"/>
  <c r="E156" i="1"/>
  <c r="B156" i="1"/>
  <c r="B155" i="1"/>
  <c r="B115" i="1"/>
  <c r="F114" i="1"/>
  <c r="B114" i="1"/>
  <c r="B113" i="1"/>
  <c r="E112" i="1"/>
  <c r="B112" i="1"/>
  <c r="B111" i="1"/>
  <c r="B71" i="1"/>
  <c r="F70" i="1"/>
  <c r="B70" i="1"/>
  <c r="H578" i="1"/>
  <c r="H571" i="1"/>
  <c r="H572" i="1" s="1"/>
  <c r="H589" i="1"/>
  <c r="H534" i="1"/>
  <c r="H527" i="1"/>
  <c r="H528" i="1" s="1"/>
  <c r="H490" i="1"/>
  <c r="H483" i="1"/>
  <c r="H484" i="1" s="1"/>
  <c r="H446" i="1"/>
  <c r="H439" i="1"/>
  <c r="H440" i="1" s="1"/>
  <c r="H402" i="1"/>
  <c r="H395" i="1"/>
  <c r="H396" i="1" s="1"/>
  <c r="H364" i="1"/>
  <c r="H357" i="1"/>
  <c r="H358" i="1" s="1"/>
  <c r="H326" i="1"/>
  <c r="H320" i="1"/>
  <c r="H282" i="1"/>
  <c r="H276" i="1"/>
  <c r="H271" i="1"/>
  <c r="H293" i="1" s="1"/>
  <c r="I293" i="1" s="1"/>
  <c r="I300" i="1" s="1"/>
  <c r="I304" i="1" s="1"/>
  <c r="H238" i="1"/>
  <c r="H232" i="1"/>
  <c r="H249" i="1"/>
  <c r="I249" i="1" s="1"/>
  <c r="H194" i="1"/>
  <c r="H188" i="1"/>
  <c r="H205" i="1"/>
  <c r="H150" i="1"/>
  <c r="H144" i="1"/>
  <c r="H161" i="1"/>
  <c r="H106" i="1"/>
  <c r="H62" i="1"/>
  <c r="H56" i="1"/>
  <c r="F9" i="6"/>
  <c r="F17" i="6"/>
  <c r="F18" i="6"/>
  <c r="F19" i="6"/>
  <c r="F40" i="6"/>
  <c r="I256" i="1" l="1"/>
  <c r="I260" i="1" s="1"/>
  <c r="H25" i="8" s="1"/>
  <c r="H633" i="1"/>
  <c r="I633" i="1" s="1"/>
  <c r="I638" i="1" s="1"/>
  <c r="I642" i="1" s="1"/>
  <c r="D638" i="1"/>
  <c r="I205" i="1"/>
  <c r="I212" i="1" s="1"/>
  <c r="I216" i="1" s="1"/>
  <c r="H24" i="8" s="1"/>
  <c r="I161" i="1"/>
  <c r="H638" i="1"/>
  <c r="H642" i="1" s="1"/>
  <c r="I589" i="1"/>
  <c r="H596" i="1"/>
  <c r="G13" i="6"/>
  <c r="H117" i="1"/>
  <c r="G31" i="6" s="1"/>
  <c r="G12" i="6"/>
  <c r="E638" i="1"/>
  <c r="G638" i="1"/>
  <c r="G642" i="1" s="1"/>
  <c r="F34" i="8" s="1"/>
  <c r="F638" i="1"/>
  <c r="F616" i="1"/>
  <c r="D616" i="1"/>
  <c r="H607" i="1"/>
  <c r="I607" i="1" s="1"/>
  <c r="J607" i="1" s="1"/>
  <c r="G618" i="1"/>
  <c r="G613" i="1"/>
  <c r="E616" i="1"/>
  <c r="F20" i="6"/>
  <c r="A45" i="6"/>
  <c r="A27" i="6"/>
  <c r="D642" i="1" l="1"/>
  <c r="C34" i="8" s="1"/>
  <c r="H34" i="8"/>
  <c r="K607" i="1"/>
  <c r="J613" i="1"/>
  <c r="J618" i="1"/>
  <c r="I596" i="1"/>
  <c r="I168" i="1"/>
  <c r="G34" i="8"/>
  <c r="I117" i="1"/>
  <c r="E642" i="1"/>
  <c r="D34" i="8" s="1"/>
  <c r="F642" i="1"/>
  <c r="E34" i="8" s="1"/>
  <c r="G14" i="6"/>
  <c r="I618" i="1"/>
  <c r="I613" i="1"/>
  <c r="H618" i="1"/>
  <c r="H613" i="1"/>
  <c r="G578" i="1"/>
  <c r="G571" i="1"/>
  <c r="G534" i="1"/>
  <c r="G527" i="1"/>
  <c r="G490" i="1"/>
  <c r="G483" i="1"/>
  <c r="G446" i="1"/>
  <c r="G439" i="1"/>
  <c r="H455" i="1"/>
  <c r="G402" i="1"/>
  <c r="G395" i="1"/>
  <c r="H411" i="1"/>
  <c r="G364" i="1"/>
  <c r="G357" i="1"/>
  <c r="H373" i="1"/>
  <c r="G326" i="1"/>
  <c r="G320" i="1"/>
  <c r="G282" i="1"/>
  <c r="G271" i="1"/>
  <c r="G291" i="1" s="1"/>
  <c r="H291" i="1" s="1"/>
  <c r="H300" i="1" s="1"/>
  <c r="G238" i="1"/>
  <c r="G227" i="1"/>
  <c r="G247" i="1" s="1"/>
  <c r="H247" i="1" s="1"/>
  <c r="H256" i="1" s="1"/>
  <c r="H260" i="1" s="1"/>
  <c r="G194" i="1"/>
  <c r="G150" i="1"/>
  <c r="G106" i="1"/>
  <c r="G115" i="1"/>
  <c r="B69" i="1"/>
  <c r="G62" i="1"/>
  <c r="I124" i="1" l="1"/>
  <c r="K613" i="1"/>
  <c r="L607" i="1"/>
  <c r="K618" i="1"/>
  <c r="G71" i="1"/>
  <c r="H71" i="1" s="1"/>
  <c r="I128" i="1"/>
  <c r="H22" i="8" s="1"/>
  <c r="H115" i="1"/>
  <c r="H124" i="1" s="1"/>
  <c r="F12" i="6"/>
  <c r="G203" i="1"/>
  <c r="H203" i="1" s="1"/>
  <c r="H212" i="1" s="1"/>
  <c r="H376" i="1"/>
  <c r="H380" i="1" s="1"/>
  <c r="G28" i="8" s="1"/>
  <c r="H556" i="1"/>
  <c r="G32" i="8" s="1"/>
  <c r="G159" i="1"/>
  <c r="H512" i="1"/>
  <c r="G31" i="8" s="1"/>
  <c r="H304" i="1"/>
  <c r="G26" i="8" s="1"/>
  <c r="H26" i="8"/>
  <c r="H464" i="1"/>
  <c r="H468" i="1" s="1"/>
  <c r="G30" i="8" s="1"/>
  <c r="I455" i="1"/>
  <c r="I464" i="1" s="1"/>
  <c r="G25" i="8"/>
  <c r="H420" i="1"/>
  <c r="H424" i="1" s="1"/>
  <c r="G29" i="8" s="1"/>
  <c r="I420" i="1"/>
  <c r="G338" i="1"/>
  <c r="G342" i="1" s="1"/>
  <c r="F27" i="8" s="1"/>
  <c r="G396" i="1"/>
  <c r="G484" i="1"/>
  <c r="G188" i="1"/>
  <c r="G528" i="1"/>
  <c r="G276" i="1"/>
  <c r="G232" i="1"/>
  <c r="G144" i="1"/>
  <c r="G572" i="1"/>
  <c r="G440" i="1"/>
  <c r="G358" i="1"/>
  <c r="G56" i="1"/>
  <c r="I424" i="1" l="1"/>
  <c r="H29" i="8" s="1"/>
  <c r="I468" i="1"/>
  <c r="H30" i="8" s="1"/>
  <c r="L613" i="1"/>
  <c r="L618" i="1"/>
  <c r="I380" i="1"/>
  <c r="H28" i="8" s="1"/>
  <c r="H159" i="1"/>
  <c r="H168" i="1" s="1"/>
  <c r="F29" i="6"/>
  <c r="H80" i="1"/>
  <c r="I172" i="1"/>
  <c r="H23" i="8" s="1"/>
  <c r="H342" i="1"/>
  <c r="G27" i="8" s="1"/>
  <c r="I338" i="1"/>
  <c r="I600" i="1"/>
  <c r="H33" i="8" s="1"/>
  <c r="F13" i="6"/>
  <c r="F14" i="6" s="1"/>
  <c r="B21" i="8"/>
  <c r="A21" i="8"/>
  <c r="E40" i="6"/>
  <c r="D40" i="6"/>
  <c r="C40" i="6"/>
  <c r="A26" i="6"/>
  <c r="A25" i="6"/>
  <c r="A24" i="6"/>
  <c r="A23" i="6"/>
  <c r="B582" i="1"/>
  <c r="B581" i="1"/>
  <c r="B538" i="1"/>
  <c r="B537" i="1"/>
  <c r="B494" i="1"/>
  <c r="B493" i="1"/>
  <c r="B450" i="1"/>
  <c r="B449" i="1"/>
  <c r="B406" i="1"/>
  <c r="B405" i="1"/>
  <c r="B368" i="1"/>
  <c r="B367" i="1"/>
  <c r="B330" i="1"/>
  <c r="B329" i="1"/>
  <c r="B286" i="1"/>
  <c r="B285" i="1"/>
  <c r="B242" i="1"/>
  <c r="B241" i="1"/>
  <c r="B198" i="1"/>
  <c r="B197" i="1"/>
  <c r="B154" i="1"/>
  <c r="B153" i="1"/>
  <c r="B110" i="1"/>
  <c r="B109" i="1"/>
  <c r="E1205" i="1"/>
  <c r="E1221" i="1" s="1"/>
  <c r="F1221" i="1" s="1"/>
  <c r="D1205" i="1"/>
  <c r="F1037" i="1"/>
  <c r="F1055" i="1" s="1"/>
  <c r="G1055" i="1" s="1"/>
  <c r="E1037" i="1"/>
  <c r="E1053" i="1" s="1"/>
  <c r="F1053" i="1" s="1"/>
  <c r="D1037" i="1"/>
  <c r="F995" i="1"/>
  <c r="F1013" i="1" s="1"/>
  <c r="G1013" i="1" s="1"/>
  <c r="E995" i="1"/>
  <c r="E1011" i="1" s="1"/>
  <c r="F1011" i="1" s="1"/>
  <c r="D995" i="1"/>
  <c r="F911" i="1"/>
  <c r="F929" i="1" s="1"/>
  <c r="G929" i="1" s="1"/>
  <c r="E911" i="1"/>
  <c r="E927" i="1" s="1"/>
  <c r="F927" i="1" s="1"/>
  <c r="D911" i="1"/>
  <c r="F871" i="1"/>
  <c r="F889" i="1" s="1"/>
  <c r="G889" i="1" s="1"/>
  <c r="E871" i="1"/>
  <c r="E887" i="1" s="1"/>
  <c r="F887" i="1" s="1"/>
  <c r="D871" i="1"/>
  <c r="G774" i="1"/>
  <c r="F37" i="8" s="1"/>
  <c r="G726" i="1"/>
  <c r="G730" i="1" s="1"/>
  <c r="F36" i="8" s="1"/>
  <c r="G556" i="1"/>
  <c r="F32" i="8" s="1"/>
  <c r="G512" i="1"/>
  <c r="F31" i="8" s="1"/>
  <c r="G453" i="1"/>
  <c r="G464" i="1" s="1"/>
  <c r="G468" i="1" s="1"/>
  <c r="F30" i="8" s="1"/>
  <c r="G409" i="1"/>
  <c r="G420" i="1" s="1"/>
  <c r="G424" i="1" s="1"/>
  <c r="F29" i="8" s="1"/>
  <c r="G371" i="1"/>
  <c r="G376" i="1" s="1"/>
  <c r="G380" i="1" s="1"/>
  <c r="F28" i="8" s="1"/>
  <c r="F271" i="1"/>
  <c r="G289" i="1" s="1"/>
  <c r="G300" i="1" s="1"/>
  <c r="G304" i="1" s="1"/>
  <c r="F26" i="8" s="1"/>
  <c r="E271" i="1"/>
  <c r="D285" i="1"/>
  <c r="E285" i="1" s="1"/>
  <c r="F227" i="1"/>
  <c r="F245" i="1" s="1"/>
  <c r="G245" i="1" s="1"/>
  <c r="G256" i="1" s="1"/>
  <c r="E227" i="1"/>
  <c r="E243" i="1" s="1"/>
  <c r="F243" i="1" s="1"/>
  <c r="D241" i="1"/>
  <c r="E241" i="1" s="1"/>
  <c r="D197" i="1"/>
  <c r="E197" i="1" s="1"/>
  <c r="D65" i="1"/>
  <c r="E65" i="1" s="1"/>
  <c r="E19" i="6"/>
  <c r="D19" i="6"/>
  <c r="C19" i="6"/>
  <c r="A20" i="6"/>
  <c r="A19" i="6"/>
  <c r="E1216" i="1"/>
  <c r="D1216" i="1"/>
  <c r="F1048" i="1"/>
  <c r="E1048" i="1"/>
  <c r="D1048" i="1"/>
  <c r="F1006" i="1"/>
  <c r="E1006" i="1"/>
  <c r="D1006" i="1"/>
  <c r="F922" i="1"/>
  <c r="E922" i="1"/>
  <c r="D922" i="1"/>
  <c r="F882" i="1"/>
  <c r="E882" i="1"/>
  <c r="D882" i="1"/>
  <c r="F796" i="1"/>
  <c r="E796" i="1"/>
  <c r="D796" i="1"/>
  <c r="F752" i="1"/>
  <c r="E752" i="1"/>
  <c r="D752" i="1"/>
  <c r="F708" i="1"/>
  <c r="E708" i="1"/>
  <c r="D708" i="1"/>
  <c r="F664" i="1"/>
  <c r="E664" i="1"/>
  <c r="D664" i="1"/>
  <c r="F578" i="1"/>
  <c r="E578" i="1"/>
  <c r="D578" i="1"/>
  <c r="F534" i="1"/>
  <c r="E534" i="1"/>
  <c r="D534" i="1"/>
  <c r="F490" i="1"/>
  <c r="E490" i="1"/>
  <c r="D490" i="1"/>
  <c r="F446" i="1"/>
  <c r="E446" i="1"/>
  <c r="D446" i="1"/>
  <c r="F402" i="1"/>
  <c r="E402" i="1"/>
  <c r="D402" i="1"/>
  <c r="F364" i="1"/>
  <c r="E364" i="1"/>
  <c r="D364" i="1"/>
  <c r="F326" i="1"/>
  <c r="E326" i="1"/>
  <c r="D326" i="1"/>
  <c r="F282" i="1"/>
  <c r="E282" i="1"/>
  <c r="D282" i="1"/>
  <c r="F238" i="1"/>
  <c r="E238" i="1"/>
  <c r="D238" i="1"/>
  <c r="F194" i="1"/>
  <c r="E194" i="1"/>
  <c r="D194" i="1"/>
  <c r="F150" i="1"/>
  <c r="E150" i="1"/>
  <c r="D150" i="1"/>
  <c r="F106" i="1"/>
  <c r="E106" i="1"/>
  <c r="D106" i="1"/>
  <c r="F62" i="1"/>
  <c r="E62" i="1"/>
  <c r="D62" i="1"/>
  <c r="C42" i="6"/>
  <c r="F42" i="6" s="1"/>
  <c r="I42" i="6" s="1"/>
  <c r="B1285" i="1"/>
  <c r="B1244" i="1"/>
  <c r="B1202" i="1"/>
  <c r="B1160" i="1"/>
  <c r="B1118" i="1"/>
  <c r="B1076" i="1"/>
  <c r="C1031" i="1"/>
  <c r="B1034" i="1" s="1"/>
  <c r="C989" i="1"/>
  <c r="B992" i="1" s="1"/>
  <c r="C947" i="1"/>
  <c r="B950" i="1" s="1"/>
  <c r="C905" i="1"/>
  <c r="B908" i="1" s="1"/>
  <c r="B868" i="1"/>
  <c r="C779" i="1"/>
  <c r="B782" i="1" s="1"/>
  <c r="C735" i="1"/>
  <c r="B738" i="1" s="1"/>
  <c r="C691" i="1"/>
  <c r="B694" i="1" s="1"/>
  <c r="C647" i="1"/>
  <c r="B650" i="1" s="1"/>
  <c r="B608" i="1"/>
  <c r="C561" i="1"/>
  <c r="B564" i="1" s="1"/>
  <c r="C517" i="1"/>
  <c r="B520" i="1" s="1"/>
  <c r="C473" i="1"/>
  <c r="B476" i="1" s="1"/>
  <c r="C429" i="1"/>
  <c r="B432" i="1" s="1"/>
  <c r="C385" i="1"/>
  <c r="B388" i="1" s="1"/>
  <c r="C347" i="1"/>
  <c r="B350" i="1" s="1"/>
  <c r="C309" i="1"/>
  <c r="B312" i="1" s="1"/>
  <c r="C265" i="1"/>
  <c r="B268" i="1" s="1"/>
  <c r="C221" i="1"/>
  <c r="B224" i="1" s="1"/>
  <c r="C177" i="1"/>
  <c r="B180" i="1" s="1"/>
  <c r="C133" i="1"/>
  <c r="B136" i="1" s="1"/>
  <c r="C89" i="1"/>
  <c r="B92" i="1" s="1"/>
  <c r="B23" i="7"/>
  <c r="B24" i="7" s="1"/>
  <c r="B25" i="7" s="1"/>
  <c r="B26" i="7" s="1"/>
  <c r="B30" i="7" s="1"/>
  <c r="B31" i="7" s="1"/>
  <c r="B32" i="7" s="1"/>
  <c r="B33" i="7" s="1"/>
  <c r="B34" i="7" s="1"/>
  <c r="B35" i="7" s="1"/>
  <c r="B36" i="7" s="1"/>
  <c r="B37" i="7" s="1"/>
  <c r="B38" i="7" s="1"/>
  <c r="B39" i="7" s="1"/>
  <c r="B40" i="7" s="1"/>
  <c r="E68" i="1"/>
  <c r="F814" i="1"/>
  <c r="D66" i="1"/>
  <c r="D110" i="1"/>
  <c r="D124" i="1" s="1"/>
  <c r="D154" i="1"/>
  <c r="D168" i="1" s="1"/>
  <c r="D198" i="1"/>
  <c r="D242" i="1"/>
  <c r="D286" i="1"/>
  <c r="D330" i="1"/>
  <c r="D338" i="1" s="1"/>
  <c r="D368" i="1"/>
  <c r="D376" i="1" s="1"/>
  <c r="D406" i="1"/>
  <c r="D420" i="1" s="1"/>
  <c r="D450" i="1"/>
  <c r="D464" i="1" s="1"/>
  <c r="D814" i="1"/>
  <c r="D896" i="1"/>
  <c r="E26" i="6"/>
  <c r="D24" i="6"/>
  <c r="E109" i="1"/>
  <c r="E153" i="1"/>
  <c r="E329" i="1"/>
  <c r="E338" i="1" s="1"/>
  <c r="E367" i="1"/>
  <c r="E405" i="1"/>
  <c r="E449" i="1"/>
  <c r="F54" i="1"/>
  <c r="F55" i="1"/>
  <c r="F98" i="1"/>
  <c r="F99" i="1"/>
  <c r="F142" i="1"/>
  <c r="F143" i="1"/>
  <c r="F186" i="1"/>
  <c r="F187" i="1"/>
  <c r="F230" i="1"/>
  <c r="F231" i="1"/>
  <c r="F274" i="1"/>
  <c r="F275" i="1"/>
  <c r="F318" i="1"/>
  <c r="F319" i="1"/>
  <c r="F356" i="1"/>
  <c r="F357" i="1"/>
  <c r="F394" i="1"/>
  <c r="F395" i="1"/>
  <c r="F438" i="1"/>
  <c r="F439" i="1"/>
  <c r="F482" i="1"/>
  <c r="F483" i="1"/>
  <c r="F526" i="1"/>
  <c r="F527" i="1"/>
  <c r="F570" i="1"/>
  <c r="F571" i="1"/>
  <c r="F656" i="1"/>
  <c r="F657" i="1"/>
  <c r="F700" i="1"/>
  <c r="F701" i="1"/>
  <c r="F788" i="1"/>
  <c r="F789" i="1"/>
  <c r="F874" i="1"/>
  <c r="F875" i="1"/>
  <c r="E54" i="1"/>
  <c r="E55" i="1"/>
  <c r="E98" i="1"/>
  <c r="E99" i="1"/>
  <c r="E142" i="1"/>
  <c r="E143" i="1"/>
  <c r="E186" i="1"/>
  <c r="E187" i="1"/>
  <c r="E230" i="1"/>
  <c r="E231" i="1"/>
  <c r="E274" i="1"/>
  <c r="E275" i="1"/>
  <c r="E318" i="1"/>
  <c r="E319" i="1"/>
  <c r="E356" i="1"/>
  <c r="E357" i="1"/>
  <c r="E394" i="1"/>
  <c r="E395" i="1"/>
  <c r="E438" i="1"/>
  <c r="E439" i="1"/>
  <c r="E482" i="1"/>
  <c r="E483" i="1"/>
  <c r="E526" i="1"/>
  <c r="E527" i="1"/>
  <c r="E570" i="1"/>
  <c r="E571" i="1"/>
  <c r="E656" i="1"/>
  <c r="E657" i="1"/>
  <c r="E700" i="1"/>
  <c r="E701" i="1"/>
  <c r="E744" i="1"/>
  <c r="E745" i="1"/>
  <c r="E788" i="1"/>
  <c r="E789" i="1"/>
  <c r="E874" i="1"/>
  <c r="E875" i="1"/>
  <c r="E914" i="1"/>
  <c r="E915" i="1"/>
  <c r="E998" i="1"/>
  <c r="E999" i="1"/>
  <c r="E1040" i="1"/>
  <c r="E1041" i="1"/>
  <c r="E1208" i="1"/>
  <c r="E1209" i="1"/>
  <c r="D54" i="1"/>
  <c r="D55" i="1"/>
  <c r="D99" i="1"/>
  <c r="D142" i="1"/>
  <c r="D143" i="1"/>
  <c r="D186" i="1"/>
  <c r="D187" i="1"/>
  <c r="D230" i="1"/>
  <c r="D231" i="1"/>
  <c r="D274" i="1"/>
  <c r="D275" i="1"/>
  <c r="D318" i="1"/>
  <c r="D319" i="1"/>
  <c r="D356" i="1"/>
  <c r="D357" i="1"/>
  <c r="D394" i="1"/>
  <c r="D395" i="1"/>
  <c r="D438" i="1"/>
  <c r="D439" i="1"/>
  <c r="D482" i="1"/>
  <c r="D483" i="1"/>
  <c r="D526" i="1"/>
  <c r="D527" i="1"/>
  <c r="D570" i="1"/>
  <c r="D571" i="1"/>
  <c r="D656" i="1"/>
  <c r="D657" i="1"/>
  <c r="D700" i="1"/>
  <c r="D701" i="1"/>
  <c r="D744" i="1"/>
  <c r="D745" i="1"/>
  <c r="D788" i="1"/>
  <c r="D789" i="1"/>
  <c r="D874" i="1"/>
  <c r="D875" i="1"/>
  <c r="D914" i="1"/>
  <c r="D915" i="1"/>
  <c r="D998" i="1"/>
  <c r="D999" i="1"/>
  <c r="D1040" i="1"/>
  <c r="D1041" i="1"/>
  <c r="D1208" i="1"/>
  <c r="D1209" i="1"/>
  <c r="B66" i="1"/>
  <c r="A18" i="6"/>
  <c r="A17" i="6"/>
  <c r="B68" i="1"/>
  <c r="B67" i="1"/>
  <c r="B65" i="1"/>
  <c r="E17" i="6"/>
  <c r="E18" i="6"/>
  <c r="D17" i="6"/>
  <c r="D18" i="6"/>
  <c r="C17" i="6"/>
  <c r="C18" i="6"/>
  <c r="C22" i="6"/>
  <c r="B22" i="6" s="1"/>
  <c r="D1050" i="1"/>
  <c r="E1050" i="1" s="1"/>
  <c r="F1050" i="1" s="1"/>
  <c r="G1050" i="1" s="1"/>
  <c r="H1050" i="1" s="1"/>
  <c r="I1050" i="1" s="1"/>
  <c r="J1050" i="1" s="1"/>
  <c r="K1050" i="1" s="1"/>
  <c r="D1008" i="1"/>
  <c r="E1008" i="1" s="1"/>
  <c r="F1008" i="1" s="1"/>
  <c r="G1008" i="1" s="1"/>
  <c r="H1008" i="1" s="1"/>
  <c r="I1008" i="1" s="1"/>
  <c r="J1008" i="1" s="1"/>
  <c r="K1008" i="1" s="1"/>
  <c r="D924" i="1"/>
  <c r="E924" i="1" s="1"/>
  <c r="F924" i="1" s="1"/>
  <c r="G924" i="1" s="1"/>
  <c r="H924" i="1" s="1"/>
  <c r="I924" i="1" s="1"/>
  <c r="J924" i="1" s="1"/>
  <c r="K924" i="1" s="1"/>
  <c r="D884" i="1"/>
  <c r="E884" i="1" s="1"/>
  <c r="F884" i="1" s="1"/>
  <c r="G884" i="1" s="1"/>
  <c r="H884" i="1" s="1"/>
  <c r="I884" i="1" s="1"/>
  <c r="J884" i="1" s="1"/>
  <c r="K884" i="1" s="1"/>
  <c r="D798" i="1"/>
  <c r="E798" i="1" s="1"/>
  <c r="F798" i="1" s="1"/>
  <c r="G798" i="1" s="1"/>
  <c r="H798" i="1" s="1"/>
  <c r="I798" i="1" s="1"/>
  <c r="J798" i="1" s="1"/>
  <c r="K798" i="1" s="1"/>
  <c r="D754" i="1"/>
  <c r="E754" i="1" s="1"/>
  <c r="F754" i="1" s="1"/>
  <c r="G754" i="1" s="1"/>
  <c r="H754" i="1" s="1"/>
  <c r="I754" i="1" s="1"/>
  <c r="J754" i="1" s="1"/>
  <c r="K754" i="1" s="1"/>
  <c r="D710" i="1"/>
  <c r="E710" i="1" s="1"/>
  <c r="F710" i="1" s="1"/>
  <c r="G710" i="1" s="1"/>
  <c r="H710" i="1" s="1"/>
  <c r="I710" i="1" s="1"/>
  <c r="J710" i="1" s="1"/>
  <c r="K710" i="1" s="1"/>
  <c r="D666" i="1"/>
  <c r="E666" i="1" s="1"/>
  <c r="F666" i="1" s="1"/>
  <c r="G666" i="1" s="1"/>
  <c r="H666" i="1" s="1"/>
  <c r="I666" i="1" s="1"/>
  <c r="J666" i="1" s="1"/>
  <c r="K666" i="1" s="1"/>
  <c r="L666" i="1" s="1"/>
  <c r="D580" i="1"/>
  <c r="E580" i="1" s="1"/>
  <c r="F580" i="1" s="1"/>
  <c r="G580" i="1" s="1"/>
  <c r="H580" i="1" s="1"/>
  <c r="I580" i="1" s="1"/>
  <c r="J580" i="1" s="1"/>
  <c r="K580" i="1" s="1"/>
  <c r="L580" i="1" s="1"/>
  <c r="D536" i="1"/>
  <c r="E536" i="1" s="1"/>
  <c r="F536" i="1" s="1"/>
  <c r="G536" i="1" s="1"/>
  <c r="H536" i="1" s="1"/>
  <c r="I536" i="1" s="1"/>
  <c r="J536" i="1" s="1"/>
  <c r="K536" i="1" s="1"/>
  <c r="L536" i="1" s="1"/>
  <c r="D492" i="1"/>
  <c r="E492" i="1" s="1"/>
  <c r="F492" i="1" s="1"/>
  <c r="G492" i="1" s="1"/>
  <c r="H492" i="1" s="1"/>
  <c r="I492" i="1" s="1"/>
  <c r="J492" i="1" s="1"/>
  <c r="K492" i="1" s="1"/>
  <c r="L492" i="1" s="1"/>
  <c r="D448" i="1"/>
  <c r="E448" i="1" s="1"/>
  <c r="F448" i="1" s="1"/>
  <c r="G448" i="1" s="1"/>
  <c r="H448" i="1" s="1"/>
  <c r="I448" i="1" s="1"/>
  <c r="J448" i="1" s="1"/>
  <c r="K448" i="1" s="1"/>
  <c r="L448" i="1" s="1"/>
  <c r="D404" i="1"/>
  <c r="E404" i="1" s="1"/>
  <c r="F404" i="1" s="1"/>
  <c r="G404" i="1" s="1"/>
  <c r="H404" i="1" s="1"/>
  <c r="I404" i="1" s="1"/>
  <c r="J404" i="1" s="1"/>
  <c r="K404" i="1" s="1"/>
  <c r="L404" i="1" s="1"/>
  <c r="D366" i="1"/>
  <c r="E366" i="1" s="1"/>
  <c r="F366" i="1" s="1"/>
  <c r="G366" i="1" s="1"/>
  <c r="H366" i="1" s="1"/>
  <c r="I366" i="1" s="1"/>
  <c r="J366" i="1" s="1"/>
  <c r="K366" i="1" s="1"/>
  <c r="L366" i="1" s="1"/>
  <c r="D328" i="1"/>
  <c r="E328" i="1" s="1"/>
  <c r="F328" i="1" s="1"/>
  <c r="G328" i="1" s="1"/>
  <c r="H328" i="1" s="1"/>
  <c r="I328" i="1" s="1"/>
  <c r="J328" i="1" s="1"/>
  <c r="K328" i="1" s="1"/>
  <c r="L328" i="1" s="1"/>
  <c r="D284" i="1"/>
  <c r="E284" i="1" s="1"/>
  <c r="F284" i="1" s="1"/>
  <c r="G284" i="1" s="1"/>
  <c r="H284" i="1" s="1"/>
  <c r="I284" i="1" s="1"/>
  <c r="J284" i="1" s="1"/>
  <c r="K284" i="1" s="1"/>
  <c r="L284" i="1" s="1"/>
  <c r="D240" i="1"/>
  <c r="E240" i="1" s="1"/>
  <c r="F240" i="1" s="1"/>
  <c r="G240" i="1" s="1"/>
  <c r="H240" i="1" s="1"/>
  <c r="I240" i="1" s="1"/>
  <c r="J240" i="1" s="1"/>
  <c r="K240" i="1" s="1"/>
  <c r="D196" i="1"/>
  <c r="E196" i="1" s="1"/>
  <c r="F196" i="1" s="1"/>
  <c r="G196" i="1" s="1"/>
  <c r="H196" i="1" s="1"/>
  <c r="I196" i="1" s="1"/>
  <c r="J196" i="1" s="1"/>
  <c r="K196" i="1" s="1"/>
  <c r="L196" i="1" s="1"/>
  <c r="D152" i="1"/>
  <c r="E152" i="1" s="1"/>
  <c r="F152" i="1" s="1"/>
  <c r="G152" i="1" s="1"/>
  <c r="H152" i="1" s="1"/>
  <c r="I152" i="1" s="1"/>
  <c r="J152" i="1" s="1"/>
  <c r="K152" i="1" s="1"/>
  <c r="L152" i="1" s="1"/>
  <c r="D108" i="1"/>
  <c r="E108" i="1" s="1"/>
  <c r="F108" i="1" s="1"/>
  <c r="G108" i="1" s="1"/>
  <c r="H108" i="1" s="1"/>
  <c r="I108" i="1" s="1"/>
  <c r="J108" i="1" s="1"/>
  <c r="K108" i="1" s="1"/>
  <c r="D64" i="1"/>
  <c r="E64" i="1" s="1"/>
  <c r="F64" i="1" s="1"/>
  <c r="G64" i="1" s="1"/>
  <c r="H64" i="1" s="1"/>
  <c r="I64" i="1" s="1"/>
  <c r="J64" i="1" s="1"/>
  <c r="K64" i="1" s="1"/>
  <c r="C16" i="6"/>
  <c r="D16" i="6" s="1"/>
  <c r="E16" i="6" s="1"/>
  <c r="F16" i="6" s="1"/>
  <c r="G16" i="6" s="1"/>
  <c r="H16" i="6" s="1"/>
  <c r="I16" i="6" s="1"/>
  <c r="J16" i="6" s="1"/>
  <c r="C11" i="6"/>
  <c r="D11" i="6" s="1"/>
  <c r="E11" i="6" s="1"/>
  <c r="F11" i="6" s="1"/>
  <c r="G11" i="6" s="1"/>
  <c r="H11" i="6" s="1"/>
  <c r="I11" i="6" s="1"/>
  <c r="J11" i="6" s="1"/>
  <c r="C6" i="6"/>
  <c r="B6" i="6" s="1"/>
  <c r="D1212" i="1"/>
  <c r="E1212" i="1" s="1"/>
  <c r="F1212" i="1" s="1"/>
  <c r="G1212" i="1" s="1"/>
  <c r="H1212" i="1" s="1"/>
  <c r="I1212" i="1" s="1"/>
  <c r="J1212" i="1" s="1"/>
  <c r="K1212" i="1" s="1"/>
  <c r="D1207" i="1"/>
  <c r="E1207" i="1" s="1"/>
  <c r="F1207" i="1" s="1"/>
  <c r="G1207" i="1" s="1"/>
  <c r="H1207" i="1" s="1"/>
  <c r="I1207" i="1" s="1"/>
  <c r="J1207" i="1" s="1"/>
  <c r="K1207" i="1" s="1"/>
  <c r="D1044" i="1"/>
  <c r="E1044" i="1" s="1"/>
  <c r="F1044" i="1" s="1"/>
  <c r="G1044" i="1" s="1"/>
  <c r="H1044" i="1" s="1"/>
  <c r="I1044" i="1" s="1"/>
  <c r="J1044" i="1" s="1"/>
  <c r="K1044" i="1" s="1"/>
  <c r="D1039" i="1"/>
  <c r="E1039" i="1" s="1"/>
  <c r="F1039" i="1" s="1"/>
  <c r="G1039" i="1" s="1"/>
  <c r="H1039" i="1" s="1"/>
  <c r="I1039" i="1" s="1"/>
  <c r="J1039" i="1" s="1"/>
  <c r="K1039" i="1" s="1"/>
  <c r="D1002" i="1"/>
  <c r="E1002" i="1" s="1"/>
  <c r="F1002" i="1" s="1"/>
  <c r="G1002" i="1" s="1"/>
  <c r="H1002" i="1" s="1"/>
  <c r="I1002" i="1" s="1"/>
  <c r="J1002" i="1" s="1"/>
  <c r="K1002" i="1" s="1"/>
  <c r="D997" i="1"/>
  <c r="E997" i="1" s="1"/>
  <c r="F997" i="1" s="1"/>
  <c r="G997" i="1" s="1"/>
  <c r="H997" i="1" s="1"/>
  <c r="I997" i="1" s="1"/>
  <c r="J997" i="1" s="1"/>
  <c r="K997" i="1" s="1"/>
  <c r="D918" i="1"/>
  <c r="E918" i="1" s="1"/>
  <c r="F918" i="1" s="1"/>
  <c r="G918" i="1" s="1"/>
  <c r="H918" i="1" s="1"/>
  <c r="I918" i="1" s="1"/>
  <c r="J918" i="1" s="1"/>
  <c r="K918" i="1" s="1"/>
  <c r="D913" i="1"/>
  <c r="E913" i="1" s="1"/>
  <c r="F913" i="1" s="1"/>
  <c r="G913" i="1" s="1"/>
  <c r="H913" i="1" s="1"/>
  <c r="I913" i="1" s="1"/>
  <c r="J913" i="1" s="1"/>
  <c r="K913" i="1" s="1"/>
  <c r="D878" i="1"/>
  <c r="E878" i="1" s="1"/>
  <c r="F878" i="1" s="1"/>
  <c r="G878" i="1" s="1"/>
  <c r="H878" i="1" s="1"/>
  <c r="I878" i="1" s="1"/>
  <c r="J878" i="1" s="1"/>
  <c r="K878" i="1" s="1"/>
  <c r="D873" i="1"/>
  <c r="E873" i="1" s="1"/>
  <c r="F873" i="1" s="1"/>
  <c r="G873" i="1" s="1"/>
  <c r="H873" i="1" s="1"/>
  <c r="I873" i="1" s="1"/>
  <c r="J873" i="1" s="1"/>
  <c r="K873" i="1" s="1"/>
  <c r="D792" i="1"/>
  <c r="E792" i="1" s="1"/>
  <c r="F792" i="1" s="1"/>
  <c r="G792" i="1" s="1"/>
  <c r="H792" i="1" s="1"/>
  <c r="I792" i="1" s="1"/>
  <c r="J792" i="1" s="1"/>
  <c r="K792" i="1" s="1"/>
  <c r="L792" i="1" s="1"/>
  <c r="D787" i="1"/>
  <c r="E787" i="1" s="1"/>
  <c r="F787" i="1" s="1"/>
  <c r="G787" i="1" s="1"/>
  <c r="H787" i="1" s="1"/>
  <c r="I787" i="1" s="1"/>
  <c r="J787" i="1" s="1"/>
  <c r="K787" i="1" s="1"/>
  <c r="L787" i="1" s="1"/>
  <c r="D748" i="1"/>
  <c r="E748" i="1" s="1"/>
  <c r="F748" i="1" s="1"/>
  <c r="G748" i="1" s="1"/>
  <c r="H748" i="1" s="1"/>
  <c r="I748" i="1" s="1"/>
  <c r="J748" i="1" s="1"/>
  <c r="K748" i="1" s="1"/>
  <c r="D743" i="1"/>
  <c r="E743" i="1" s="1"/>
  <c r="F743" i="1" s="1"/>
  <c r="G743" i="1" s="1"/>
  <c r="H743" i="1" s="1"/>
  <c r="I743" i="1" s="1"/>
  <c r="J743" i="1" s="1"/>
  <c r="K743" i="1" s="1"/>
  <c r="D704" i="1"/>
  <c r="E704" i="1" s="1"/>
  <c r="F704" i="1" s="1"/>
  <c r="G704" i="1" s="1"/>
  <c r="H704" i="1" s="1"/>
  <c r="I704" i="1" s="1"/>
  <c r="J704" i="1" s="1"/>
  <c r="K704" i="1" s="1"/>
  <c r="D699" i="1"/>
  <c r="E699" i="1" s="1"/>
  <c r="F699" i="1" s="1"/>
  <c r="G699" i="1" s="1"/>
  <c r="H699" i="1" s="1"/>
  <c r="I699" i="1" s="1"/>
  <c r="J699" i="1" s="1"/>
  <c r="K699" i="1" s="1"/>
  <c r="D660" i="1"/>
  <c r="E660" i="1" s="1"/>
  <c r="F660" i="1" s="1"/>
  <c r="G660" i="1" s="1"/>
  <c r="H660" i="1" s="1"/>
  <c r="I660" i="1" s="1"/>
  <c r="J660" i="1" s="1"/>
  <c r="K660" i="1" s="1"/>
  <c r="L660" i="1" s="1"/>
  <c r="D655" i="1"/>
  <c r="E655" i="1" s="1"/>
  <c r="F655" i="1" s="1"/>
  <c r="G655" i="1" s="1"/>
  <c r="H655" i="1" s="1"/>
  <c r="I655" i="1" s="1"/>
  <c r="J655" i="1" s="1"/>
  <c r="K655" i="1" s="1"/>
  <c r="L655" i="1" s="1"/>
  <c r="D574" i="1"/>
  <c r="E574" i="1" s="1"/>
  <c r="F574" i="1" s="1"/>
  <c r="D569" i="1"/>
  <c r="E569" i="1" s="1"/>
  <c r="F569" i="1" s="1"/>
  <c r="D530" i="1"/>
  <c r="E530" i="1" s="1"/>
  <c r="F530" i="1" s="1"/>
  <c r="D525" i="1"/>
  <c r="E525" i="1" s="1"/>
  <c r="F525" i="1" s="1"/>
  <c r="D486" i="1"/>
  <c r="E486" i="1" s="1"/>
  <c r="F486" i="1" s="1"/>
  <c r="D481" i="1"/>
  <c r="E481" i="1" s="1"/>
  <c r="F481" i="1" s="1"/>
  <c r="D442" i="1"/>
  <c r="E442" i="1" s="1"/>
  <c r="F442" i="1" s="1"/>
  <c r="D437" i="1"/>
  <c r="E437" i="1" s="1"/>
  <c r="F437" i="1" s="1"/>
  <c r="D398" i="1"/>
  <c r="E398" i="1" s="1"/>
  <c r="F398" i="1" s="1"/>
  <c r="D393" i="1"/>
  <c r="E393" i="1" s="1"/>
  <c r="F393" i="1" s="1"/>
  <c r="D360" i="1"/>
  <c r="E360" i="1" s="1"/>
  <c r="F360" i="1" s="1"/>
  <c r="D355" i="1"/>
  <c r="E355" i="1" s="1"/>
  <c r="F355" i="1" s="1"/>
  <c r="D322" i="1"/>
  <c r="E322" i="1" s="1"/>
  <c r="F322" i="1" s="1"/>
  <c r="D317" i="1"/>
  <c r="E317" i="1" s="1"/>
  <c r="F317" i="1" s="1"/>
  <c r="D278" i="1"/>
  <c r="E278" i="1" s="1"/>
  <c r="F278" i="1" s="1"/>
  <c r="D273" i="1"/>
  <c r="E273" i="1" s="1"/>
  <c r="F273" i="1" s="1"/>
  <c r="D234" i="1"/>
  <c r="E234" i="1" s="1"/>
  <c r="F234" i="1" s="1"/>
  <c r="D229" i="1"/>
  <c r="E229" i="1" s="1"/>
  <c r="F229" i="1" s="1"/>
  <c r="D190" i="1"/>
  <c r="E190" i="1" s="1"/>
  <c r="F190" i="1" s="1"/>
  <c r="D185" i="1"/>
  <c r="E185" i="1" s="1"/>
  <c r="F185" i="1" s="1"/>
  <c r="D146" i="1"/>
  <c r="E146" i="1" s="1"/>
  <c r="F146" i="1" s="1"/>
  <c r="D141" i="1"/>
  <c r="E141" i="1" s="1"/>
  <c r="F141" i="1" s="1"/>
  <c r="D1201" i="1"/>
  <c r="E1201" i="1" s="1"/>
  <c r="F1201" i="1" s="1"/>
  <c r="G1201" i="1" s="1"/>
  <c r="H1201" i="1" s="1"/>
  <c r="I1201" i="1" s="1"/>
  <c r="J1201" i="1" s="1"/>
  <c r="K1201" i="1" s="1"/>
  <c r="D1033" i="1"/>
  <c r="E1033" i="1" s="1"/>
  <c r="F1033" i="1" s="1"/>
  <c r="G1033" i="1" s="1"/>
  <c r="H1033" i="1" s="1"/>
  <c r="I1033" i="1" s="1"/>
  <c r="J1033" i="1" s="1"/>
  <c r="K1033" i="1" s="1"/>
  <c r="D991" i="1"/>
  <c r="E991" i="1" s="1"/>
  <c r="F991" i="1" s="1"/>
  <c r="G991" i="1" s="1"/>
  <c r="H991" i="1" s="1"/>
  <c r="I991" i="1" s="1"/>
  <c r="J991" i="1" s="1"/>
  <c r="K991" i="1" s="1"/>
  <c r="D949" i="1"/>
  <c r="E949" i="1" s="1"/>
  <c r="F949" i="1" s="1"/>
  <c r="G949" i="1" s="1"/>
  <c r="H949" i="1" s="1"/>
  <c r="I949" i="1" s="1"/>
  <c r="J949" i="1" s="1"/>
  <c r="K949" i="1" s="1"/>
  <c r="D907" i="1"/>
  <c r="E907" i="1" s="1"/>
  <c r="F907" i="1" s="1"/>
  <c r="G907" i="1" s="1"/>
  <c r="H907" i="1" s="1"/>
  <c r="I907" i="1" s="1"/>
  <c r="J907" i="1" s="1"/>
  <c r="K907" i="1" s="1"/>
  <c r="D867" i="1"/>
  <c r="E867" i="1" s="1"/>
  <c r="F867" i="1" s="1"/>
  <c r="G867" i="1" s="1"/>
  <c r="H867" i="1" s="1"/>
  <c r="I867" i="1" s="1"/>
  <c r="J867" i="1" s="1"/>
  <c r="K867" i="1" s="1"/>
  <c r="D781" i="1"/>
  <c r="E781" i="1" s="1"/>
  <c r="F781" i="1" s="1"/>
  <c r="G781" i="1" s="1"/>
  <c r="H781" i="1" s="1"/>
  <c r="I781" i="1" s="1"/>
  <c r="J781" i="1" s="1"/>
  <c r="K781" i="1" s="1"/>
  <c r="L781" i="1" s="1"/>
  <c r="D737" i="1"/>
  <c r="E737" i="1" s="1"/>
  <c r="F737" i="1" s="1"/>
  <c r="G737" i="1" s="1"/>
  <c r="H737" i="1" s="1"/>
  <c r="I737" i="1" s="1"/>
  <c r="J737" i="1" s="1"/>
  <c r="K737" i="1" s="1"/>
  <c r="D693" i="1"/>
  <c r="E693" i="1" s="1"/>
  <c r="F693" i="1" s="1"/>
  <c r="G693" i="1" s="1"/>
  <c r="H693" i="1" s="1"/>
  <c r="I693" i="1" s="1"/>
  <c r="J693" i="1" s="1"/>
  <c r="K693" i="1" s="1"/>
  <c r="D649" i="1"/>
  <c r="E649" i="1" s="1"/>
  <c r="F649" i="1" s="1"/>
  <c r="G649" i="1" s="1"/>
  <c r="H649" i="1" s="1"/>
  <c r="I649" i="1" s="1"/>
  <c r="J649" i="1" s="1"/>
  <c r="K649" i="1" s="1"/>
  <c r="L649" i="1" s="1"/>
  <c r="D563" i="1"/>
  <c r="E563" i="1" s="1"/>
  <c r="F563" i="1" s="1"/>
  <c r="G563" i="1" s="1"/>
  <c r="H563" i="1" s="1"/>
  <c r="I563" i="1" s="1"/>
  <c r="J563" i="1" s="1"/>
  <c r="K563" i="1" s="1"/>
  <c r="L563" i="1" s="1"/>
  <c r="D519" i="1"/>
  <c r="E519" i="1" s="1"/>
  <c r="F519" i="1" s="1"/>
  <c r="G519" i="1" s="1"/>
  <c r="H519" i="1" s="1"/>
  <c r="I519" i="1" s="1"/>
  <c r="J519" i="1" s="1"/>
  <c r="D102" i="1"/>
  <c r="E102" i="1" s="1"/>
  <c r="F102" i="1" s="1"/>
  <c r="D97" i="1"/>
  <c r="E97" i="1" s="1"/>
  <c r="F97" i="1" s="1"/>
  <c r="C45" i="1"/>
  <c r="B48" i="1" s="1"/>
  <c r="D47" i="1"/>
  <c r="D58" i="1" s="1"/>
  <c r="D179" i="1"/>
  <c r="E179" i="1" s="1"/>
  <c r="F179" i="1" s="1"/>
  <c r="G179" i="1" s="1"/>
  <c r="H179" i="1" s="1"/>
  <c r="I179" i="1" s="1"/>
  <c r="J179" i="1" s="1"/>
  <c r="K179" i="1" s="1"/>
  <c r="D135" i="1"/>
  <c r="E135" i="1" s="1"/>
  <c r="F135" i="1" s="1"/>
  <c r="G135" i="1" s="1"/>
  <c r="H135" i="1" s="1"/>
  <c r="I135" i="1" s="1"/>
  <c r="J135" i="1" s="1"/>
  <c r="K135" i="1" s="1"/>
  <c r="D475" i="1"/>
  <c r="E475" i="1" s="1"/>
  <c r="F475" i="1" s="1"/>
  <c r="G475" i="1" s="1"/>
  <c r="H475" i="1" s="1"/>
  <c r="I475" i="1" s="1"/>
  <c r="J475" i="1" s="1"/>
  <c r="K475" i="1" s="1"/>
  <c r="D431" i="1"/>
  <c r="E431" i="1" s="1"/>
  <c r="F431" i="1" s="1"/>
  <c r="G431" i="1" s="1"/>
  <c r="H431" i="1" s="1"/>
  <c r="I431" i="1" s="1"/>
  <c r="J431" i="1" s="1"/>
  <c r="K431" i="1" s="1"/>
  <c r="D387" i="1"/>
  <c r="E387" i="1" s="1"/>
  <c r="F387" i="1" s="1"/>
  <c r="G387" i="1" s="1"/>
  <c r="H387" i="1" s="1"/>
  <c r="I387" i="1" s="1"/>
  <c r="J387" i="1" s="1"/>
  <c r="K387" i="1" s="1"/>
  <c r="D349" i="1"/>
  <c r="E349" i="1" s="1"/>
  <c r="F349" i="1" s="1"/>
  <c r="G349" i="1" s="1"/>
  <c r="H349" i="1" s="1"/>
  <c r="I349" i="1" s="1"/>
  <c r="J349" i="1" s="1"/>
  <c r="D311" i="1"/>
  <c r="E311" i="1" s="1"/>
  <c r="F311" i="1" s="1"/>
  <c r="G311" i="1" s="1"/>
  <c r="H311" i="1" s="1"/>
  <c r="I311" i="1" s="1"/>
  <c r="J311" i="1" s="1"/>
  <c r="K311" i="1" s="1"/>
  <c r="D267" i="1"/>
  <c r="E267" i="1" s="1"/>
  <c r="F267" i="1" s="1"/>
  <c r="G267" i="1" s="1"/>
  <c r="H267" i="1" s="1"/>
  <c r="I267" i="1" s="1"/>
  <c r="J267" i="1" s="1"/>
  <c r="D223" i="1"/>
  <c r="E223" i="1" s="1"/>
  <c r="F223" i="1" s="1"/>
  <c r="G223" i="1" s="1"/>
  <c r="H223" i="1" s="1"/>
  <c r="I223" i="1" s="1"/>
  <c r="J223" i="1" s="1"/>
  <c r="K223" i="1" s="1"/>
  <c r="D91" i="1"/>
  <c r="E91" i="1" s="1"/>
  <c r="F91" i="1" s="1"/>
  <c r="G91" i="1" s="1"/>
  <c r="H91" i="1" s="1"/>
  <c r="I91" i="1" s="1"/>
  <c r="J91" i="1" s="1"/>
  <c r="K91" i="1" s="1"/>
  <c r="G260" i="1" l="1"/>
  <c r="F25" i="8" s="1"/>
  <c r="L574" i="1"/>
  <c r="L569" i="1"/>
  <c r="K481" i="1"/>
  <c r="K486" i="1"/>
  <c r="L475" i="1"/>
  <c r="K437" i="1"/>
  <c r="K442" i="1"/>
  <c r="L431" i="1"/>
  <c r="L311" i="1"/>
  <c r="K322" i="1"/>
  <c r="K317" i="1"/>
  <c r="J360" i="1"/>
  <c r="K349" i="1"/>
  <c r="L387" i="1"/>
  <c r="K393" i="1"/>
  <c r="K398" i="1"/>
  <c r="K229" i="1"/>
  <c r="K234" i="1"/>
  <c r="L223" i="1"/>
  <c r="L179" i="1"/>
  <c r="K185" i="1"/>
  <c r="K190" i="1"/>
  <c r="K102" i="1"/>
  <c r="K97" i="1"/>
  <c r="G6" i="8"/>
  <c r="F8" i="8"/>
  <c r="D11" i="8"/>
  <c r="F12" i="8"/>
  <c r="B13" i="8"/>
  <c r="G8" i="8"/>
  <c r="E11" i="8"/>
  <c r="G12" i="8"/>
  <c r="B6" i="8"/>
  <c r="C6" i="8"/>
  <c r="D9" i="8"/>
  <c r="B9" i="8"/>
  <c r="F6" i="8"/>
  <c r="E9" i="8"/>
  <c r="C12" i="8"/>
  <c r="E7" i="8"/>
  <c r="F10" i="8"/>
  <c r="D13" i="8"/>
  <c r="G10" i="8"/>
  <c r="E13" i="8"/>
  <c r="C13" i="8"/>
  <c r="E10" i="8"/>
  <c r="F9" i="8"/>
  <c r="B12" i="8"/>
  <c r="E12" i="8"/>
  <c r="G9" i="8"/>
  <c r="B11" i="8"/>
  <c r="D12" i="8"/>
  <c r="G11" i="8"/>
  <c r="C9" i="8"/>
  <c r="E6" i="8"/>
  <c r="F11" i="8"/>
  <c r="F7" i="8"/>
  <c r="G13" i="8"/>
  <c r="C11" i="8"/>
  <c r="E8" i="8"/>
  <c r="F13" i="8"/>
  <c r="D6" i="8"/>
  <c r="J190" i="1"/>
  <c r="J442" i="1"/>
  <c r="J398" i="1"/>
  <c r="K267" i="1"/>
  <c r="J278" i="1"/>
  <c r="J322" i="1"/>
  <c r="J486" i="1"/>
  <c r="J481" i="1"/>
  <c r="K519" i="1"/>
  <c r="J525" i="1"/>
  <c r="J530" i="1"/>
  <c r="J355" i="1"/>
  <c r="K574" i="1"/>
  <c r="K569" i="1"/>
  <c r="K141" i="1"/>
  <c r="K146" i="1"/>
  <c r="I342" i="1"/>
  <c r="H27" i="8" s="1"/>
  <c r="G5" i="8" s="1"/>
  <c r="E1064" i="1"/>
  <c r="F1064" i="1"/>
  <c r="D212" i="1"/>
  <c r="G29" i="6"/>
  <c r="J234" i="1"/>
  <c r="J229" i="1"/>
  <c r="J185" i="1"/>
  <c r="J317" i="1"/>
  <c r="J574" i="1"/>
  <c r="J569" i="1"/>
  <c r="J146" i="1"/>
  <c r="J141" i="1"/>
  <c r="J393" i="1"/>
  <c r="G682" i="1"/>
  <c r="G686" i="1" s="1"/>
  <c r="F35" i="8" s="1"/>
  <c r="J273" i="1"/>
  <c r="J437" i="1"/>
  <c r="J102" i="1"/>
  <c r="J97" i="1"/>
  <c r="F702" i="1"/>
  <c r="F730" i="1" s="1"/>
  <c r="E36" i="8" s="1"/>
  <c r="I102" i="1"/>
  <c r="I97" i="1"/>
  <c r="I146" i="1"/>
  <c r="I141" i="1"/>
  <c r="I229" i="1"/>
  <c r="I234" i="1"/>
  <c r="I190" i="1"/>
  <c r="I185" i="1"/>
  <c r="I278" i="1"/>
  <c r="I273" i="1"/>
  <c r="I530" i="1"/>
  <c r="I525" i="1"/>
  <c r="I360" i="1"/>
  <c r="I355" i="1"/>
  <c r="I393" i="1"/>
  <c r="I398" i="1"/>
  <c r="I442" i="1"/>
  <c r="I437" i="1"/>
  <c r="I322" i="1"/>
  <c r="I317" i="1"/>
  <c r="I486" i="1"/>
  <c r="I481" i="1"/>
  <c r="I569" i="1"/>
  <c r="I574" i="1"/>
  <c r="D42" i="6"/>
  <c r="G42" i="6" s="1"/>
  <c r="J42" i="6" s="1"/>
  <c r="F256" i="1"/>
  <c r="C23" i="6"/>
  <c r="D300" i="1"/>
  <c r="D256" i="1"/>
  <c r="D80" i="1"/>
  <c r="D1194" i="1"/>
  <c r="C47" i="8" s="1"/>
  <c r="D1000" i="1"/>
  <c r="D1026" i="1" s="1"/>
  <c r="C43" i="8" s="1"/>
  <c r="D746" i="1"/>
  <c r="D774" i="1" s="1"/>
  <c r="C37" i="8" s="1"/>
  <c r="E896" i="1"/>
  <c r="D916" i="1"/>
  <c r="D942" i="1" s="1"/>
  <c r="C41" i="8" s="1"/>
  <c r="B10" i="8" s="1"/>
  <c r="D658" i="1"/>
  <c r="D686" i="1" s="1"/>
  <c r="C35" i="8" s="1"/>
  <c r="E256" i="1"/>
  <c r="E300" i="1"/>
  <c r="F287" i="1"/>
  <c r="F300" i="1" s="1"/>
  <c r="F451" i="1"/>
  <c r="F464" i="1" s="1"/>
  <c r="E464" i="1"/>
  <c r="E420" i="1"/>
  <c r="F407" i="1"/>
  <c r="F420" i="1" s="1"/>
  <c r="F369" i="1"/>
  <c r="F376" i="1" s="1"/>
  <c r="E376" i="1"/>
  <c r="D144" i="1"/>
  <c r="D172" i="1" s="1"/>
  <c r="C23" i="8" s="1"/>
  <c r="D1210" i="1"/>
  <c r="D1236" i="1" s="1"/>
  <c r="C48" i="8" s="1"/>
  <c r="D790" i="1"/>
  <c r="D818" i="1" s="1"/>
  <c r="C38" i="8" s="1"/>
  <c r="F658" i="1"/>
  <c r="F686" i="1" s="1"/>
  <c r="E35" i="8" s="1"/>
  <c r="D1042" i="1"/>
  <c r="D1068" i="1" s="1"/>
  <c r="C44" i="8" s="1"/>
  <c r="D876" i="1"/>
  <c r="D900" i="1" s="1"/>
  <c r="C40" i="8" s="1"/>
  <c r="B8" i="8" s="1"/>
  <c r="D702" i="1"/>
  <c r="D730" i="1" s="1"/>
  <c r="C36" i="8" s="1"/>
  <c r="E1210" i="1"/>
  <c r="E1236" i="1" s="1"/>
  <c r="D48" i="8" s="1"/>
  <c r="E814" i="1"/>
  <c r="E790" i="1"/>
  <c r="E702" i="1"/>
  <c r="E730" i="1" s="1"/>
  <c r="D36" i="8" s="1"/>
  <c r="E276" i="1"/>
  <c r="F1042" i="1"/>
  <c r="B16" i="6"/>
  <c r="E746" i="1"/>
  <c r="E658" i="1"/>
  <c r="H229" i="1"/>
  <c r="H234" i="1"/>
  <c r="H190" i="1"/>
  <c r="H185" i="1"/>
  <c r="H278" i="1"/>
  <c r="H273" i="1"/>
  <c r="H317" i="1"/>
  <c r="H322" i="1"/>
  <c r="H481" i="1"/>
  <c r="H486" i="1"/>
  <c r="H574" i="1"/>
  <c r="H569" i="1"/>
  <c r="H398" i="1"/>
  <c r="H393" i="1"/>
  <c r="H442" i="1"/>
  <c r="H437" i="1"/>
  <c r="H530" i="1"/>
  <c r="H525" i="1"/>
  <c r="H102" i="1"/>
  <c r="H97" i="1"/>
  <c r="H360" i="1"/>
  <c r="H355" i="1"/>
  <c r="H141" i="1"/>
  <c r="H146" i="1"/>
  <c r="F528" i="1"/>
  <c r="C24" i="6"/>
  <c r="E1000" i="1"/>
  <c r="E1026" i="1" s="1"/>
  <c r="D43" i="8" s="1"/>
  <c r="E916" i="1"/>
  <c r="F876" i="1"/>
  <c r="F900" i="1" s="1"/>
  <c r="E40" i="8" s="1"/>
  <c r="D8" i="8" s="1"/>
  <c r="F790" i="1"/>
  <c r="F818" i="1" s="1"/>
  <c r="E38" i="8" s="1"/>
  <c r="E1042" i="1"/>
  <c r="E876" i="1"/>
  <c r="F1000" i="1"/>
  <c r="F916" i="1"/>
  <c r="F746" i="1"/>
  <c r="F774" i="1" s="1"/>
  <c r="E37" i="8" s="1"/>
  <c r="G574" i="1"/>
  <c r="G569" i="1"/>
  <c r="G530" i="1"/>
  <c r="G525" i="1"/>
  <c r="G486" i="1"/>
  <c r="G481" i="1"/>
  <c r="G442" i="1"/>
  <c r="G437" i="1"/>
  <c r="G398" i="1"/>
  <c r="G393" i="1"/>
  <c r="G360" i="1"/>
  <c r="G355" i="1"/>
  <c r="G322" i="1"/>
  <c r="G317" i="1"/>
  <c r="G278" i="1"/>
  <c r="G273" i="1"/>
  <c r="E232" i="1"/>
  <c r="G234" i="1"/>
  <c r="G229" i="1"/>
  <c r="G190" i="1"/>
  <c r="G185" i="1"/>
  <c r="G146" i="1"/>
  <c r="G141" i="1"/>
  <c r="G102" i="1"/>
  <c r="G97" i="1"/>
  <c r="D528" i="1"/>
  <c r="D556" i="1" s="1"/>
  <c r="C32" i="8" s="1"/>
  <c r="E528" i="1"/>
  <c r="D484" i="1"/>
  <c r="D512" i="1" s="1"/>
  <c r="C31" i="8" s="1"/>
  <c r="E484" i="1"/>
  <c r="D396" i="1"/>
  <c r="D424" i="1" s="1"/>
  <c r="C29" i="8" s="1"/>
  <c r="F572" i="1"/>
  <c r="F276" i="1"/>
  <c r="F144" i="1"/>
  <c r="E572" i="1"/>
  <c r="D440" i="1"/>
  <c r="D468" i="1" s="1"/>
  <c r="C30" i="8" s="1"/>
  <c r="E396" i="1"/>
  <c r="F396" i="1"/>
  <c r="F440" i="1"/>
  <c r="D358" i="1"/>
  <c r="D380" i="1" s="1"/>
  <c r="C28" i="8" s="1"/>
  <c r="E358" i="1"/>
  <c r="F358" i="1"/>
  <c r="D232" i="1"/>
  <c r="D188" i="1"/>
  <c r="E188" i="1"/>
  <c r="D100" i="1"/>
  <c r="D128" i="1" s="1"/>
  <c r="C22" i="8" s="1"/>
  <c r="D23" i="6"/>
  <c r="D20" i="6"/>
  <c r="B42" i="6"/>
  <c r="E20" i="6"/>
  <c r="D56" i="1"/>
  <c r="E56" i="1"/>
  <c r="F56" i="1"/>
  <c r="B11" i="6"/>
  <c r="D6" i="6"/>
  <c r="E6" i="6" s="1"/>
  <c r="F6" i="6" s="1"/>
  <c r="G6" i="6" s="1"/>
  <c r="H6" i="6" s="1"/>
  <c r="D22" i="6"/>
  <c r="E22" i="6" s="1"/>
  <c r="F22" i="6" s="1"/>
  <c r="G22" i="6" s="1"/>
  <c r="H22" i="6" s="1"/>
  <c r="I22" i="6" s="1"/>
  <c r="J22" i="6" s="1"/>
  <c r="E47" i="1"/>
  <c r="F47" i="1" s="1"/>
  <c r="G47" i="1" s="1"/>
  <c r="H47" i="1" s="1"/>
  <c r="I47" i="1" s="1"/>
  <c r="J47" i="1" s="1"/>
  <c r="K47" i="1" s="1"/>
  <c r="L47" i="1" s="1"/>
  <c r="D53" i="1"/>
  <c r="D572" i="1"/>
  <c r="D600" i="1" s="1"/>
  <c r="C33" i="8" s="1"/>
  <c r="D276" i="1"/>
  <c r="C20" i="6"/>
  <c r="F232" i="1"/>
  <c r="D320" i="1"/>
  <c r="D342" i="1" s="1"/>
  <c r="C27" i="8" s="1"/>
  <c r="F484" i="1"/>
  <c r="F188" i="1"/>
  <c r="E440" i="1"/>
  <c r="E144" i="1"/>
  <c r="E100" i="1"/>
  <c r="E320" i="1"/>
  <c r="F320" i="1"/>
  <c r="F100" i="1"/>
  <c r="C12" i="6"/>
  <c r="F260" i="1" l="1"/>
  <c r="K525" i="1"/>
  <c r="L519" i="1"/>
  <c r="K530" i="1"/>
  <c r="L481" i="1"/>
  <c r="L486" i="1"/>
  <c r="L437" i="1"/>
  <c r="L442" i="1"/>
  <c r="L393" i="1"/>
  <c r="L398" i="1"/>
  <c r="K355" i="1"/>
  <c r="K360" i="1"/>
  <c r="L349" i="1"/>
  <c r="L322" i="1"/>
  <c r="L317" i="1"/>
  <c r="K278" i="1"/>
  <c r="K273" i="1"/>
  <c r="L267" i="1"/>
  <c r="L185" i="1"/>
  <c r="L190" i="1"/>
  <c r="L229" i="1"/>
  <c r="L234" i="1"/>
  <c r="B7" i="8"/>
  <c r="K53" i="1"/>
  <c r="K58" i="1"/>
  <c r="E304" i="1"/>
  <c r="D26" i="8" s="1"/>
  <c r="F1068" i="1"/>
  <c r="E44" i="8" s="1"/>
  <c r="F942" i="1"/>
  <c r="E41" i="8" s="1"/>
  <c r="D10" i="8" s="1"/>
  <c r="C38" i="6"/>
  <c r="D216" i="1"/>
  <c r="C24" i="8" s="1"/>
  <c r="F1026" i="1"/>
  <c r="E43" i="8" s="1"/>
  <c r="J58" i="1"/>
  <c r="J53" i="1"/>
  <c r="E42" i="6"/>
  <c r="H42" i="6" s="1"/>
  <c r="F512" i="1"/>
  <c r="E31" i="8" s="1"/>
  <c r="E942" i="1"/>
  <c r="D41" i="8" s="1"/>
  <c r="C10" i="8" s="1"/>
  <c r="F468" i="1"/>
  <c r="E30" i="8" s="1"/>
  <c r="E686" i="1"/>
  <c r="D35" i="8" s="1"/>
  <c r="D260" i="1"/>
  <c r="C25" i="8" s="1"/>
  <c r="I53" i="1"/>
  <c r="I58" i="1"/>
  <c r="E25" i="8"/>
  <c r="D84" i="1"/>
  <c r="C21" i="8" s="1"/>
  <c r="F304" i="1"/>
  <c r="E26" i="8" s="1"/>
  <c r="D304" i="1"/>
  <c r="C26" i="8" s="1"/>
  <c r="E900" i="1"/>
  <c r="D40" i="8" s="1"/>
  <c r="C8" i="8" s="1"/>
  <c r="E1194" i="1"/>
  <c r="D47" i="8" s="1"/>
  <c r="F424" i="1"/>
  <c r="E29" i="8" s="1"/>
  <c r="E1068" i="1"/>
  <c r="D44" i="8" s="1"/>
  <c r="E818" i="1"/>
  <c r="D38" i="8" s="1"/>
  <c r="F380" i="1"/>
  <c r="E28" i="8" s="1"/>
  <c r="F556" i="1"/>
  <c r="E32" i="8" s="1"/>
  <c r="E380" i="1"/>
  <c r="D28" i="8" s="1"/>
  <c r="E600" i="1"/>
  <c r="D33" i="8" s="1"/>
  <c r="E774" i="1"/>
  <c r="D37" i="8" s="1"/>
  <c r="E260" i="1"/>
  <c r="D25" i="8" s="1"/>
  <c r="G600" i="1"/>
  <c r="F33" i="8" s="1"/>
  <c r="H600" i="1"/>
  <c r="G33" i="8" s="1"/>
  <c r="H53" i="1"/>
  <c r="H58" i="1"/>
  <c r="E424" i="1"/>
  <c r="D29" i="8" s="1"/>
  <c r="F600" i="1"/>
  <c r="E33" i="8" s="1"/>
  <c r="G53" i="1"/>
  <c r="G58" i="1"/>
  <c r="E58" i="1"/>
  <c r="E53" i="1"/>
  <c r="F53" i="1"/>
  <c r="F58" i="1"/>
  <c r="C13" i="6"/>
  <c r="C14" i="6" s="1"/>
  <c r="E13" i="6"/>
  <c r="D13" i="6"/>
  <c r="L525" i="1" l="1"/>
  <c r="L530" i="1"/>
  <c r="L355" i="1"/>
  <c r="L360" i="1"/>
  <c r="L278" i="1"/>
  <c r="L273" i="1"/>
  <c r="C7" i="8"/>
  <c r="D7" i="8"/>
  <c r="B5" i="8"/>
  <c r="C43" i="6"/>
  <c r="F342" i="1"/>
  <c r="E27" i="8" s="1"/>
  <c r="F201" i="1" l="1"/>
  <c r="G201" i="1" s="1"/>
  <c r="G212" i="1" s="1"/>
  <c r="F157" i="1"/>
  <c r="G157" i="1" s="1"/>
  <c r="G168" i="1" s="1"/>
  <c r="F113" i="1"/>
  <c r="G113" i="1" s="1"/>
  <c r="G124" i="1" s="1"/>
  <c r="F69" i="1"/>
  <c r="E342" i="1"/>
  <c r="D27" i="8" s="1"/>
  <c r="G69" i="1" l="1"/>
  <c r="F27" i="6" s="1"/>
  <c r="F38" i="6" s="1"/>
  <c r="F43" i="6" s="1"/>
  <c r="H84" i="1"/>
  <c r="G21" i="8" s="1"/>
  <c r="E155" i="1"/>
  <c r="E199" i="1"/>
  <c r="E111" i="1"/>
  <c r="E12" i="6"/>
  <c r="E14" i="6" s="1"/>
  <c r="G80" i="1" l="1"/>
  <c r="G84" i="1" s="1"/>
  <c r="F21" i="8" s="1"/>
  <c r="E212" i="1"/>
  <c r="F199" i="1"/>
  <c r="F212" i="1" s="1"/>
  <c r="F155" i="1"/>
  <c r="E168" i="1"/>
  <c r="F111" i="1"/>
  <c r="F124" i="1" s="1"/>
  <c r="E124" i="1"/>
  <c r="G172" i="1"/>
  <c r="F23" i="8" s="1"/>
  <c r="H172" i="1"/>
  <c r="G23" i="8" s="1"/>
  <c r="G216" i="1"/>
  <c r="F24" i="8" s="1"/>
  <c r="H216" i="1"/>
  <c r="G24" i="8" s="1"/>
  <c r="E27" i="6"/>
  <c r="D12" i="6"/>
  <c r="D14" i="6" s="1"/>
  <c r="E67" i="1"/>
  <c r="D25" i="6" s="1"/>
  <c r="D38" i="6" s="1"/>
  <c r="D43" i="6" l="1"/>
  <c r="F168" i="1"/>
  <c r="G128" i="1"/>
  <c r="F22" i="8" s="1"/>
  <c r="E5" i="8" s="1"/>
  <c r="H128" i="1"/>
  <c r="G22" i="8" s="1"/>
  <c r="F5" i="8" s="1"/>
  <c r="F67" i="1"/>
  <c r="F80" i="1" s="1"/>
  <c r="E80" i="1"/>
  <c r="E84" i="1" s="1"/>
  <c r="D21" i="8" s="1"/>
  <c r="E216" i="1"/>
  <c r="D24" i="8" s="1"/>
  <c r="E172" i="1"/>
  <c r="D23" i="8" s="1"/>
  <c r="E128" i="1"/>
  <c r="D22" i="8" s="1"/>
  <c r="C5" i="8" l="1"/>
  <c r="E25" i="6"/>
  <c r="E38" i="6" s="1"/>
  <c r="E43" i="6" s="1"/>
  <c r="F84" i="1"/>
  <c r="E21" i="8" s="1"/>
  <c r="F216" i="1"/>
  <c r="E24" i="8" s="1"/>
  <c r="F172" i="1"/>
  <c r="E23" i="8" s="1"/>
  <c r="F128" i="1"/>
  <c r="E22" i="8" s="1"/>
  <c r="D5" i="8" l="1"/>
  <c r="G38" i="6"/>
  <c r="G43" i="6" s="1"/>
  <c r="I501" i="1"/>
  <c r="H31" i="6" s="1"/>
  <c r="I508" i="1" l="1"/>
  <c r="I512" i="1" l="1"/>
  <c r="H31" i="8" s="1"/>
  <c r="G7" i="8" s="1"/>
  <c r="I29" i="8"/>
  <c r="I415" i="1"/>
  <c r="I38" i="6"/>
  <c r="I43" i="6" s="1"/>
  <c r="H33" i="6" l="1"/>
  <c r="H38" i="6" s="1"/>
  <c r="H43" i="6" s="1"/>
</calcChain>
</file>

<file path=xl/sharedStrings.xml><?xml version="1.0" encoding="utf-8"?>
<sst xmlns="http://schemas.openxmlformats.org/spreadsheetml/2006/main" count="1484" uniqueCount="230">
  <si>
    <t>Eligible</t>
  </si>
  <si>
    <t>Not Eligible</t>
  </si>
  <si>
    <t>---</t>
  </si>
  <si>
    <t>Reporting Entity:</t>
  </si>
  <si>
    <t>Facility Name:</t>
  </si>
  <si>
    <t>Reporting Date:</t>
  </si>
  <si>
    <t>Distributed Generation Bonus</t>
  </si>
  <si>
    <t>Quantity Required for Compliance</t>
  </si>
  <si>
    <t>Start Year</t>
  </si>
  <si>
    <t>WA State RCW 19.285 Requirement</t>
  </si>
  <si>
    <t>Extra Apprenticeship Credit</t>
  </si>
  <si>
    <t>Delivered Load to Retail Customers (MWh)</t>
  </si>
  <si>
    <t>Adjustment for Events Beyond Control</t>
  </si>
  <si>
    <t>Facility WREGIS ID:</t>
  </si>
  <si>
    <t>Extra Apprenticeship Credit Eligibility:</t>
  </si>
  <si>
    <t>Distributed Generation Bonus Eligibility:</t>
  </si>
  <si>
    <t>Sales and Transfers</t>
  </si>
  <si>
    <t>Net Surplus Adjustments</t>
  </si>
  <si>
    <t>RCW 19.285 Compliance Need</t>
  </si>
  <si>
    <t>Eligible Quantity Acquired</t>
  </si>
  <si>
    <t>Percent of Qualifying MWh Allocated to WA</t>
  </si>
  <si>
    <t>MWh Allocated to WA Compliance</t>
  </si>
  <si>
    <t>Eligible MWh Available for RCW 19.285 Compliance</t>
  </si>
  <si>
    <t>Bonus Incentives Transferred</t>
  </si>
  <si>
    <t>Total Quantity Available for RCW 19.285 Compliance</t>
  </si>
  <si>
    <t>Percent of MWh Qualifying Under RCW 19.285</t>
  </si>
  <si>
    <t>Contribution to RCW 19.285 Compliance</t>
  </si>
  <si>
    <t>RCW 19.285 Compliance Surplus / (Deficit)</t>
  </si>
  <si>
    <t>Extra Apprenticeship Labor Bonus</t>
  </si>
  <si>
    <t>Bonus Incentive Eligibility</t>
  </si>
  <si>
    <t>REC Sales / Transfers</t>
  </si>
  <si>
    <t>Qualifying MWh Allocated to WA</t>
  </si>
  <si>
    <t>Checklist Item</t>
  </si>
  <si>
    <t>Cell/Row Description</t>
  </si>
  <si>
    <t>Units</t>
  </si>
  <si>
    <t>Cell/Row</t>
  </si>
  <si>
    <t>Comments</t>
  </si>
  <si>
    <t>Text</t>
  </si>
  <si>
    <t>Year</t>
  </si>
  <si>
    <t>Reporting Entity</t>
  </si>
  <si>
    <t>Reporting Date</t>
  </si>
  <si>
    <t>Delivered Load to Retail Customers</t>
  </si>
  <si>
    <t>MWh</t>
  </si>
  <si>
    <t>Enter the name of the reporting entity</t>
  </si>
  <si>
    <t xml:space="preserve">Enter the MWh delivered to customers </t>
  </si>
  <si>
    <t>Enter "X" When Complete</t>
  </si>
  <si>
    <t>Enter the date the report is submitted</t>
  </si>
  <si>
    <t>Quantity of RECs Sold</t>
  </si>
  <si>
    <t>Facility Name</t>
  </si>
  <si>
    <t>B2:B31</t>
  </si>
  <si>
    <t>Enter the name of the qualifying facility or contract</t>
  </si>
  <si>
    <t>WREGIS ID</t>
  </si>
  <si>
    <t>C2:C31</t>
  </si>
  <si>
    <t>Enter the WREGIS ID for the qualifying facility</t>
  </si>
  <si>
    <t>Extra Apprenticeship Credit Eligibility</t>
  </si>
  <si>
    <t>Toggle</t>
  </si>
  <si>
    <t>D2:D31</t>
  </si>
  <si>
    <t>E2:E31</t>
  </si>
  <si>
    <t>For facilities that qualify for extra apprenticeship credits select "Eligible". Select "Not Eligible for non-qualifying facilities.</t>
  </si>
  <si>
    <t>For facilities that qualify for distributed generation select "Eligible". Select "Not Eligible for non-qualifying facilities.</t>
  </si>
  <si>
    <t>Total MWh Produced from Facility</t>
  </si>
  <si>
    <t>Number</t>
  </si>
  <si>
    <t>Percent of MWh Qualifying</t>
  </si>
  <si>
    <t>D39:F39</t>
  </si>
  <si>
    <t>Quantity of RECs from MWh Sold</t>
  </si>
  <si>
    <t>%</t>
  </si>
  <si>
    <t>Percent of Qualifying MWh Allocated to WA State Compliance</t>
  </si>
  <si>
    <t>D51:F51</t>
  </si>
  <si>
    <t>2011 Surplus Applied to 2012</t>
  </si>
  <si>
    <t>2012 Surplus Applied to 2011</t>
  </si>
  <si>
    <t>2012 Surplus Applied to 2013</t>
  </si>
  <si>
    <t>2013 Surplus Applied to 2012</t>
  </si>
  <si>
    <t>Enter the amount of RECs procured in 2011 used for compliance in 2012</t>
  </si>
  <si>
    <t>Enter the amount of RECs procured in 2012 used for compliance in 2011</t>
  </si>
  <si>
    <t>Enter the amount of RECs procured in 2012 used for compliance in 2013</t>
  </si>
  <si>
    <t>Enter the amount of RECs procured in 2013 used for compliance in 2012</t>
  </si>
  <si>
    <t>Distributed Generation Eligibility</t>
  </si>
  <si>
    <t>Enter the annual amount of transferred RECs procured from bonus incentives</t>
  </si>
  <si>
    <t>Enter the percent of qualifying MWh used for compliance with RCW 19.285. Used for facilities that are utilized for RPS compliance in two or more states.</t>
  </si>
  <si>
    <t>Enter the percent of MWh produced that are eligible for meeting RCW 19.285</t>
  </si>
  <si>
    <t>Enter the annual MWh output from the qualifying facility</t>
  </si>
  <si>
    <t>"Facility Detail" Worksheet</t>
  </si>
  <si>
    <t>General Instructions:</t>
  </si>
  <si>
    <t>White shading indicate formulated cells</t>
  </si>
  <si>
    <t>Yellow shading indicate cells where inputs are entered</t>
  </si>
  <si>
    <t>Green shading indicate cells with dropdown lists</t>
  </si>
  <si>
    <t>Blue shading indicates summary calculations</t>
  </si>
  <si>
    <t>Grey shading indicates cells where information is not required</t>
  </si>
  <si>
    <t>Enter the annual amount of RECs sold.  For Multi-Jurisdictional Utilities, enter in annual WA allocated amount of RECs sold.</t>
  </si>
  <si>
    <t>Bonus Incentives Not Realized</t>
  </si>
  <si>
    <t>Total Sold / Transferred / Unrealized</t>
  </si>
  <si>
    <t>D40:F40</t>
  </si>
  <si>
    <t>D41:F41</t>
  </si>
  <si>
    <t>D52:F52</t>
  </si>
  <si>
    <t>E58</t>
  </si>
  <si>
    <t>Enter the annual MWh not produced due to events beyond control as outlined in RCW 19.285.040 (2)(i)</t>
  </si>
  <si>
    <t>Enter the annual number of bonus incentives that were not realized</t>
  </si>
  <si>
    <t>B2</t>
  </si>
  <si>
    <t>B4</t>
  </si>
  <si>
    <t>B7:E7</t>
  </si>
  <si>
    <t>Adjustments</t>
  </si>
  <si>
    <t>D50:F50</t>
  </si>
  <si>
    <t>D56</t>
  </si>
  <si>
    <t>E57</t>
  </si>
  <si>
    <t>F59</t>
  </si>
  <si>
    <t>D62:F62</t>
  </si>
  <si>
    <t>Facility Types</t>
  </si>
  <si>
    <t>Wind</t>
  </si>
  <si>
    <t>Solar</t>
  </si>
  <si>
    <t>Geothermal</t>
  </si>
  <si>
    <t>Landfill Gas</t>
  </si>
  <si>
    <t>Wave, Ocean, Tidal</t>
  </si>
  <si>
    <t>Biomass</t>
  </si>
  <si>
    <t>Sewage Treatment Gas</t>
  </si>
  <si>
    <t>Water (Incremental Hydro)</t>
  </si>
  <si>
    <t>Facility Type</t>
  </si>
  <si>
    <t>F2:F31</t>
  </si>
  <si>
    <t>Select the generation type for the qualifying facility</t>
  </si>
  <si>
    <t>Compliance Contribution by Generation Type</t>
  </si>
  <si>
    <t>Non REC Eligible Generation</t>
  </si>
  <si>
    <t>Biodiesel Fuel</t>
  </si>
  <si>
    <t>Total Quantity from Non REC Eligible Generation</t>
  </si>
  <si>
    <t>Quantity from Non REC Eligible Generation</t>
  </si>
  <si>
    <t>"Compliance Summary" Worksheet</t>
  </si>
  <si>
    <t>Instructions in the section are for the cells B2:F31.  Each row represents a different facility.</t>
  </si>
  <si>
    <t>Instructions in this section identify the input locations for the 1st facility found in the "Facility Detail" worksheet.  Inputs for facilities 2 through 30, also found in the "Facility Detail" worksheet, are identical to facility 1.</t>
  </si>
  <si>
    <t>Online Date:</t>
  </si>
  <si>
    <t>In both the "Compliance Summary" and "Facility Detail" worksheets, utilities may need to protect commercially sensitive information by use of the CONFIDENTIAL designation.</t>
  </si>
  <si>
    <t>Goodnoe Hills</t>
  </si>
  <si>
    <t>W536</t>
  </si>
  <si>
    <t>Leaning Juniper</t>
  </si>
  <si>
    <t>W200</t>
  </si>
  <si>
    <t>Marengo I</t>
  </si>
  <si>
    <t>W185</t>
  </si>
  <si>
    <t>Marengo II</t>
  </si>
  <si>
    <t>W772</t>
  </si>
  <si>
    <t>Bennett Creek Windfarm - REC Only</t>
  </si>
  <si>
    <t>W542</t>
  </si>
  <si>
    <t>Hot Springs Windfarm - REC Only</t>
  </si>
  <si>
    <t>W543</t>
  </si>
  <si>
    <t>W1503</t>
  </si>
  <si>
    <t>Wanapum (Upgrade)</t>
  </si>
  <si>
    <t>NA</t>
  </si>
  <si>
    <t>Prospect 2 (Upgrade 1999)</t>
  </si>
  <si>
    <t>W140</t>
  </si>
  <si>
    <t>Lemolo 1 (Upgrade 2003)</t>
  </si>
  <si>
    <t>W157</t>
  </si>
  <si>
    <t>JC Boyle (Upgrade 2005)</t>
  </si>
  <si>
    <t>W180</t>
  </si>
  <si>
    <t>Lemolo 2 (Upgrade 2009)</t>
  </si>
  <si>
    <t>W158</t>
  </si>
  <si>
    <t>PACIFICORP Notes and Assumptions</t>
  </si>
  <si>
    <t xml:space="preserve">REC Sales: </t>
  </si>
  <si>
    <t>The company does not plan to sell any excess RECs and will hold any excess RECs and apply to a future year target.</t>
  </si>
  <si>
    <t>Revised 2/11/2011</t>
  </si>
  <si>
    <t xml:space="preserve"> </t>
  </si>
  <si>
    <t>Renewable Report</t>
  </si>
  <si>
    <t>WASHINGTON UTILITIES AND TRANSPORTATION COMMISSION</t>
  </si>
  <si>
    <t>RPS Reporting Tool</t>
  </si>
  <si>
    <t>CONFIDENTIAL</t>
  </si>
  <si>
    <r>
      <rPr>
        <b/>
        <sz val="11"/>
        <rFont val="Calibri"/>
        <family val="2"/>
      </rPr>
      <t>Retail Sales:</t>
    </r>
    <r>
      <rPr>
        <sz val="11"/>
        <rFont val="Calibri"/>
        <family val="2"/>
      </rPr>
      <t xml:space="preserve"> </t>
    </r>
  </si>
  <si>
    <t>Facility Generation:</t>
  </si>
  <si>
    <t>Pacific Power &amp; Light Company</t>
  </si>
  <si>
    <t>Top of the World</t>
  </si>
  <si>
    <t>W1749</t>
  </si>
  <si>
    <r>
      <rPr>
        <b/>
        <sz val="12"/>
        <color rgb="FFC00000"/>
        <rFont val="Calibri"/>
        <family val="2"/>
      </rPr>
      <t>*</t>
    </r>
    <r>
      <rPr>
        <sz val="11"/>
        <rFont val="Calibri"/>
        <family val="2"/>
      </rPr>
      <t>Tuana Springs - REC Only</t>
    </r>
  </si>
  <si>
    <t>Dunlap I</t>
  </si>
  <si>
    <t>W1687</t>
  </si>
  <si>
    <t>Campbell Hill/Three Buttes</t>
  </si>
  <si>
    <t>W1383</t>
  </si>
  <si>
    <t>Glenrock Wind I</t>
  </si>
  <si>
    <t>W964</t>
  </si>
  <si>
    <t>Rolling Hills</t>
  </si>
  <si>
    <t>W928</t>
  </si>
  <si>
    <t>1,063 RECs from Power County Wind Park South</t>
  </si>
  <si>
    <t>TBD</t>
  </si>
  <si>
    <t>SPI Aberdeen - REC Only</t>
  </si>
  <si>
    <t>Hidden Hollow - REC Only</t>
  </si>
  <si>
    <t>W1634</t>
  </si>
  <si>
    <t>W1640</t>
  </si>
  <si>
    <t>W2659</t>
  </si>
  <si>
    <t>Fighting Creek - REC Only</t>
  </si>
  <si>
    <t>*Note: Includes eligible substitute RECs from Power County Wind Park South (WREGIS ID W2533)</t>
  </si>
  <si>
    <t>Lower Snake – Phalen Gulch - REC Only</t>
  </si>
  <si>
    <t>Elkhorn Valley Wind - REC Only</t>
  </si>
  <si>
    <t>Nine Canyon Wind Project - REC Only</t>
  </si>
  <si>
    <t>W2670</t>
  </si>
  <si>
    <t>W684</t>
  </si>
  <si>
    <t>W186</t>
  </si>
  <si>
    <t>Seven Mile Hill I</t>
  </si>
  <si>
    <t>W975</t>
  </si>
  <si>
    <t>2017 Surplus Applied to 2016</t>
  </si>
  <si>
    <t>2017 Surplus Applied to 2018</t>
  </si>
  <si>
    <t>`</t>
  </si>
  <si>
    <t>2013 Surplus Applied to 2014</t>
  </si>
  <si>
    <t>2014 Surplus Applied to 2013</t>
  </si>
  <si>
    <t>2014 Surplus Applied to 2015</t>
  </si>
  <si>
    <t>2015 Surplus Applied to 2014</t>
  </si>
  <si>
    <t>2015 Surplus Applied to 2016</t>
  </si>
  <si>
    <t>2016 Surplus Applied to 2015</t>
  </si>
  <si>
    <t>2016 Surplus Applied to 2017</t>
  </si>
  <si>
    <t>W3186</t>
  </si>
  <si>
    <t>Condon Wind Power Project - Condon Phase II - REC Only</t>
  </si>
  <si>
    <t>W833</t>
  </si>
  <si>
    <t>Condon Wind Power Project - Condon Wind Power Project - REC Only</t>
  </si>
  <si>
    <t>W774</t>
  </si>
  <si>
    <t>Klondike I - Klondike Wind Power LLC - REC Only</t>
  </si>
  <si>
    <t>W238</t>
  </si>
  <si>
    <t>Meadow Creek Wind Farm - Five Pine Project - REC Only</t>
  </si>
  <si>
    <t>Meadow Creek Wind Farm - North Point Wind Farm - REC Only</t>
  </si>
  <si>
    <t>W3185</t>
  </si>
  <si>
    <t>Nine Canyon Wind Project - Nine Canyon Phase 3 - REC Only</t>
  </si>
  <si>
    <t>W697</t>
  </si>
  <si>
    <t>Stateline (WA) - FPL Energy Vansycle LLC - REC Only</t>
  </si>
  <si>
    <t>W248</t>
  </si>
  <si>
    <t>Adams Solar</t>
  </si>
  <si>
    <t>Bear Creek Solar</t>
  </si>
  <si>
    <t>Bly Solar</t>
  </si>
  <si>
    <t>Elbe Solar</t>
  </si>
  <si>
    <t>Enterprise Solar</t>
  </si>
  <si>
    <t>Pavant Solar</t>
  </si>
  <si>
    <t>W4619</t>
  </si>
  <si>
    <t>TBD (2017)</t>
  </si>
  <si>
    <t>W4938</t>
  </si>
  <si>
    <r>
      <rPr>
        <b/>
        <sz val="11"/>
        <color rgb="FFC00000"/>
        <rFont val="Calibri"/>
        <family val="2"/>
      </rPr>
      <t>Note 1</t>
    </r>
    <r>
      <rPr>
        <sz val="11"/>
        <color rgb="FFC00000"/>
        <rFont val="Calibri"/>
        <family val="2"/>
      </rPr>
      <t>: Any surplus or deficit in row 43 (RCW 19.285 Compliance Surplus / (Deficit)) is a result of rounding in the Facility Detail tab. The correct target amount of RECs have been retired for all compliance years.</t>
    </r>
  </si>
  <si>
    <t>Element Markets - REC Only</t>
  </si>
  <si>
    <t>2018 Surplus Applied to 2017</t>
  </si>
  <si>
    <t>2018 Surplus Applied to 2019</t>
  </si>
  <si>
    <t>2010 - 2017 actual retail sales. 2018 load forecast based on 2017 IRP Update.</t>
  </si>
  <si>
    <r>
      <rPr>
        <sz val="11"/>
        <color rgb="FFFF0000"/>
        <rFont val="Calibri"/>
        <family val="2"/>
      </rPr>
      <t>2011 -2017 is based on actual generation or REC purchase data.  2018 is the generation forecast as of February 2017.</t>
    </r>
    <r>
      <rPr>
        <sz val="11"/>
        <rFont val="Calibri"/>
        <family val="2"/>
      </rPr>
      <t xml:space="preserve">
The Company uses one of three patterning methods to model wind resources.  First, and if the appropriate data is available, historical monthly/seasonal patterns are developed using hourly data.  This is the Company’s preferred method.  Second, if historical information is unavailable, but hourly data from wind site studies is, on/off peak engineering estimate patterns are developed.  Third, if neither of the first two types of data is available, Energy Information Agency (EIA) wind patterning is used.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</si>
</sst>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3" formatCode="_(* #,##0.00_);_(* \(#,##0.00\);_(* &quot;-&quot;??_);_(@_)"/>
    <numFmt numFmtId="164" formatCode="_(* #,##0_);_(* \(#,##0\);_(* &quot;-&quot;??_);_(@_)"/>
    <numFmt numFmtId="165" formatCode="[$-409]mmmm\ d\,\ yyyy;@"/>
    <numFmt numFmtId="166" formatCode="0.000000"/>
    <numFmt numFmtId="167" formatCode="[$-409]d\-mmm\-yy;@"/>
    <numFmt numFmtId="168" formatCode="_(* #,##0.000_);_(* \(#,##0.000\);_(* &quot;-&quot;??_);_(@_)"/>
  </numFmts>
  <fonts count="33">
    <font>
      <sz val="10"/>
      <name val="Arial"/>
    </font>
    <font>
      <sz val="10"/>
      <name val="Arial"/>
      <family val="2"/>
    </font>
    <font>
      <sz val="11"/>
      <name val="Calibri"/>
      <family val="2"/>
    </font>
    <font>
      <b/>
      <sz val="11"/>
      <name val="Calibri"/>
      <family val="2"/>
    </font>
    <font>
      <b/>
      <sz val="14"/>
      <name val="Calibri"/>
      <family val="2"/>
    </font>
    <font>
      <sz val="8"/>
      <name val="Arial"/>
      <family val="2"/>
    </font>
    <font>
      <b/>
      <sz val="16"/>
      <name val="Calibri"/>
      <family val="2"/>
    </font>
    <font>
      <b/>
      <sz val="12"/>
      <name val="Calibri"/>
      <family val="2"/>
    </font>
    <font>
      <sz val="10"/>
      <name val="Calibri"/>
      <family val="2"/>
    </font>
    <font>
      <sz val="10"/>
      <name val="Calibri"/>
      <family val="2"/>
      <scheme val="minor"/>
    </font>
    <font>
      <sz val="11"/>
      <name val="Calibri"/>
      <family val="2"/>
      <scheme val="minor"/>
    </font>
    <font>
      <b/>
      <sz val="11"/>
      <name val="Calibri"/>
      <family val="2"/>
      <scheme val="minor"/>
    </font>
    <font>
      <b/>
      <sz val="16"/>
      <name val="Calibri"/>
      <family val="2"/>
      <scheme val="minor"/>
    </font>
    <font>
      <b/>
      <sz val="12"/>
      <name val="Calibri"/>
      <family val="2"/>
      <scheme val="minor"/>
    </font>
    <font>
      <sz val="11"/>
      <color rgb="FFFF0000"/>
      <name val="Calibri"/>
      <family val="2"/>
    </font>
    <font>
      <sz val="10"/>
      <color theme="0"/>
      <name val="Arial"/>
      <family val="2"/>
    </font>
    <font>
      <b/>
      <sz val="12"/>
      <name val="Helvetica"/>
      <family val="2"/>
    </font>
    <font>
      <sz val="13"/>
      <name val="Palatino"/>
      <family val="1"/>
    </font>
    <font>
      <b/>
      <sz val="16"/>
      <name val="Arial"/>
      <family val="2"/>
    </font>
    <font>
      <b/>
      <sz val="10"/>
      <name val="Arial"/>
      <family val="2"/>
    </font>
    <font>
      <b/>
      <sz val="10"/>
      <color indexed="10"/>
      <name val="Arial"/>
      <family val="2"/>
    </font>
    <font>
      <b/>
      <sz val="13"/>
      <name val="Helvetica"/>
      <family val="2"/>
    </font>
    <font>
      <b/>
      <sz val="16"/>
      <name val="Helvetica"/>
      <family val="2"/>
    </font>
    <font>
      <b/>
      <sz val="13"/>
      <name val="Helvatica"/>
    </font>
    <font>
      <b/>
      <sz val="12"/>
      <color rgb="FFFF0000"/>
      <name val="Calibri"/>
      <family val="2"/>
    </font>
    <font>
      <sz val="11"/>
      <color rgb="FFC00000"/>
      <name val="Calibri"/>
      <family val="2"/>
    </font>
    <font>
      <b/>
      <sz val="10"/>
      <color rgb="FFC00000"/>
      <name val="Calibri"/>
      <family val="2"/>
    </font>
    <font>
      <b/>
      <sz val="12"/>
      <color rgb="FFC00000"/>
      <name val="Calibri"/>
      <family val="2"/>
    </font>
    <font>
      <b/>
      <sz val="11"/>
      <color rgb="FFFF0000"/>
      <name val="Calibri"/>
      <family val="2"/>
    </font>
    <font>
      <b/>
      <sz val="16"/>
      <color rgb="FFFF0000"/>
      <name val="Calibri"/>
      <family val="2"/>
    </font>
    <font>
      <b/>
      <sz val="11"/>
      <color rgb="FFC00000"/>
      <name val="Calibri"/>
      <family val="2"/>
    </font>
    <font>
      <sz val="11"/>
      <color theme="5"/>
      <name val="Calibri"/>
      <family val="2"/>
    </font>
    <font>
      <sz val="11"/>
      <color rgb="FF00B050"/>
      <name val="Calibri"/>
      <family val="2"/>
    </font>
  </fonts>
  <fills count="13">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65"/>
        <bgColor indexed="64"/>
      </patternFill>
    </fill>
    <fill>
      <patternFill patternType="solid">
        <fgColor indexed="44"/>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FF99"/>
        <bgColor indexed="64"/>
      </patternFill>
    </fill>
    <fill>
      <patternFill patternType="solid">
        <fgColor theme="1"/>
        <bgColor indexed="64"/>
      </patternFill>
    </fill>
  </fills>
  <borders count="61">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mediumDashDotDot">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right/>
      <top/>
      <bottom style="thin">
        <color indexed="64"/>
      </bottom>
      <diagonal/>
    </border>
    <border>
      <left/>
      <right style="hair">
        <color indexed="64"/>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style="hair">
        <color indexed="64"/>
      </left>
      <right/>
      <top style="thin">
        <color indexed="64"/>
      </top>
      <bottom style="thin">
        <color indexed="64"/>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thin">
        <color indexed="64"/>
      </top>
      <bottom style="thin">
        <color indexed="64"/>
      </bottom>
      <diagonal/>
    </border>
    <border>
      <left/>
      <right/>
      <top/>
      <bottom style="mediumDashDotDot">
        <color indexed="64"/>
      </bottom>
      <diagonal/>
    </border>
    <border>
      <left/>
      <right/>
      <top/>
      <bottom style="mediumDashDot">
        <color indexed="64"/>
      </bottom>
      <diagonal/>
    </border>
    <border>
      <left style="thin">
        <color indexed="64"/>
      </left>
      <right style="hair">
        <color indexed="64"/>
      </right>
      <top/>
      <bottom/>
      <diagonal/>
    </border>
    <border>
      <left/>
      <right/>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166" fontId="1" fillId="0" borderId="0">
      <alignment horizontal="left" wrapText="1"/>
    </xf>
    <xf numFmtId="9" fontId="1" fillId="0" borderId="0" applyFont="0" applyFill="0" applyBorder="0" applyAlignment="0" applyProtection="0"/>
  </cellStyleXfs>
  <cellXfs count="422">
    <xf numFmtId="0" fontId="0" fillId="0" borderId="0" xfId="0"/>
    <xf numFmtId="0" fontId="2" fillId="0" borderId="0" xfId="0" applyFont="1"/>
    <xf numFmtId="0" fontId="2" fillId="0" borderId="0" xfId="0" applyFont="1" applyAlignment="1">
      <alignment horizontal="center"/>
    </xf>
    <xf numFmtId="164" fontId="2" fillId="2" borderId="1" xfId="1" applyNumberFormat="1" applyFont="1" applyFill="1" applyBorder="1"/>
    <xf numFmtId="164" fontId="2" fillId="2" borderId="2" xfId="1" applyNumberFormat="1" applyFont="1" applyFill="1" applyBorder="1"/>
    <xf numFmtId="164" fontId="2" fillId="2" borderId="3" xfId="1" applyNumberFormat="1" applyFont="1" applyFill="1" applyBorder="1"/>
    <xf numFmtId="0" fontId="3" fillId="0" borderId="0" xfId="0" applyFont="1"/>
    <xf numFmtId="164" fontId="3" fillId="0" borderId="0" xfId="1" applyNumberFormat="1" applyFont="1"/>
    <xf numFmtId="0" fontId="2" fillId="0" borderId="4" xfId="0" applyFont="1" applyBorder="1"/>
    <xf numFmtId="0" fontId="4" fillId="0" borderId="0" xfId="0" applyFont="1"/>
    <xf numFmtId="164" fontId="2" fillId="2" borderId="5" xfId="1" applyNumberFormat="1" applyFont="1" applyFill="1" applyBorder="1"/>
    <xf numFmtId="164" fontId="2" fillId="0" borderId="2" xfId="1" applyNumberFormat="1" applyFont="1" applyBorder="1"/>
    <xf numFmtId="164" fontId="2" fillId="0" borderId="3" xfId="1" applyNumberFormat="1" applyFont="1" applyBorder="1"/>
    <xf numFmtId="43" fontId="2" fillId="0" borderId="0" xfId="0" applyNumberFormat="1" applyFont="1"/>
    <xf numFmtId="0" fontId="6" fillId="0" borderId="0" xfId="0" applyFont="1"/>
    <xf numFmtId="164" fontId="2" fillId="0" borderId="0" xfId="1" applyNumberFormat="1" applyFont="1" applyFill="1" applyBorder="1" applyAlignment="1">
      <alignment horizontal="center"/>
    </xf>
    <xf numFmtId="0" fontId="2" fillId="2" borderId="6" xfId="0" applyFont="1" applyFill="1" applyBorder="1"/>
    <xf numFmtId="0" fontId="2" fillId="2" borderId="7" xfId="0" applyFont="1" applyFill="1" applyBorder="1" applyAlignment="1">
      <alignment horizontal="center"/>
    </xf>
    <xf numFmtId="0" fontId="2" fillId="2" borderId="8" xfId="0" applyFont="1" applyFill="1" applyBorder="1"/>
    <xf numFmtId="0" fontId="2" fillId="2" borderId="9" xfId="0" quotePrefix="1" applyFont="1" applyFill="1" applyBorder="1"/>
    <xf numFmtId="164" fontId="3" fillId="0" borderId="0" xfId="1" applyNumberFormat="1" applyFont="1" applyFill="1" applyBorder="1" applyAlignment="1">
      <alignment horizontal="center" vertical="center"/>
    </xf>
    <xf numFmtId="164" fontId="7" fillId="0" borderId="0" xfId="1" applyNumberFormat="1" applyFont="1" applyFill="1" applyBorder="1" applyAlignment="1">
      <alignment horizontal="center"/>
    </xf>
    <xf numFmtId="0" fontId="3" fillId="0" borderId="0" xfId="0" applyFont="1" applyFill="1" applyBorder="1" applyAlignment="1">
      <alignment horizontal="center"/>
    </xf>
    <xf numFmtId="9" fontId="2" fillId="0" borderId="0" xfId="3" applyFont="1" applyFill="1" applyBorder="1" applyAlignment="1">
      <alignment horizontal="center"/>
    </xf>
    <xf numFmtId="0" fontId="2" fillId="0" borderId="0" xfId="0" applyFont="1" applyFill="1" applyBorder="1"/>
    <xf numFmtId="164" fontId="2" fillId="0" borderId="0" xfId="1" applyNumberFormat="1" applyFont="1" applyFill="1" applyBorder="1"/>
    <xf numFmtId="0" fontId="2" fillId="0" borderId="0" xfId="0" applyFont="1" applyFill="1" applyBorder="1" applyAlignment="1">
      <alignment horizontal="center"/>
    </xf>
    <xf numFmtId="0" fontId="2" fillId="0" borderId="0" xfId="0" applyFont="1" applyAlignment="1">
      <alignment horizontal="center" vertical="center" wrapText="1"/>
    </xf>
    <xf numFmtId="0" fontId="2" fillId="3" borderId="2" xfId="0" applyFont="1" applyFill="1" applyBorder="1" applyAlignment="1">
      <alignment horizontal="center"/>
    </xf>
    <xf numFmtId="0" fontId="2" fillId="3" borderId="5" xfId="0" applyFont="1" applyFill="1" applyBorder="1" applyAlignment="1">
      <alignment horizontal="center"/>
    </xf>
    <xf numFmtId="0" fontId="2" fillId="3" borderId="12" xfId="0" applyFont="1" applyFill="1" applyBorder="1" applyAlignment="1">
      <alignment horizontal="center"/>
    </xf>
    <xf numFmtId="164" fontId="3" fillId="0" borderId="0" xfId="1" applyNumberFormat="1" applyFont="1" applyFill="1" applyBorder="1"/>
    <xf numFmtId="0" fontId="3" fillId="0" borderId="0" xfId="0" applyFont="1" applyFill="1" applyBorder="1" applyAlignment="1">
      <alignment horizontal="center" vertical="center" wrapText="1"/>
    </xf>
    <xf numFmtId="0" fontId="2" fillId="0" borderId="0" xfId="0" applyFont="1" applyBorder="1"/>
    <xf numFmtId="164" fontId="2" fillId="0" borderId="0" xfId="1" applyNumberFormat="1" applyFont="1" applyBorder="1"/>
    <xf numFmtId="0" fontId="7" fillId="0" borderId="0" xfId="0" applyFont="1" applyAlignment="1">
      <alignment horizontal="center" vertical="center" wrapText="1"/>
    </xf>
    <xf numFmtId="0" fontId="3" fillId="0" borderId="0" xfId="0" applyFont="1" applyAlignment="1">
      <alignment horizontal="left"/>
    </xf>
    <xf numFmtId="0" fontId="2" fillId="2" borderId="2" xfId="0" applyFont="1" applyFill="1" applyBorder="1" applyAlignment="1">
      <alignment horizontal="center"/>
    </xf>
    <xf numFmtId="0" fontId="2" fillId="2" borderId="5" xfId="0" applyFont="1" applyFill="1" applyBorder="1" applyAlignment="1">
      <alignment horizontal="center"/>
    </xf>
    <xf numFmtId="0" fontId="2" fillId="2" borderId="12" xfId="0" applyFont="1" applyFill="1" applyBorder="1" applyAlignment="1">
      <alignment horizontal="center"/>
    </xf>
    <xf numFmtId="164" fontId="2" fillId="4" borderId="0" xfId="1" applyNumberFormat="1" applyFont="1" applyFill="1" applyBorder="1"/>
    <xf numFmtId="164" fontId="3" fillId="4" borderId="13" xfId="1" applyNumberFormat="1" applyFont="1" applyFill="1" applyBorder="1"/>
    <xf numFmtId="164" fontId="2" fillId="5" borderId="0" xfId="1" applyNumberFormat="1" applyFont="1" applyFill="1" applyBorder="1"/>
    <xf numFmtId="164" fontId="3" fillId="5" borderId="13" xfId="1" applyNumberFormat="1" applyFont="1" applyFill="1" applyBorder="1"/>
    <xf numFmtId="164" fontId="3" fillId="0" borderId="13" xfId="1" applyNumberFormat="1" applyFont="1" applyBorder="1"/>
    <xf numFmtId="0" fontId="4" fillId="0" borderId="0" xfId="0" applyFont="1" applyBorder="1"/>
    <xf numFmtId="0" fontId="6" fillId="0" borderId="7" xfId="0" applyFont="1" applyFill="1" applyBorder="1" applyAlignment="1">
      <alignment horizontal="centerContinuous"/>
    </xf>
    <xf numFmtId="0" fontId="6" fillId="0" borderId="14" xfId="0" applyFont="1" applyFill="1" applyBorder="1" applyAlignment="1">
      <alignment horizontal="centerContinuous"/>
    </xf>
    <xf numFmtId="0" fontId="4" fillId="0" borderId="0" xfId="0" applyFont="1" applyFill="1" applyBorder="1"/>
    <xf numFmtId="164" fontId="7" fillId="6" borderId="15" xfId="1" applyNumberFormat="1" applyFont="1" applyFill="1" applyBorder="1"/>
    <xf numFmtId="164" fontId="7" fillId="6" borderId="16" xfId="1" applyNumberFormat="1" applyFont="1" applyFill="1" applyBorder="1"/>
    <xf numFmtId="164" fontId="7" fillId="6" borderId="17" xfId="1" applyNumberFormat="1" applyFont="1" applyFill="1" applyBorder="1"/>
    <xf numFmtId="164" fontId="3" fillId="5" borderId="0" xfId="1" applyNumberFormat="1" applyFont="1" applyFill="1" applyBorder="1"/>
    <xf numFmtId="164" fontId="2" fillId="0" borderId="19" xfId="1" applyNumberFormat="1" applyFont="1" applyFill="1" applyBorder="1"/>
    <xf numFmtId="9" fontId="2" fillId="2" borderId="11" xfId="3" applyFont="1" applyFill="1" applyBorder="1" applyAlignment="1">
      <alignment horizontal="right"/>
    </xf>
    <xf numFmtId="9" fontId="2" fillId="2" borderId="12" xfId="3" applyFont="1" applyFill="1" applyBorder="1"/>
    <xf numFmtId="9" fontId="2" fillId="2" borderId="18" xfId="3" applyFont="1" applyFill="1" applyBorder="1"/>
    <xf numFmtId="164" fontId="2" fillId="0" borderId="1" xfId="1" applyNumberFormat="1" applyFont="1" applyFill="1" applyBorder="1"/>
    <xf numFmtId="164" fontId="2" fillId="0" borderId="11" xfId="1" applyNumberFormat="1" applyFont="1" applyFill="1" applyBorder="1"/>
    <xf numFmtId="164" fontId="2" fillId="0" borderId="12" xfId="1" applyNumberFormat="1" applyFont="1" applyBorder="1"/>
    <xf numFmtId="164" fontId="2" fillId="0" borderId="18" xfId="1" applyNumberFormat="1" applyFont="1" applyBorder="1"/>
    <xf numFmtId="164" fontId="2" fillId="2" borderId="20" xfId="1" applyNumberFormat="1" applyFont="1" applyFill="1" applyBorder="1"/>
    <xf numFmtId="9" fontId="2" fillId="2" borderId="19" xfId="3" applyFont="1" applyFill="1" applyBorder="1" applyAlignment="1">
      <alignment horizontal="right"/>
    </xf>
    <xf numFmtId="9" fontId="2" fillId="2" borderId="20" xfId="3" applyFont="1" applyFill="1" applyBorder="1"/>
    <xf numFmtId="9" fontId="2" fillId="2" borderId="21" xfId="3" applyFont="1" applyFill="1" applyBorder="1"/>
    <xf numFmtId="164" fontId="2" fillId="2" borderId="11" xfId="1" applyNumberFormat="1" applyFont="1" applyFill="1" applyBorder="1" applyAlignment="1"/>
    <xf numFmtId="164" fontId="2" fillId="2" borderId="12" xfId="1" applyNumberFormat="1" applyFont="1" applyFill="1" applyBorder="1" applyAlignment="1"/>
    <xf numFmtId="164" fontId="2" fillId="2" borderId="18" xfId="1" applyNumberFormat="1" applyFont="1" applyFill="1" applyBorder="1" applyAlignment="1"/>
    <xf numFmtId="164" fontId="2" fillId="0" borderId="2" xfId="1" applyNumberFormat="1" applyFont="1" applyFill="1" applyBorder="1"/>
    <xf numFmtId="164" fontId="2" fillId="7" borderId="3" xfId="1" applyNumberFormat="1" applyFont="1" applyFill="1" applyBorder="1"/>
    <xf numFmtId="164" fontId="2" fillId="7" borderId="10" xfId="1" applyNumberFormat="1" applyFont="1" applyFill="1" applyBorder="1"/>
    <xf numFmtId="164" fontId="2" fillId="7" borderId="11" xfId="1" applyNumberFormat="1" applyFont="1" applyFill="1" applyBorder="1"/>
    <xf numFmtId="164" fontId="2" fillId="7" borderId="1" xfId="1" applyNumberFormat="1" applyFont="1" applyFill="1" applyBorder="1"/>
    <xf numFmtId="164" fontId="2" fillId="7" borderId="1" xfId="1" applyNumberFormat="1" applyFont="1" applyFill="1" applyBorder="1" applyAlignment="1">
      <alignment horizontal="center"/>
    </xf>
    <xf numFmtId="164" fontId="2" fillId="7" borderId="11" xfId="1" applyNumberFormat="1" applyFont="1" applyFill="1" applyBorder="1" applyAlignment="1">
      <alignment horizontal="left" vertical="center" wrapText="1" shrinkToFit="1"/>
    </xf>
    <xf numFmtId="164" fontId="7" fillId="7" borderId="15" xfId="1" applyNumberFormat="1" applyFont="1" applyFill="1" applyBorder="1" applyAlignment="1">
      <alignment horizontal="center" vertical="center"/>
    </xf>
    <xf numFmtId="0" fontId="7" fillId="0" borderId="0" xfId="0" applyFont="1" applyAlignment="1">
      <alignment horizontal="left" vertical="center" wrapText="1"/>
    </xf>
    <xf numFmtId="164" fontId="2" fillId="0" borderId="2" xfId="1" applyNumberFormat="1" applyFont="1" applyFill="1" applyBorder="1" applyAlignment="1">
      <alignment horizontal="center"/>
    </xf>
    <xf numFmtId="164" fontId="2" fillId="0" borderId="12" xfId="1" applyNumberFormat="1" applyFont="1" applyFill="1" applyBorder="1" applyAlignment="1">
      <alignment horizontal="center" vertical="center"/>
    </xf>
    <xf numFmtId="164" fontId="2" fillId="0" borderId="5" xfId="1" applyNumberFormat="1" applyFont="1" applyFill="1" applyBorder="1"/>
    <xf numFmtId="0" fontId="2" fillId="0" borderId="23" xfId="0" applyFont="1" applyBorder="1"/>
    <xf numFmtId="164" fontId="2" fillId="7" borderId="24" xfId="1" applyNumberFormat="1" applyFont="1" applyFill="1" applyBorder="1"/>
    <xf numFmtId="164" fontId="2" fillId="0" borderId="25" xfId="1" applyNumberFormat="1" applyFont="1" applyBorder="1"/>
    <xf numFmtId="164" fontId="2" fillId="7" borderId="5" xfId="1" applyNumberFormat="1" applyFont="1" applyFill="1" applyBorder="1"/>
    <xf numFmtId="0" fontId="3" fillId="0" borderId="0" xfId="0" applyFont="1" applyAlignment="1">
      <alignment horizontal="left" indent="2"/>
    </xf>
    <xf numFmtId="0" fontId="3" fillId="0" borderId="0" xfId="0" applyFont="1" applyFill="1" applyBorder="1" applyAlignment="1">
      <alignment horizontal="left"/>
    </xf>
    <xf numFmtId="0" fontId="3" fillId="0" borderId="0" xfId="0" applyFont="1" applyBorder="1"/>
    <xf numFmtId="0" fontId="3" fillId="0" borderId="0"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left" vertical="center"/>
    </xf>
    <xf numFmtId="0" fontId="2" fillId="0" borderId="23" xfId="0" applyFont="1" applyBorder="1" applyAlignment="1">
      <alignment horizontal="left" indent="2"/>
    </xf>
    <xf numFmtId="0" fontId="2" fillId="0" borderId="23" xfId="0" applyFont="1" applyBorder="1" applyAlignment="1">
      <alignment horizontal="left" vertical="center" wrapText="1" indent="2" shrinkToFit="1"/>
    </xf>
    <xf numFmtId="0" fontId="8" fillId="0" borderId="0" xfId="0" applyFont="1"/>
    <xf numFmtId="166" fontId="7" fillId="6" borderId="7" xfId="2" applyFont="1" applyFill="1" applyBorder="1" applyAlignment="1">
      <alignment horizontal="center" vertical="center" wrapText="1"/>
    </xf>
    <xf numFmtId="166" fontId="2" fillId="0" borderId="7" xfId="2" applyFont="1" applyBorder="1" applyAlignment="1">
      <alignment vertical="center" wrapText="1"/>
    </xf>
    <xf numFmtId="1" fontId="2" fillId="0" borderId="7" xfId="2" applyNumberFormat="1" applyFont="1" applyBorder="1" applyAlignment="1">
      <alignment horizontal="center" vertical="center" wrapText="1"/>
    </xf>
    <xf numFmtId="166" fontId="2" fillId="0" borderId="7" xfId="2" applyFont="1" applyBorder="1" applyAlignment="1">
      <alignment horizontal="center" vertical="center" wrapText="1"/>
    </xf>
    <xf numFmtId="166" fontId="2" fillId="0" borderId="7" xfId="2" applyFont="1" applyFill="1" applyBorder="1" applyAlignment="1">
      <alignment horizontal="center" vertical="center" wrapText="1"/>
    </xf>
    <xf numFmtId="164" fontId="2" fillId="2" borderId="1" xfId="1" applyNumberFormat="1" applyFont="1" applyFill="1" applyBorder="1" applyAlignment="1"/>
    <xf numFmtId="164" fontId="2" fillId="2" borderId="2" xfId="1" applyNumberFormat="1" applyFont="1" applyFill="1" applyBorder="1" applyAlignment="1"/>
    <xf numFmtId="164" fontId="2" fillId="2" borderId="3" xfId="1" applyNumberFormat="1" applyFont="1" applyFill="1" applyBorder="1" applyAlignment="1"/>
    <xf numFmtId="164" fontId="2" fillId="2" borderId="10" xfId="1" applyNumberFormat="1" applyFont="1" applyFill="1" applyBorder="1" applyAlignment="1"/>
    <xf numFmtId="164" fontId="2" fillId="2" borderId="5" xfId="1" applyNumberFormat="1" applyFont="1" applyFill="1" applyBorder="1" applyAlignment="1"/>
    <xf numFmtId="164" fontId="2" fillId="2" borderId="22" xfId="1" applyNumberFormat="1" applyFont="1" applyFill="1" applyBorder="1" applyAlignment="1"/>
    <xf numFmtId="0" fontId="2" fillId="0" borderId="0" xfId="0" applyFont="1" applyFill="1" applyBorder="1" applyAlignment="1">
      <alignment horizontal="left" vertical="center"/>
    </xf>
    <xf numFmtId="0" fontId="2" fillId="0" borderId="0" xfId="0" applyFont="1" applyBorder="1" applyAlignment="1">
      <alignment horizontal="left" vertical="center" wrapText="1" indent="2" shrinkToFit="1"/>
    </xf>
    <xf numFmtId="164" fontId="2" fillId="7" borderId="19" xfId="1" applyNumberFormat="1" applyFont="1" applyFill="1" applyBorder="1" applyAlignment="1">
      <alignment horizontal="left" vertical="center" wrapText="1" shrinkToFit="1"/>
    </xf>
    <xf numFmtId="164" fontId="2" fillId="0" borderId="20" xfId="1" applyNumberFormat="1" applyFont="1" applyFill="1" applyBorder="1" applyAlignment="1">
      <alignment horizontal="center" vertical="center"/>
    </xf>
    <xf numFmtId="166" fontId="2" fillId="0" borderId="7" xfId="2" applyFont="1" applyFill="1" applyBorder="1" applyAlignment="1">
      <alignment vertical="center" wrapText="1"/>
    </xf>
    <xf numFmtId="9" fontId="2" fillId="7" borderId="11" xfId="3" applyFont="1" applyFill="1" applyBorder="1" applyAlignment="1">
      <alignment horizontal="center"/>
    </xf>
    <xf numFmtId="9" fontId="2" fillId="0" borderId="12" xfId="3" applyFont="1" applyBorder="1" applyAlignment="1">
      <alignment horizontal="center"/>
    </xf>
    <xf numFmtId="164" fontId="2" fillId="2" borderId="15" xfId="1" applyNumberFormat="1" applyFont="1" applyFill="1" applyBorder="1"/>
    <xf numFmtId="164" fontId="2" fillId="2" borderId="16" xfId="1" applyNumberFormat="1" applyFont="1" applyFill="1" applyBorder="1"/>
    <xf numFmtId="164" fontId="2" fillId="2" borderId="17" xfId="1" applyNumberFormat="1" applyFont="1" applyFill="1" applyBorder="1"/>
    <xf numFmtId="164" fontId="2" fillId="7" borderId="15" xfId="1" applyNumberFormat="1" applyFont="1" applyFill="1" applyBorder="1"/>
    <xf numFmtId="164" fontId="2" fillId="0" borderId="16" xfId="1" applyNumberFormat="1" applyFont="1" applyBorder="1"/>
    <xf numFmtId="0" fontId="2" fillId="0" borderId="0" xfId="0" applyFont="1" applyBorder="1" applyAlignment="1">
      <alignment horizontal="left" indent="2"/>
    </xf>
    <xf numFmtId="0" fontId="3" fillId="0" borderId="0" xfId="0" applyFont="1" applyFill="1" applyBorder="1" applyAlignment="1">
      <alignment horizontal="left" indent="2"/>
    </xf>
    <xf numFmtId="0" fontId="2" fillId="2" borderId="9" xfId="0" applyFont="1" applyFill="1" applyBorder="1"/>
    <xf numFmtId="0" fontId="9" fillId="0" borderId="0" xfId="0" applyFont="1"/>
    <xf numFmtId="0" fontId="10" fillId="0" borderId="0" xfId="0" applyFont="1"/>
    <xf numFmtId="0" fontId="10" fillId="0" borderId="0" xfId="0" applyFont="1" applyAlignment="1">
      <alignment horizontal="center"/>
    </xf>
    <xf numFmtId="0" fontId="10" fillId="0" borderId="6" xfId="0" applyFont="1" applyBorder="1"/>
    <xf numFmtId="164" fontId="10" fillId="0" borderId="1" xfId="1" applyNumberFormat="1" applyFont="1" applyBorder="1"/>
    <xf numFmtId="164" fontId="10" fillId="0" borderId="2" xfId="1" applyNumberFormat="1" applyFont="1" applyBorder="1"/>
    <xf numFmtId="0" fontId="10" fillId="0" borderId="8" xfId="0" applyFont="1" applyBorder="1"/>
    <xf numFmtId="164" fontId="10" fillId="0" borderId="10" xfId="1" applyNumberFormat="1" applyFont="1" applyBorder="1"/>
    <xf numFmtId="164" fontId="10" fillId="0" borderId="5" xfId="1" applyNumberFormat="1" applyFont="1" applyBorder="1"/>
    <xf numFmtId="164" fontId="10" fillId="0" borderId="11" xfId="1" applyNumberFormat="1" applyFont="1" applyBorder="1"/>
    <xf numFmtId="164" fontId="10" fillId="0" borderId="12" xfId="1" applyNumberFormat="1" applyFont="1" applyBorder="1"/>
    <xf numFmtId="0" fontId="11" fillId="0" borderId="0" xfId="0" applyFont="1" applyAlignment="1">
      <alignment horizontal="center"/>
    </xf>
    <xf numFmtId="0" fontId="11" fillId="0" borderId="0" xfId="0" applyFont="1" applyAlignment="1">
      <alignment horizontal="left"/>
    </xf>
    <xf numFmtId="0" fontId="12" fillId="0" borderId="0" xfId="0" applyFont="1"/>
    <xf numFmtId="0" fontId="13" fillId="0" borderId="0" xfId="0" applyFont="1"/>
    <xf numFmtId="164" fontId="13" fillId="0" borderId="0" xfId="1" applyNumberFormat="1" applyFont="1"/>
    <xf numFmtId="166" fontId="2" fillId="0" borderId="13" xfId="2" applyFont="1" applyBorder="1" applyAlignment="1">
      <alignment horizontal="center" vertical="center" wrapText="1"/>
    </xf>
    <xf numFmtId="1" fontId="2" fillId="0" borderId="13" xfId="2" applyNumberFormat="1" applyFont="1" applyBorder="1" applyAlignment="1">
      <alignment horizontal="center" vertical="center" wrapText="1"/>
    </xf>
    <xf numFmtId="166" fontId="2" fillId="0" borderId="13" xfId="2" applyFont="1" applyBorder="1" applyAlignment="1">
      <alignment vertical="center" wrapText="1"/>
    </xf>
    <xf numFmtId="0" fontId="2" fillId="3" borderId="26" xfId="0" applyFont="1" applyFill="1" applyBorder="1" applyAlignment="1">
      <alignment horizontal="center"/>
    </xf>
    <xf numFmtId="0" fontId="2" fillId="3" borderId="27" xfId="0" applyFont="1" applyFill="1" applyBorder="1" applyAlignment="1">
      <alignment horizontal="center"/>
    </xf>
    <xf numFmtId="0" fontId="2" fillId="3" borderId="28" xfId="0" applyFont="1" applyFill="1" applyBorder="1" applyAlignment="1">
      <alignment horizontal="center"/>
    </xf>
    <xf numFmtId="167" fontId="2" fillId="2" borderId="3" xfId="0" applyNumberFormat="1" applyFont="1" applyFill="1" applyBorder="1" applyAlignment="1">
      <alignment horizontal="center"/>
    </xf>
    <xf numFmtId="167" fontId="2" fillId="2" borderId="22" xfId="0" applyNumberFormat="1" applyFont="1" applyFill="1" applyBorder="1" applyAlignment="1">
      <alignment horizontal="center"/>
    </xf>
    <xf numFmtId="167" fontId="2" fillId="2" borderId="18" xfId="0" applyNumberFormat="1" applyFont="1" applyFill="1" applyBorder="1" applyAlignment="1">
      <alignment horizontal="center"/>
    </xf>
    <xf numFmtId="0" fontId="0" fillId="4" borderId="0" xfId="0" applyFill="1"/>
    <xf numFmtId="0" fontId="15" fillId="4" borderId="0" xfId="0" applyFont="1" applyFill="1"/>
    <xf numFmtId="0" fontId="0" fillId="7" borderId="0" xfId="0" applyFill="1"/>
    <xf numFmtId="0" fontId="0" fillId="4" borderId="0" xfId="0" applyFill="1" applyProtection="1">
      <protection locked="0"/>
    </xf>
    <xf numFmtId="0" fontId="19" fillId="4" borderId="0" xfId="0" applyFont="1" applyFill="1" applyProtection="1">
      <protection locked="0"/>
    </xf>
    <xf numFmtId="0" fontId="21" fillId="4" borderId="0" xfId="0" applyFont="1" applyFill="1" applyAlignment="1" applyProtection="1">
      <alignment vertical="center" wrapText="1"/>
      <protection locked="0"/>
    </xf>
    <xf numFmtId="0" fontId="0" fillId="4" borderId="0" xfId="0" applyFill="1" applyBorder="1"/>
    <xf numFmtId="0" fontId="17" fillId="4" borderId="0" xfId="0" applyFont="1" applyFill="1" applyBorder="1" applyAlignment="1">
      <alignment vertical="justify" wrapText="1"/>
    </xf>
    <xf numFmtId="164" fontId="2" fillId="7" borderId="2" xfId="1" applyNumberFormat="1" applyFont="1" applyFill="1" applyBorder="1"/>
    <xf numFmtId="164" fontId="2" fillId="7" borderId="20" xfId="1" applyNumberFormat="1" applyFont="1" applyFill="1" applyBorder="1"/>
    <xf numFmtId="164" fontId="2" fillId="9" borderId="12" xfId="1" applyNumberFormat="1" applyFont="1" applyFill="1" applyBorder="1"/>
    <xf numFmtId="168" fontId="3" fillId="5" borderId="0" xfId="1" applyNumberFormat="1" applyFont="1" applyFill="1" applyBorder="1"/>
    <xf numFmtId="168" fontId="2" fillId="0" borderId="0" xfId="0" applyNumberFormat="1" applyFont="1"/>
    <xf numFmtId="168" fontId="2" fillId="0" borderId="0" xfId="0" applyNumberFormat="1" applyFont="1" applyAlignment="1">
      <alignment horizontal="center"/>
    </xf>
    <xf numFmtId="168" fontId="3" fillId="0" borderId="0" xfId="1" applyNumberFormat="1" applyFont="1" applyFill="1" applyBorder="1" applyAlignment="1">
      <alignment horizontal="center" vertical="center"/>
    </xf>
    <xf numFmtId="168" fontId="2" fillId="0" borderId="0" xfId="1" applyNumberFormat="1" applyFont="1" applyFill="1" applyBorder="1" applyAlignment="1">
      <alignment horizontal="center"/>
    </xf>
    <xf numFmtId="164" fontId="2" fillId="2" borderId="20" xfId="3" applyNumberFormat="1" applyFont="1" applyFill="1" applyBorder="1"/>
    <xf numFmtId="167" fontId="2" fillId="0" borderId="0" xfId="0" applyNumberFormat="1" applyFont="1" applyFill="1" applyBorder="1" applyAlignment="1">
      <alignment horizontal="center"/>
    </xf>
    <xf numFmtId="164" fontId="2" fillId="0" borderId="33" xfId="1" applyNumberFormat="1" applyFont="1" applyBorder="1"/>
    <xf numFmtId="164" fontId="2" fillId="2" borderId="31" xfId="1" applyNumberFormat="1" applyFont="1" applyFill="1" applyBorder="1" applyAlignment="1"/>
    <xf numFmtId="164" fontId="2" fillId="2" borderId="32" xfId="1" applyNumberFormat="1" applyFont="1" applyFill="1" applyBorder="1" applyAlignment="1"/>
    <xf numFmtId="164" fontId="2" fillId="2" borderId="33" xfId="1" applyNumberFormat="1" applyFont="1" applyFill="1" applyBorder="1" applyAlignment="1"/>
    <xf numFmtId="164" fontId="2" fillId="2" borderId="14" xfId="1" applyNumberFormat="1" applyFont="1" applyFill="1" applyBorder="1"/>
    <xf numFmtId="164" fontId="7" fillId="6" borderId="14" xfId="1" applyNumberFormat="1" applyFont="1" applyFill="1" applyBorder="1"/>
    <xf numFmtId="164" fontId="2" fillId="7" borderId="19" xfId="1" applyNumberFormat="1" applyFont="1" applyFill="1" applyBorder="1"/>
    <xf numFmtId="164" fontId="2" fillId="0" borderId="20" xfId="1" applyNumberFormat="1" applyFont="1" applyFill="1" applyBorder="1"/>
    <xf numFmtId="164" fontId="2" fillId="9" borderId="20" xfId="1" applyNumberFormat="1" applyFont="1" applyFill="1" applyBorder="1"/>
    <xf numFmtId="164" fontId="2" fillId="0" borderId="34" xfId="1" applyNumberFormat="1" applyFont="1" applyBorder="1"/>
    <xf numFmtId="164" fontId="2" fillId="9" borderId="5" xfId="1" applyNumberFormat="1" applyFont="1" applyFill="1" applyBorder="1"/>
    <xf numFmtId="164" fontId="2" fillId="0" borderId="5" xfId="1" applyNumberFormat="1" applyFont="1" applyBorder="1"/>
    <xf numFmtId="164" fontId="2" fillId="10" borderId="5" xfId="1" applyNumberFormat="1" applyFont="1" applyFill="1" applyBorder="1"/>
    <xf numFmtId="164" fontId="2" fillId="11" borderId="5" xfId="1" applyNumberFormat="1" applyFont="1" applyFill="1" applyBorder="1"/>
    <xf numFmtId="164" fontId="2" fillId="9" borderId="22" xfId="1" applyNumberFormat="1" applyFont="1" applyFill="1" applyBorder="1"/>
    <xf numFmtId="164" fontId="2" fillId="11" borderId="12" xfId="1" applyNumberFormat="1" applyFont="1" applyFill="1" applyBorder="1"/>
    <xf numFmtId="164" fontId="2" fillId="0" borderId="31" xfId="1" applyNumberFormat="1" applyFont="1" applyBorder="1"/>
    <xf numFmtId="164" fontId="2" fillId="0" borderId="20" xfId="1" applyNumberFormat="1" applyFont="1" applyBorder="1"/>
    <xf numFmtId="164" fontId="2" fillId="2" borderId="39" xfId="1" applyNumberFormat="1" applyFont="1" applyFill="1" applyBorder="1" applyAlignment="1"/>
    <xf numFmtId="164" fontId="2" fillId="2" borderId="35" xfId="1" applyNumberFormat="1" applyFont="1" applyFill="1" applyBorder="1" applyAlignment="1"/>
    <xf numFmtId="164" fontId="2" fillId="2" borderId="37" xfId="1" applyNumberFormat="1" applyFont="1" applyFill="1" applyBorder="1" applyAlignment="1"/>
    <xf numFmtId="164" fontId="7" fillId="6" borderId="30" xfId="1" applyNumberFormat="1" applyFont="1" applyFill="1" applyBorder="1"/>
    <xf numFmtId="164" fontId="2" fillId="2" borderId="30" xfId="1" applyNumberFormat="1" applyFont="1" applyFill="1" applyBorder="1"/>
    <xf numFmtId="164" fontId="2" fillId="2" borderId="41" xfId="1" applyNumberFormat="1" applyFont="1" applyFill="1" applyBorder="1"/>
    <xf numFmtId="164" fontId="7" fillId="6" borderId="41" xfId="1" applyNumberFormat="1" applyFont="1" applyFill="1" applyBorder="1"/>
    <xf numFmtId="164" fontId="2" fillId="9" borderId="42" xfId="1" applyNumberFormat="1" applyFont="1" applyFill="1" applyBorder="1"/>
    <xf numFmtId="164" fontId="2" fillId="2" borderId="5" xfId="3" applyNumberFormat="1" applyFont="1" applyFill="1" applyBorder="1"/>
    <xf numFmtId="164" fontId="2" fillId="0" borderId="10" xfId="1" applyNumberFormat="1" applyFont="1" applyFill="1" applyBorder="1"/>
    <xf numFmtId="164" fontId="2" fillId="7" borderId="22" xfId="1" applyNumberFormat="1" applyFont="1" applyFill="1" applyBorder="1"/>
    <xf numFmtId="164" fontId="2" fillId="7" borderId="45" xfId="1" applyNumberFormat="1" applyFont="1" applyFill="1" applyBorder="1"/>
    <xf numFmtId="164" fontId="2" fillId="7" borderId="44" xfId="1" applyNumberFormat="1" applyFont="1" applyFill="1" applyBorder="1"/>
    <xf numFmtId="9" fontId="2" fillId="2" borderId="46" xfId="3" applyFont="1" applyFill="1" applyBorder="1"/>
    <xf numFmtId="164" fontId="2" fillId="0" borderId="26" xfId="1" applyNumberFormat="1" applyFont="1" applyBorder="1"/>
    <xf numFmtId="0" fontId="2" fillId="0" borderId="0" xfId="0" applyFont="1" applyBorder="1" applyAlignment="1">
      <alignment horizontal="center"/>
    </xf>
    <xf numFmtId="0" fontId="2" fillId="0" borderId="36" xfId="0" applyFont="1" applyBorder="1" applyAlignment="1">
      <alignment horizontal="center"/>
    </xf>
    <xf numFmtId="168" fontId="2" fillId="0" borderId="25" xfId="1" applyNumberFormat="1" applyFont="1" applyBorder="1"/>
    <xf numFmtId="168" fontId="2" fillId="0" borderId="2" xfId="1" applyNumberFormat="1" applyFont="1" applyFill="1" applyBorder="1" applyAlignment="1">
      <alignment horizontal="center"/>
    </xf>
    <xf numFmtId="168" fontId="2" fillId="0" borderId="20" xfId="1" applyNumberFormat="1" applyFont="1" applyFill="1" applyBorder="1" applyAlignment="1">
      <alignment horizontal="center" vertical="center"/>
    </xf>
    <xf numFmtId="168" fontId="2" fillId="0" borderId="12" xfId="1" applyNumberFormat="1" applyFont="1" applyFill="1" applyBorder="1" applyAlignment="1">
      <alignment horizontal="center" vertical="center"/>
    </xf>
    <xf numFmtId="168" fontId="2" fillId="0" borderId="16" xfId="1" applyNumberFormat="1" applyFont="1" applyBorder="1"/>
    <xf numFmtId="164" fontId="2" fillId="9" borderId="47" xfId="1" applyNumberFormat="1" applyFont="1" applyFill="1" applyBorder="1"/>
    <xf numFmtId="164" fontId="2" fillId="0" borderId="48" xfId="1" applyNumberFormat="1" applyFont="1" applyFill="1" applyBorder="1"/>
    <xf numFmtId="164" fontId="2" fillId="9" borderId="49" xfId="1" applyNumberFormat="1" applyFont="1" applyFill="1" applyBorder="1"/>
    <xf numFmtId="0" fontId="1" fillId="0" borderId="0" xfId="0" applyFont="1" applyBorder="1" applyAlignment="1"/>
    <xf numFmtId="164" fontId="2" fillId="2" borderId="38" xfId="1" applyNumberFormat="1" applyFont="1" applyFill="1" applyBorder="1"/>
    <xf numFmtId="0" fontId="1" fillId="0" borderId="23" xfId="0" applyFont="1" applyBorder="1" applyAlignment="1"/>
    <xf numFmtId="0" fontId="25" fillId="0" borderId="0" xfId="0" applyFont="1"/>
    <xf numFmtId="164" fontId="26" fillId="7" borderId="5" xfId="1" applyNumberFormat="1" applyFont="1" applyFill="1" applyBorder="1" applyAlignment="1">
      <alignment horizontal="right"/>
    </xf>
    <xf numFmtId="0" fontId="26" fillId="0" borderId="0" xfId="0" applyFont="1" applyAlignment="1">
      <alignment horizontal="right"/>
    </xf>
    <xf numFmtId="164" fontId="2" fillId="9" borderId="0" xfId="1" applyNumberFormat="1" applyFont="1" applyFill="1" applyBorder="1"/>
    <xf numFmtId="9" fontId="2" fillId="2" borderId="28" xfId="3" applyFont="1" applyFill="1" applyBorder="1"/>
    <xf numFmtId="164" fontId="2" fillId="0" borderId="28" xfId="1" applyNumberFormat="1" applyFont="1" applyBorder="1"/>
    <xf numFmtId="164" fontId="3" fillId="0" borderId="0" xfId="1" applyNumberFormat="1" applyFont="1" applyBorder="1"/>
    <xf numFmtId="9" fontId="2" fillId="2" borderId="5" xfId="3" applyFont="1" applyFill="1" applyBorder="1"/>
    <xf numFmtId="9" fontId="2" fillId="2" borderId="37" xfId="3" applyFont="1" applyFill="1" applyBorder="1"/>
    <xf numFmtId="164" fontId="2" fillId="0" borderId="39" xfId="1" applyNumberFormat="1" applyFont="1" applyBorder="1"/>
    <xf numFmtId="164" fontId="2" fillId="0" borderId="37" xfId="1" applyNumberFormat="1" applyFont="1" applyBorder="1"/>
    <xf numFmtId="164" fontId="7" fillId="6" borderId="50" xfId="1" applyNumberFormat="1" applyFont="1" applyFill="1" applyBorder="1"/>
    <xf numFmtId="164" fontId="2" fillId="0" borderId="38" xfId="1" applyNumberFormat="1" applyFont="1" applyBorder="1"/>
    <xf numFmtId="164" fontId="2" fillId="2" borderId="39" xfId="1" applyNumberFormat="1" applyFont="1" applyFill="1" applyBorder="1"/>
    <xf numFmtId="9" fontId="2" fillId="2" borderId="35" xfId="3" applyFont="1" applyFill="1" applyBorder="1"/>
    <xf numFmtId="9" fontId="2" fillId="2" borderId="42" xfId="3" applyFont="1" applyFill="1" applyBorder="1"/>
    <xf numFmtId="164" fontId="2" fillId="0" borderId="46" xfId="1" applyNumberFormat="1" applyFont="1" applyBorder="1"/>
    <xf numFmtId="9" fontId="2" fillId="2" borderId="27" xfId="3" applyFont="1" applyFill="1" applyBorder="1"/>
    <xf numFmtId="9" fontId="2" fillId="2" borderId="40" xfId="3" applyFont="1" applyFill="1" applyBorder="1"/>
    <xf numFmtId="9" fontId="2" fillId="2" borderId="43" xfId="3" applyFont="1" applyFill="1" applyBorder="1"/>
    <xf numFmtId="164" fontId="28" fillId="0" borderId="0" xfId="1" applyNumberFormat="1" applyFont="1" applyFill="1" applyBorder="1"/>
    <xf numFmtId="164" fontId="14" fillId="2" borderId="30" xfId="1" applyNumberFormat="1" applyFont="1" applyFill="1" applyBorder="1"/>
    <xf numFmtId="164" fontId="14" fillId="2" borderId="16" xfId="1" applyNumberFormat="1" applyFont="1" applyFill="1" applyBorder="1"/>
    <xf numFmtId="164" fontId="28" fillId="0" borderId="0" xfId="1" applyNumberFormat="1" applyFont="1"/>
    <xf numFmtId="0" fontId="29" fillId="0" borderId="14" xfId="0" applyFont="1" applyFill="1" applyBorder="1" applyAlignment="1">
      <alignment horizontal="centerContinuous"/>
    </xf>
    <xf numFmtId="164" fontId="2" fillId="0" borderId="0" xfId="0" applyNumberFormat="1" applyFont="1" applyFill="1" applyBorder="1" applyAlignment="1">
      <alignment horizontal="center"/>
    </xf>
    <xf numFmtId="164" fontId="2" fillId="7" borderId="12" xfId="1" applyNumberFormat="1" applyFont="1" applyFill="1" applyBorder="1"/>
    <xf numFmtId="0" fontId="2" fillId="9" borderId="0" xfId="0" applyFont="1" applyFill="1" applyBorder="1"/>
    <xf numFmtId="0" fontId="2" fillId="0" borderId="52" xfId="0" applyFont="1" applyBorder="1"/>
    <xf numFmtId="164" fontId="2" fillId="7" borderId="53" xfId="1" applyNumberFormat="1" applyFont="1" applyFill="1" applyBorder="1"/>
    <xf numFmtId="164" fontId="2" fillId="9" borderId="34" xfId="1" applyNumberFormat="1" applyFont="1" applyFill="1" applyBorder="1"/>
    <xf numFmtId="164" fontId="2" fillId="11" borderId="34" xfId="1" applyNumberFormat="1" applyFont="1" applyFill="1" applyBorder="1"/>
    <xf numFmtId="164" fontId="2" fillId="0" borderId="34" xfId="1" applyNumberFormat="1" applyFont="1" applyFill="1" applyBorder="1"/>
    <xf numFmtId="164" fontId="3" fillId="0" borderId="36" xfId="1" applyNumberFormat="1" applyFont="1" applyBorder="1"/>
    <xf numFmtId="164" fontId="3" fillId="0" borderId="30" xfId="1" applyNumberFormat="1" applyFont="1" applyBorder="1"/>
    <xf numFmtId="164" fontId="10" fillId="0" borderId="20" xfId="1" applyNumberFormat="1" applyFont="1" applyBorder="1"/>
    <xf numFmtId="164" fontId="10" fillId="0" borderId="43" xfId="1" applyNumberFormat="1" applyFont="1" applyBorder="1"/>
    <xf numFmtId="164" fontId="10" fillId="0" borderId="35" xfId="1" applyNumberFormat="1" applyFont="1" applyBorder="1"/>
    <xf numFmtId="164" fontId="10" fillId="0" borderId="39" xfId="1" applyNumberFormat="1" applyFont="1" applyBorder="1"/>
    <xf numFmtId="164" fontId="10" fillId="0" borderId="47" xfId="1" applyNumberFormat="1" applyFont="1" applyBorder="1"/>
    <xf numFmtId="164" fontId="10" fillId="0" borderId="54" xfId="1" applyNumberFormat="1" applyFont="1" applyBorder="1"/>
    <xf numFmtId="164" fontId="10" fillId="0" borderId="36" xfId="1" applyNumberFormat="1" applyFont="1" applyBorder="1"/>
    <xf numFmtId="164" fontId="10" fillId="0" borderId="55" xfId="1" applyNumberFormat="1" applyFont="1" applyBorder="1"/>
    <xf numFmtId="164" fontId="10" fillId="0" borderId="56" xfId="1" applyNumberFormat="1" applyFont="1" applyBorder="1"/>
    <xf numFmtId="164" fontId="10" fillId="0" borderId="57" xfId="1" applyNumberFormat="1" applyFont="1" applyBorder="1"/>
    <xf numFmtId="164" fontId="10" fillId="0" borderId="34" xfId="1" applyNumberFormat="1" applyFont="1" applyBorder="1"/>
    <xf numFmtId="0" fontId="2" fillId="0" borderId="0" xfId="0" applyFont="1" applyAlignment="1">
      <alignment wrapText="1"/>
    </xf>
    <xf numFmtId="168" fontId="2" fillId="0" borderId="58" xfId="1" applyNumberFormat="1" applyFont="1" applyBorder="1"/>
    <xf numFmtId="168" fontId="2" fillId="0" borderId="48" xfId="1" applyNumberFormat="1" applyFont="1" applyFill="1" applyBorder="1" applyAlignment="1">
      <alignment horizontal="center" vertical="center"/>
    </xf>
    <xf numFmtId="168" fontId="2" fillId="0" borderId="28" xfId="1" applyNumberFormat="1" applyFont="1" applyFill="1" applyBorder="1" applyAlignment="1">
      <alignment horizontal="center" vertical="center"/>
    </xf>
    <xf numFmtId="164" fontId="2" fillId="7" borderId="26" xfId="1" applyNumberFormat="1" applyFont="1" applyFill="1" applyBorder="1"/>
    <xf numFmtId="164" fontId="2" fillId="7" borderId="27" xfId="1" applyNumberFormat="1" applyFont="1" applyFill="1" applyBorder="1"/>
    <xf numFmtId="164" fontId="2" fillId="9" borderId="27" xfId="1" applyNumberFormat="1" applyFont="1" applyFill="1" applyBorder="1"/>
    <xf numFmtId="164" fontId="2" fillId="0" borderId="27" xfId="1" applyNumberFormat="1" applyFont="1" applyFill="1" applyBorder="1"/>
    <xf numFmtId="3" fontId="2" fillId="0" borderId="13" xfId="1" applyNumberFormat="1" applyFont="1" applyFill="1" applyBorder="1" applyAlignment="1">
      <alignment horizontal="center"/>
    </xf>
    <xf numFmtId="3" fontId="2" fillId="0" borderId="13" xfId="1" applyNumberFormat="1" applyFont="1" applyBorder="1" applyAlignment="1">
      <alignment horizontal="center"/>
    </xf>
    <xf numFmtId="168" fontId="2" fillId="0" borderId="26" xfId="1" applyNumberFormat="1" applyFont="1" applyFill="1" applyBorder="1" applyAlignment="1">
      <alignment horizontal="center"/>
    </xf>
    <xf numFmtId="37" fontId="24" fillId="6" borderId="16" xfId="1" applyNumberFormat="1" applyFont="1" applyFill="1" applyBorder="1" applyAlignment="1">
      <alignment horizontal="center" vertical="center"/>
    </xf>
    <xf numFmtId="164" fontId="14" fillId="9" borderId="20" xfId="1" applyNumberFormat="1" applyFont="1" applyFill="1" applyBorder="1"/>
    <xf numFmtId="164" fontId="14" fillId="9" borderId="12" xfId="1" applyNumberFormat="1" applyFont="1" applyFill="1" applyBorder="1"/>
    <xf numFmtId="164" fontId="2" fillId="11" borderId="27" xfId="1" applyNumberFormat="1" applyFont="1" applyFill="1" applyBorder="1"/>
    <xf numFmtId="164" fontId="2" fillId="10" borderId="27" xfId="1" applyNumberFormat="1" applyFont="1" applyFill="1" applyBorder="1"/>
    <xf numFmtId="164" fontId="2" fillId="10" borderId="0" xfId="1" applyNumberFormat="1" applyFont="1" applyFill="1" applyBorder="1"/>
    <xf numFmtId="9" fontId="2" fillId="2" borderId="19" xfId="3" applyFont="1" applyFill="1" applyBorder="1" applyAlignment="1"/>
    <xf numFmtId="9" fontId="2" fillId="2" borderId="20" xfId="3" applyFont="1" applyFill="1" applyBorder="1" applyAlignment="1"/>
    <xf numFmtId="9" fontId="2" fillId="2" borderId="5" xfId="3" applyFont="1" applyFill="1" applyBorder="1" applyAlignment="1"/>
    <xf numFmtId="9" fontId="2" fillId="2" borderId="11" xfId="3" applyFont="1" applyFill="1" applyBorder="1" applyAlignment="1"/>
    <xf numFmtId="9" fontId="2" fillId="2" borderId="12" xfId="3" applyFont="1" applyFill="1" applyBorder="1" applyAlignment="1"/>
    <xf numFmtId="9" fontId="2" fillId="2" borderId="33" xfId="3" applyFont="1" applyFill="1" applyBorder="1" applyAlignment="1"/>
    <xf numFmtId="164" fontId="3" fillId="4" borderId="13" xfId="1" applyNumberFormat="1" applyFont="1" applyFill="1" applyBorder="1" applyAlignment="1"/>
    <xf numFmtId="9" fontId="2" fillId="2" borderId="21" xfId="3" applyFont="1" applyFill="1" applyBorder="1" applyAlignment="1"/>
    <xf numFmtId="164" fontId="2" fillId="0" borderId="1" xfId="1" applyNumberFormat="1" applyFont="1" applyBorder="1"/>
    <xf numFmtId="0" fontId="2" fillId="2" borderId="1" xfId="0" applyFont="1" applyFill="1" applyBorder="1" applyAlignment="1">
      <alignment horizontal="left"/>
    </xf>
    <xf numFmtId="0" fontId="2" fillId="2" borderId="10" xfId="0" applyFont="1" applyFill="1" applyBorder="1" applyAlignment="1">
      <alignment horizontal="left"/>
    </xf>
    <xf numFmtId="0" fontId="2" fillId="0" borderId="0" xfId="1" applyNumberFormat="1" applyFont="1" applyFill="1" applyBorder="1" applyAlignment="1">
      <alignment horizontal="center"/>
    </xf>
    <xf numFmtId="164" fontId="2" fillId="2" borderId="1" xfId="1" applyNumberFormat="1" applyFont="1" applyFill="1" applyBorder="1" applyAlignment="1">
      <alignment horizontal="center"/>
    </xf>
    <xf numFmtId="164" fontId="2" fillId="7" borderId="2" xfId="1" applyNumberFormat="1" applyFont="1" applyFill="1" applyBorder="1" applyAlignment="1">
      <alignment horizontal="center"/>
    </xf>
    <xf numFmtId="164" fontId="2" fillId="7" borderId="3" xfId="1" applyNumberFormat="1" applyFont="1" applyFill="1" applyBorder="1" applyAlignment="1">
      <alignment horizontal="center"/>
    </xf>
    <xf numFmtId="164" fontId="2" fillId="0" borderId="10" xfId="1" applyNumberFormat="1" applyFont="1" applyFill="1" applyBorder="1" applyAlignment="1">
      <alignment horizontal="center"/>
    </xf>
    <xf numFmtId="164" fontId="2" fillId="2" borderId="5" xfId="1" applyNumberFormat="1" applyFont="1" applyFill="1" applyBorder="1" applyAlignment="1">
      <alignment horizontal="center"/>
    </xf>
    <xf numFmtId="164" fontId="2" fillId="7" borderId="5" xfId="1" applyNumberFormat="1" applyFont="1" applyFill="1" applyBorder="1" applyAlignment="1">
      <alignment horizontal="center"/>
    </xf>
    <xf numFmtId="164" fontId="2" fillId="7" borderId="22" xfId="1" applyNumberFormat="1" applyFont="1" applyFill="1" applyBorder="1" applyAlignment="1">
      <alignment horizontal="center"/>
    </xf>
    <xf numFmtId="164" fontId="2" fillId="7" borderId="10" xfId="1" applyNumberFormat="1" applyFont="1" applyFill="1" applyBorder="1" applyAlignment="1">
      <alignment horizontal="center"/>
    </xf>
    <xf numFmtId="164" fontId="2" fillId="0" borderId="5" xfId="1" applyNumberFormat="1" applyFont="1" applyFill="1" applyBorder="1" applyAlignment="1">
      <alignment horizontal="center"/>
    </xf>
    <xf numFmtId="164" fontId="2" fillId="2" borderId="5" xfId="3" applyNumberFormat="1" applyFont="1" applyFill="1" applyBorder="1" applyAlignment="1">
      <alignment horizontal="center"/>
    </xf>
    <xf numFmtId="164" fontId="2" fillId="9" borderId="5" xfId="1" applyNumberFormat="1" applyFont="1" applyFill="1" applyBorder="1" applyAlignment="1">
      <alignment horizontal="center"/>
    </xf>
    <xf numFmtId="164" fontId="2" fillId="0" borderId="5" xfId="1" applyNumberFormat="1" applyFont="1" applyBorder="1" applyAlignment="1">
      <alignment horizontal="center"/>
    </xf>
    <xf numFmtId="164" fontId="2" fillId="9" borderId="22" xfId="1" applyNumberFormat="1" applyFont="1" applyFill="1" applyBorder="1" applyAlignment="1">
      <alignment horizontal="center"/>
    </xf>
    <xf numFmtId="164" fontId="2" fillId="10" borderId="5" xfId="1" applyNumberFormat="1" applyFont="1" applyFill="1" applyBorder="1" applyAlignment="1">
      <alignment horizontal="center"/>
    </xf>
    <xf numFmtId="164" fontId="2" fillId="11" borderId="5" xfId="1" applyNumberFormat="1" applyFont="1" applyFill="1" applyBorder="1" applyAlignment="1">
      <alignment horizontal="center"/>
    </xf>
    <xf numFmtId="164" fontId="2" fillId="10" borderId="0" xfId="1" applyNumberFormat="1" applyFont="1" applyFill="1" applyBorder="1" applyAlignment="1">
      <alignment horizontal="center"/>
    </xf>
    <xf numFmtId="164" fontId="2" fillId="7" borderId="11" xfId="1" applyNumberFormat="1" applyFont="1" applyFill="1" applyBorder="1" applyAlignment="1">
      <alignment horizontal="center"/>
    </xf>
    <xf numFmtId="164" fontId="2" fillId="9" borderId="12" xfId="1" applyNumberFormat="1" applyFont="1" applyFill="1" applyBorder="1" applyAlignment="1">
      <alignment horizontal="center"/>
    </xf>
    <xf numFmtId="164" fontId="2" fillId="11" borderId="12" xfId="1" applyNumberFormat="1" applyFont="1" applyFill="1" applyBorder="1" applyAlignment="1">
      <alignment horizontal="center"/>
    </xf>
    <xf numFmtId="164" fontId="2" fillId="10" borderId="18" xfId="1" applyNumberFormat="1" applyFont="1" applyFill="1" applyBorder="1" applyAlignment="1">
      <alignment horizontal="center"/>
    </xf>
    <xf numFmtId="164" fontId="3" fillId="0" borderId="0" xfId="1" applyNumberFormat="1" applyFont="1" applyAlignment="1">
      <alignment horizontal="center"/>
    </xf>
    <xf numFmtId="164" fontId="2" fillId="2" borderId="15" xfId="1" applyNumberFormat="1" applyFont="1" applyFill="1" applyBorder="1" applyAlignment="1">
      <alignment horizontal="center"/>
    </xf>
    <xf numFmtId="164" fontId="2" fillId="2" borderId="16" xfId="1" applyNumberFormat="1" applyFont="1" applyFill="1" applyBorder="1" applyAlignment="1">
      <alignment horizontal="center"/>
    </xf>
    <xf numFmtId="164" fontId="2" fillId="2" borderId="17" xfId="1" applyNumberFormat="1" applyFont="1" applyFill="1" applyBorder="1" applyAlignment="1">
      <alignment horizontal="center"/>
    </xf>
    <xf numFmtId="164" fontId="7" fillId="6" borderId="15" xfId="1" applyNumberFormat="1" applyFont="1" applyFill="1" applyBorder="1" applyAlignment="1">
      <alignment horizontal="center"/>
    </xf>
    <xf numFmtId="164" fontId="7" fillId="6" borderId="16" xfId="1" applyNumberFormat="1" applyFont="1" applyFill="1" applyBorder="1" applyAlignment="1">
      <alignment horizontal="center"/>
    </xf>
    <xf numFmtId="164" fontId="7" fillId="6" borderId="17" xfId="1" applyNumberFormat="1" applyFont="1" applyFill="1" applyBorder="1" applyAlignment="1">
      <alignment horizontal="center"/>
    </xf>
    <xf numFmtId="0" fontId="2" fillId="2" borderId="11" xfId="0" applyFont="1" applyFill="1" applyBorder="1" applyAlignment="1">
      <alignment horizontal="left"/>
    </xf>
    <xf numFmtId="0" fontId="2" fillId="2" borderId="22" xfId="0" applyFont="1" applyFill="1" applyBorder="1" applyAlignment="1">
      <alignment horizontal="center"/>
    </xf>
    <xf numFmtId="164" fontId="10" fillId="0" borderId="59" xfId="1" applyNumberFormat="1" applyFont="1" applyBorder="1"/>
    <xf numFmtId="164" fontId="10" fillId="0" borderId="32" xfId="1" applyNumberFormat="1" applyFont="1" applyBorder="1"/>
    <xf numFmtId="164" fontId="10" fillId="0" borderId="25" xfId="1" applyNumberFormat="1" applyFont="1" applyBorder="1"/>
    <xf numFmtId="164" fontId="10" fillId="0" borderId="37" xfId="1" applyNumberFormat="1" applyFont="1" applyBorder="1"/>
    <xf numFmtId="164" fontId="10" fillId="0" borderId="33" xfId="1" applyNumberFormat="1" applyFont="1" applyBorder="1"/>
    <xf numFmtId="3" fontId="2" fillId="10" borderId="1" xfId="1" applyNumberFormat="1" applyFont="1" applyFill="1" applyBorder="1" applyAlignment="1">
      <alignment horizontal="center"/>
    </xf>
    <xf numFmtId="3" fontId="2" fillId="10" borderId="2" xfId="1" applyNumberFormat="1" applyFont="1" applyFill="1" applyBorder="1" applyAlignment="1">
      <alignment horizontal="center"/>
    </xf>
    <xf numFmtId="3" fontId="2" fillId="10" borderId="26" xfId="1" applyNumberFormat="1" applyFont="1" applyFill="1" applyBorder="1" applyAlignment="1">
      <alignment horizontal="center"/>
    </xf>
    <xf numFmtId="9" fontId="32" fillId="2" borderId="33" xfId="3" applyFont="1" applyFill="1" applyBorder="1" applyAlignment="1"/>
    <xf numFmtId="164" fontId="3" fillId="0" borderId="13" xfId="1" applyNumberFormat="1" applyFont="1" applyFill="1" applyBorder="1" applyAlignment="1"/>
    <xf numFmtId="164" fontId="2" fillId="11" borderId="2" xfId="1" applyNumberFormat="1" applyFont="1" applyFill="1" applyBorder="1" applyAlignment="1"/>
    <xf numFmtId="164" fontId="2" fillId="2" borderId="0" xfId="1" applyNumberFormat="1" applyFont="1" applyFill="1" applyBorder="1" applyAlignment="1"/>
    <xf numFmtId="164" fontId="2" fillId="2" borderId="0" xfId="1" applyNumberFormat="1" applyFont="1" applyFill="1" applyBorder="1"/>
    <xf numFmtId="164" fontId="3" fillId="4" borderId="0" xfId="1" applyNumberFormat="1" applyFont="1" applyFill="1" applyBorder="1"/>
    <xf numFmtId="9" fontId="2" fillId="2" borderId="0" xfId="3" applyFont="1" applyFill="1" applyBorder="1"/>
    <xf numFmtId="164" fontId="2" fillId="7" borderId="0" xfId="1" applyNumberFormat="1" applyFont="1" applyFill="1" applyBorder="1" applyAlignment="1">
      <alignment horizontal="center"/>
    </xf>
    <xf numFmtId="164" fontId="2" fillId="9" borderId="0" xfId="1" applyNumberFormat="1" applyFont="1" applyFill="1" applyBorder="1" applyAlignment="1">
      <alignment horizontal="center"/>
    </xf>
    <xf numFmtId="164" fontId="2" fillId="2" borderId="0" xfId="1" applyNumberFormat="1" applyFont="1" applyFill="1" applyBorder="1" applyAlignment="1">
      <alignment horizontal="center"/>
    </xf>
    <xf numFmtId="164" fontId="7" fillId="6" borderId="0" xfId="1" applyNumberFormat="1" applyFont="1" applyFill="1" applyBorder="1" applyAlignment="1">
      <alignment horizontal="center"/>
    </xf>
    <xf numFmtId="164" fontId="2" fillId="11" borderId="36" xfId="1" applyNumberFormat="1" applyFont="1" applyFill="1" applyBorder="1"/>
    <xf numFmtId="164" fontId="2" fillId="10" borderId="60" xfId="1" applyNumberFormat="1" applyFont="1" applyFill="1" applyBorder="1"/>
    <xf numFmtId="164" fontId="3" fillId="10" borderId="13" xfId="1" applyNumberFormat="1" applyFont="1" applyFill="1" applyBorder="1"/>
    <xf numFmtId="164" fontId="2" fillId="11" borderId="3" xfId="1" applyNumberFormat="1" applyFont="1" applyFill="1" applyBorder="1" applyAlignment="1"/>
    <xf numFmtId="9" fontId="2" fillId="2" borderId="18" xfId="3" applyFont="1" applyFill="1" applyBorder="1" applyAlignment="1"/>
    <xf numFmtId="164" fontId="31" fillId="10" borderId="5" xfId="1" applyNumberFormat="1" applyFont="1" applyFill="1" applyBorder="1"/>
    <xf numFmtId="164" fontId="3" fillId="0" borderId="13" xfId="1" applyNumberFormat="1" applyFont="1" applyFill="1" applyBorder="1"/>
    <xf numFmtId="164" fontId="2" fillId="7" borderId="23" xfId="1" applyNumberFormat="1" applyFont="1" applyFill="1" applyBorder="1"/>
    <xf numFmtId="164" fontId="2" fillId="11" borderId="2" xfId="1" applyNumberFormat="1" applyFont="1" applyFill="1" applyBorder="1"/>
    <xf numFmtId="164" fontId="3" fillId="0" borderId="0" xfId="1" applyNumberFormat="1" applyFont="1" applyFill="1"/>
    <xf numFmtId="0" fontId="2" fillId="0" borderId="0" xfId="0" applyFont="1" applyFill="1"/>
    <xf numFmtId="164" fontId="2" fillId="7" borderId="21" xfId="1" applyNumberFormat="1" applyFont="1" applyFill="1" applyBorder="1"/>
    <xf numFmtId="164" fontId="2" fillId="9" borderId="21" xfId="1" applyNumberFormat="1" applyFont="1" applyFill="1" applyBorder="1"/>
    <xf numFmtId="9" fontId="2" fillId="11" borderId="20" xfId="3" applyFont="1" applyFill="1" applyBorder="1"/>
    <xf numFmtId="9" fontId="2" fillId="11" borderId="21" xfId="3" applyFont="1" applyFill="1" applyBorder="1"/>
    <xf numFmtId="41" fontId="3" fillId="0" borderId="13" xfId="1" applyNumberFormat="1" applyFont="1" applyFill="1" applyBorder="1"/>
    <xf numFmtId="164" fontId="3" fillId="0" borderId="0" xfId="1" applyNumberFormat="1" applyFont="1" applyFill="1" applyAlignment="1">
      <alignment horizontal="center"/>
    </xf>
    <xf numFmtId="164" fontId="3" fillId="0" borderId="13" xfId="1" applyNumberFormat="1" applyFont="1" applyBorder="1" applyAlignment="1">
      <alignment horizontal="center"/>
    </xf>
    <xf numFmtId="164" fontId="3" fillId="0" borderId="30" xfId="1" applyNumberFormat="1" applyFont="1" applyBorder="1" applyAlignment="1">
      <alignment horizontal="center"/>
    </xf>
    <xf numFmtId="0" fontId="2" fillId="0" borderId="0" xfId="0" applyFont="1" applyFill="1" applyAlignment="1">
      <alignment horizontal="center"/>
    </xf>
    <xf numFmtId="164" fontId="2" fillId="0" borderId="18" xfId="1" applyNumberFormat="1" applyFont="1" applyFill="1" applyBorder="1"/>
    <xf numFmtId="164" fontId="2" fillId="9" borderId="18" xfId="1" applyNumberFormat="1" applyFont="1" applyFill="1" applyBorder="1"/>
    <xf numFmtId="164" fontId="2" fillId="0" borderId="22" xfId="1" applyNumberFormat="1" applyFont="1" applyBorder="1"/>
    <xf numFmtId="164" fontId="2" fillId="11" borderId="22" xfId="1" applyNumberFormat="1" applyFont="1" applyFill="1" applyBorder="1"/>
    <xf numFmtId="164" fontId="2" fillId="10" borderId="23" xfId="1" applyNumberFormat="1" applyFont="1" applyFill="1" applyBorder="1"/>
    <xf numFmtId="9" fontId="2" fillId="2" borderId="22" xfId="3" applyFont="1" applyFill="1" applyBorder="1"/>
    <xf numFmtId="164" fontId="2" fillId="11" borderId="18" xfId="1" applyNumberFormat="1" applyFont="1" applyFill="1" applyBorder="1"/>
    <xf numFmtId="164" fontId="2" fillId="11" borderId="5" xfId="1" applyNumberFormat="1" applyFont="1" applyFill="1" applyBorder="1" applyAlignment="1">
      <alignment vertical="center"/>
    </xf>
    <xf numFmtId="164" fontId="2" fillId="0" borderId="5" xfId="1" applyNumberFormat="1" applyFont="1" applyBorder="1" applyAlignment="1">
      <alignment vertical="center"/>
    </xf>
    <xf numFmtId="164" fontId="2" fillId="11" borderId="39" xfId="1" applyNumberFormat="1" applyFont="1" applyFill="1" applyBorder="1"/>
    <xf numFmtId="164" fontId="14" fillId="2" borderId="17" xfId="1" applyNumberFormat="1" applyFont="1" applyFill="1" applyBorder="1"/>
    <xf numFmtId="164" fontId="2" fillId="7" borderId="18" xfId="1" applyNumberFormat="1" applyFont="1" applyFill="1" applyBorder="1"/>
    <xf numFmtId="9" fontId="2" fillId="11" borderId="12" xfId="3" applyFont="1" applyFill="1" applyBorder="1"/>
    <xf numFmtId="168" fontId="3" fillId="0" borderId="0" xfId="1" applyNumberFormat="1" applyFont="1" applyFill="1" applyBorder="1"/>
    <xf numFmtId="164" fontId="2" fillId="0" borderId="22" xfId="1" applyNumberFormat="1" applyFont="1" applyFill="1" applyBorder="1"/>
    <xf numFmtId="164" fontId="2" fillId="0" borderId="22" xfId="1" applyNumberFormat="1" applyFont="1" applyBorder="1" applyAlignment="1">
      <alignment horizontal="center"/>
    </xf>
    <xf numFmtId="164" fontId="2" fillId="11" borderId="22" xfId="1" applyNumberFormat="1" applyFont="1" applyFill="1" applyBorder="1" applyAlignment="1">
      <alignment horizontal="center"/>
    </xf>
    <xf numFmtId="164" fontId="2" fillId="10" borderId="23" xfId="1" applyNumberFormat="1" applyFont="1" applyFill="1" applyBorder="1" applyAlignment="1">
      <alignment horizontal="center"/>
    </xf>
    <xf numFmtId="164" fontId="2" fillId="9" borderId="18" xfId="1" applyNumberFormat="1" applyFont="1" applyFill="1" applyBorder="1" applyAlignment="1">
      <alignment horizontal="center"/>
    </xf>
    <xf numFmtId="164" fontId="2" fillId="11" borderId="3" xfId="1" applyNumberFormat="1" applyFont="1" applyFill="1" applyBorder="1"/>
    <xf numFmtId="9" fontId="2" fillId="11" borderId="18" xfId="3" applyFont="1" applyFill="1" applyBorder="1"/>
    <xf numFmtId="3" fontId="2" fillId="0" borderId="26" xfId="1" applyNumberFormat="1" applyFont="1" applyFill="1" applyBorder="1" applyAlignment="1">
      <alignment horizontal="center"/>
    </xf>
    <xf numFmtId="9" fontId="2" fillId="0" borderId="12" xfId="3" applyFont="1" applyFill="1" applyBorder="1" applyAlignment="1">
      <alignment horizontal="center"/>
    </xf>
    <xf numFmtId="168" fontId="2" fillId="0" borderId="0" xfId="0" applyNumberFormat="1" applyFont="1" applyFill="1"/>
    <xf numFmtId="164" fontId="2" fillId="0" borderId="26" xfId="1" applyNumberFormat="1" applyFont="1" applyFill="1" applyBorder="1"/>
    <xf numFmtId="168" fontId="2" fillId="0" borderId="58" xfId="1" applyNumberFormat="1" applyFont="1" applyFill="1" applyBorder="1"/>
    <xf numFmtId="164" fontId="2" fillId="12" borderId="12" xfId="1" applyNumberFormat="1" applyFont="1" applyFill="1" applyBorder="1"/>
    <xf numFmtId="164" fontId="2" fillId="12" borderId="60" xfId="1" applyNumberFormat="1" applyFont="1" applyFill="1" applyBorder="1"/>
    <xf numFmtId="164" fontId="3" fillId="12" borderId="0" xfId="1" applyNumberFormat="1" applyFont="1" applyFill="1" applyAlignment="1">
      <alignment horizontal="center"/>
    </xf>
    <xf numFmtId="164" fontId="3" fillId="12" borderId="13" xfId="1" applyNumberFormat="1" applyFont="1" applyFill="1" applyBorder="1"/>
    <xf numFmtId="164" fontId="2" fillId="12" borderId="2" xfId="1" applyNumberFormat="1" applyFont="1" applyFill="1" applyBorder="1"/>
    <xf numFmtId="41" fontId="3" fillId="12" borderId="13" xfId="1" applyNumberFormat="1" applyFont="1" applyFill="1" applyBorder="1"/>
    <xf numFmtId="164" fontId="7" fillId="12" borderId="16" xfId="1" applyNumberFormat="1" applyFont="1" applyFill="1" applyBorder="1" applyAlignment="1">
      <alignment horizontal="center"/>
    </xf>
    <xf numFmtId="164" fontId="7" fillId="12" borderId="17" xfId="1" applyNumberFormat="1" applyFont="1" applyFill="1" applyBorder="1" applyAlignment="1">
      <alignment horizontal="center"/>
    </xf>
    <xf numFmtId="37" fontId="3" fillId="12" borderId="13" xfId="1" applyNumberFormat="1" applyFont="1" applyFill="1" applyBorder="1"/>
    <xf numFmtId="164" fontId="7" fillId="12" borderId="50" xfId="1" applyNumberFormat="1" applyFont="1" applyFill="1" applyBorder="1"/>
    <xf numFmtId="164" fontId="7" fillId="12" borderId="16" xfId="1" applyNumberFormat="1" applyFont="1" applyFill="1" applyBorder="1"/>
    <xf numFmtId="164" fontId="3" fillId="12" borderId="0" xfId="1" applyNumberFormat="1" applyFont="1" applyFill="1" applyBorder="1"/>
    <xf numFmtId="164" fontId="2" fillId="12" borderId="5" xfId="1" applyNumberFormat="1" applyFont="1" applyFill="1" applyBorder="1"/>
    <xf numFmtId="164" fontId="7" fillId="12" borderId="41" xfId="1" applyNumberFormat="1" applyFont="1" applyFill="1" applyBorder="1"/>
    <xf numFmtId="164" fontId="2" fillId="12" borderId="2" xfId="1" applyNumberFormat="1" applyFont="1" applyFill="1" applyBorder="1" applyAlignment="1"/>
    <xf numFmtId="164" fontId="3" fillId="12" borderId="0" xfId="1" applyNumberFormat="1" applyFont="1" applyFill="1"/>
    <xf numFmtId="164" fontId="3" fillId="12" borderId="13" xfId="1" applyNumberFormat="1" applyFont="1" applyFill="1" applyBorder="1" applyAlignment="1"/>
    <xf numFmtId="3" fontId="2" fillId="12" borderId="26" xfId="1" applyNumberFormat="1" applyFont="1" applyFill="1" applyBorder="1" applyAlignment="1">
      <alignment horizontal="center"/>
    </xf>
    <xf numFmtId="164" fontId="2" fillId="12" borderId="26" xfId="1" applyNumberFormat="1" applyFont="1" applyFill="1" applyBorder="1"/>
    <xf numFmtId="164" fontId="2" fillId="12" borderId="28" xfId="1" applyNumberFormat="1" applyFont="1" applyFill="1" applyBorder="1"/>
    <xf numFmtId="0" fontId="22" fillId="4" borderId="0" xfId="0" applyFont="1" applyFill="1" applyAlignment="1" applyProtection="1">
      <alignment horizontal="center" vertical="center" wrapText="1"/>
      <protection locked="0"/>
    </xf>
    <xf numFmtId="0" fontId="23" fillId="4" borderId="0" xfId="0" applyFont="1" applyFill="1" applyAlignment="1" applyProtection="1">
      <alignment horizontal="center" vertical="center" wrapText="1"/>
      <protection locked="0"/>
    </xf>
    <xf numFmtId="165" fontId="22" fillId="4" borderId="0" xfId="0" applyNumberFormat="1" applyFont="1" applyFill="1" applyAlignment="1" applyProtection="1">
      <alignment horizontal="center" vertical="center" wrapText="1"/>
      <protection locked="0"/>
    </xf>
    <xf numFmtId="0" fontId="20" fillId="4" borderId="0" xfId="0" applyFont="1" applyFill="1" applyAlignment="1" applyProtection="1">
      <alignment horizontal="center"/>
      <protection locked="0"/>
    </xf>
    <xf numFmtId="0" fontId="16" fillId="4" borderId="0" xfId="0" applyFont="1" applyFill="1" applyAlignment="1">
      <alignment horizontal="center"/>
    </xf>
    <xf numFmtId="0" fontId="17" fillId="4" borderId="0" xfId="0" applyFont="1" applyFill="1" applyBorder="1" applyAlignment="1">
      <alignment horizontal="left" vertical="justify" wrapText="1"/>
    </xf>
    <xf numFmtId="0" fontId="17" fillId="4" borderId="0" xfId="0" applyFont="1" applyFill="1" applyAlignment="1">
      <alignment horizontal="center"/>
    </xf>
    <xf numFmtId="0" fontId="18" fillId="4" borderId="0" xfId="0" applyFont="1" applyFill="1" applyAlignment="1" applyProtection="1">
      <alignment horizontal="center"/>
      <protection locked="0"/>
    </xf>
    <xf numFmtId="166" fontId="7" fillId="0" borderId="29" xfId="2" applyFont="1" applyBorder="1" applyAlignment="1">
      <alignment vertical="center" wrapText="1"/>
    </xf>
    <xf numFmtId="166" fontId="7" fillId="0" borderId="30" xfId="2" applyFont="1" applyBorder="1" applyAlignment="1">
      <alignment vertical="center" wrapText="1"/>
    </xf>
    <xf numFmtId="166" fontId="7" fillId="0" borderId="14" xfId="2" applyFont="1" applyBorder="1" applyAlignment="1">
      <alignment vertical="center" wrapText="1"/>
    </xf>
    <xf numFmtId="0" fontId="2" fillId="0" borderId="0" xfId="0" quotePrefix="1" applyFont="1" applyAlignment="1">
      <alignment horizontal="left" vertical="center" wrapText="1"/>
    </xf>
    <xf numFmtId="0" fontId="14" fillId="8" borderId="0" xfId="0" applyFont="1" applyFill="1" applyAlignment="1">
      <alignment horizontal="center" wrapText="1"/>
    </xf>
    <xf numFmtId="43" fontId="6" fillId="10" borderId="29" xfId="0" applyNumberFormat="1" applyFont="1" applyFill="1" applyBorder="1" applyAlignment="1">
      <alignment horizontal="center" vertical="center"/>
    </xf>
    <xf numFmtId="43" fontId="6" fillId="10" borderId="30" xfId="0" applyNumberFormat="1" applyFont="1" applyFill="1" applyBorder="1" applyAlignment="1">
      <alignment horizontal="center" vertical="center"/>
    </xf>
    <xf numFmtId="43" fontId="6" fillId="10" borderId="14" xfId="0" applyNumberFormat="1" applyFont="1" applyFill="1" applyBorder="1" applyAlignment="1">
      <alignment horizontal="center" vertical="center"/>
    </xf>
    <xf numFmtId="165" fontId="4" fillId="10" borderId="29" xfId="0" applyNumberFormat="1" applyFont="1" applyFill="1" applyBorder="1" applyAlignment="1">
      <alignment horizontal="center" vertical="center"/>
    </xf>
    <xf numFmtId="165" fontId="4" fillId="10" borderId="14" xfId="0" applyNumberFormat="1" applyFont="1" applyFill="1" applyBorder="1" applyAlignment="1">
      <alignment horizontal="center" vertical="center"/>
    </xf>
    <xf numFmtId="0" fontId="3" fillId="8" borderId="0" xfId="0" applyFont="1" applyFill="1" applyAlignment="1">
      <alignment horizontal="center" wrapText="1"/>
    </xf>
    <xf numFmtId="0" fontId="2" fillId="8" borderId="0" xfId="0" applyFont="1" applyFill="1" applyAlignment="1">
      <alignment horizontal="left" wrapText="1"/>
    </xf>
    <xf numFmtId="0" fontId="3" fillId="8" borderId="0" xfId="0" applyFont="1" applyFill="1" applyAlignment="1">
      <alignment horizontal="left" wrapText="1"/>
    </xf>
    <xf numFmtId="0" fontId="2" fillId="0" borderId="0" xfId="0" applyFont="1" applyAlignment="1">
      <alignment horizontal="left" vertical="center" wrapText="1"/>
    </xf>
    <xf numFmtId="0" fontId="25" fillId="0" borderId="0" xfId="0" applyFont="1" applyAlignment="1">
      <alignment horizontal="left" wrapText="1"/>
    </xf>
    <xf numFmtId="0" fontId="25" fillId="0" borderId="13" xfId="0" applyFont="1" applyFill="1" applyBorder="1" applyAlignment="1">
      <alignment horizontal="left" wrapText="1"/>
    </xf>
    <xf numFmtId="0" fontId="2" fillId="0" borderId="51" xfId="0" applyFont="1" applyBorder="1" applyAlignment="1">
      <alignment horizontal="left" vertical="center" wrapText="1"/>
    </xf>
  </cellXfs>
  <cellStyles count="4">
    <cellStyle name="Comma" xfId="1" builtinId="3"/>
    <cellStyle name="Normal" xfId="0" builtinId="0"/>
    <cellStyle name="Normal_Inputs PSM 14-9_TEMPLATE" xfId="2"/>
    <cellStyle name="Percent" xfId="3" builtinId="5"/>
  </cellStyles>
  <dxfs count="3">
    <dxf>
      <font>
        <condense val="0"/>
        <extend val="0"/>
        <color indexed="10"/>
      </font>
    </dxf>
    <dxf>
      <fill>
        <patternFill>
          <bgColor indexed="42"/>
        </patternFill>
      </fill>
    </dxf>
    <dxf>
      <fill>
        <patternFill>
          <bgColor indexed="42"/>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51"/>
  <sheetViews>
    <sheetView workbookViewId="0">
      <selection activeCell="B40" sqref="B40"/>
    </sheetView>
  </sheetViews>
  <sheetFormatPr defaultRowHeight="12.75"/>
  <cols>
    <col min="1" max="1" width="9.140625" style="146"/>
    <col min="2" max="2" width="16.7109375" style="146" bestFit="1" customWidth="1"/>
    <col min="3" max="6" width="9.140625" style="146"/>
    <col min="7" max="7" width="9.85546875" style="146" customWidth="1"/>
    <col min="8" max="255" width="9.140625" style="146"/>
    <col min="256" max="256" width="16.7109375" style="146" bestFit="1" customWidth="1"/>
    <col min="257" max="260" width="9.140625" style="146"/>
    <col min="261" max="261" width="9.85546875" style="146" customWidth="1"/>
    <col min="262" max="511" width="9.140625" style="146"/>
    <col min="512" max="512" width="16.7109375" style="146" bestFit="1" customWidth="1"/>
    <col min="513" max="516" width="9.140625" style="146"/>
    <col min="517" max="517" width="9.85546875" style="146" customWidth="1"/>
    <col min="518" max="767" width="9.140625" style="146"/>
    <col min="768" max="768" width="16.7109375" style="146" bestFit="1" customWidth="1"/>
    <col min="769" max="772" width="9.140625" style="146"/>
    <col min="773" max="773" width="9.85546875" style="146" customWidth="1"/>
    <col min="774" max="1023" width="9.140625" style="146"/>
    <col min="1024" max="1024" width="16.7109375" style="146" bestFit="1" customWidth="1"/>
    <col min="1025" max="1028" width="9.140625" style="146"/>
    <col min="1029" max="1029" width="9.85546875" style="146" customWidth="1"/>
    <col min="1030" max="1279" width="9.140625" style="146"/>
    <col min="1280" max="1280" width="16.7109375" style="146" bestFit="1" customWidth="1"/>
    <col min="1281" max="1284" width="9.140625" style="146"/>
    <col min="1285" max="1285" width="9.85546875" style="146" customWidth="1"/>
    <col min="1286" max="1535" width="9.140625" style="146"/>
    <col min="1536" max="1536" width="16.7109375" style="146" bestFit="1" customWidth="1"/>
    <col min="1537" max="1540" width="9.140625" style="146"/>
    <col min="1541" max="1541" width="9.85546875" style="146" customWidth="1"/>
    <col min="1542" max="1791" width="9.140625" style="146"/>
    <col min="1792" max="1792" width="16.7109375" style="146" bestFit="1" customWidth="1"/>
    <col min="1793" max="1796" width="9.140625" style="146"/>
    <col min="1797" max="1797" width="9.85546875" style="146" customWidth="1"/>
    <col min="1798" max="2047" width="9.140625" style="146"/>
    <col min="2048" max="2048" width="16.7109375" style="146" bestFit="1" customWidth="1"/>
    <col min="2049" max="2052" width="9.140625" style="146"/>
    <col min="2053" max="2053" width="9.85546875" style="146" customWidth="1"/>
    <col min="2054" max="2303" width="9.140625" style="146"/>
    <col min="2304" max="2304" width="16.7109375" style="146" bestFit="1" customWidth="1"/>
    <col min="2305" max="2308" width="9.140625" style="146"/>
    <col min="2309" max="2309" width="9.85546875" style="146" customWidth="1"/>
    <col min="2310" max="2559" width="9.140625" style="146"/>
    <col min="2560" max="2560" width="16.7109375" style="146" bestFit="1" customWidth="1"/>
    <col min="2561" max="2564" width="9.140625" style="146"/>
    <col min="2565" max="2565" width="9.85546875" style="146" customWidth="1"/>
    <col min="2566" max="2815" width="9.140625" style="146"/>
    <col min="2816" max="2816" width="16.7109375" style="146" bestFit="1" customWidth="1"/>
    <col min="2817" max="2820" width="9.140625" style="146"/>
    <col min="2821" max="2821" width="9.85546875" style="146" customWidth="1"/>
    <col min="2822" max="3071" width="9.140625" style="146"/>
    <col min="3072" max="3072" width="16.7109375" style="146" bestFit="1" customWidth="1"/>
    <col min="3073" max="3076" width="9.140625" style="146"/>
    <col min="3077" max="3077" width="9.85546875" style="146" customWidth="1"/>
    <col min="3078" max="3327" width="9.140625" style="146"/>
    <col min="3328" max="3328" width="16.7109375" style="146" bestFit="1" customWidth="1"/>
    <col min="3329" max="3332" width="9.140625" style="146"/>
    <col min="3333" max="3333" width="9.85546875" style="146" customWidth="1"/>
    <col min="3334" max="3583" width="9.140625" style="146"/>
    <col min="3584" max="3584" width="16.7109375" style="146" bestFit="1" customWidth="1"/>
    <col min="3585" max="3588" width="9.140625" style="146"/>
    <col min="3589" max="3589" width="9.85546875" style="146" customWidth="1"/>
    <col min="3590" max="3839" width="9.140625" style="146"/>
    <col min="3840" max="3840" width="16.7109375" style="146" bestFit="1" customWidth="1"/>
    <col min="3841" max="3844" width="9.140625" style="146"/>
    <col min="3845" max="3845" width="9.85546875" style="146" customWidth="1"/>
    <col min="3846" max="4095" width="9.140625" style="146"/>
    <col min="4096" max="4096" width="16.7109375" style="146" bestFit="1" customWidth="1"/>
    <col min="4097" max="4100" width="9.140625" style="146"/>
    <col min="4101" max="4101" width="9.85546875" style="146" customWidth="1"/>
    <col min="4102" max="4351" width="9.140625" style="146"/>
    <col min="4352" max="4352" width="16.7109375" style="146" bestFit="1" customWidth="1"/>
    <col min="4353" max="4356" width="9.140625" style="146"/>
    <col min="4357" max="4357" width="9.85546875" style="146" customWidth="1"/>
    <col min="4358" max="4607" width="9.140625" style="146"/>
    <col min="4608" max="4608" width="16.7109375" style="146" bestFit="1" customWidth="1"/>
    <col min="4609" max="4612" width="9.140625" style="146"/>
    <col min="4613" max="4613" width="9.85546875" style="146" customWidth="1"/>
    <col min="4614" max="4863" width="9.140625" style="146"/>
    <col min="4864" max="4864" width="16.7109375" style="146" bestFit="1" customWidth="1"/>
    <col min="4865" max="4868" width="9.140625" style="146"/>
    <col min="4869" max="4869" width="9.85546875" style="146" customWidth="1"/>
    <col min="4870" max="5119" width="9.140625" style="146"/>
    <col min="5120" max="5120" width="16.7109375" style="146" bestFit="1" customWidth="1"/>
    <col min="5121" max="5124" width="9.140625" style="146"/>
    <col min="5125" max="5125" width="9.85546875" style="146" customWidth="1"/>
    <col min="5126" max="5375" width="9.140625" style="146"/>
    <col min="5376" max="5376" width="16.7109375" style="146" bestFit="1" customWidth="1"/>
    <col min="5377" max="5380" width="9.140625" style="146"/>
    <col min="5381" max="5381" width="9.85546875" style="146" customWidth="1"/>
    <col min="5382" max="5631" width="9.140625" style="146"/>
    <col min="5632" max="5632" width="16.7109375" style="146" bestFit="1" customWidth="1"/>
    <col min="5633" max="5636" width="9.140625" style="146"/>
    <col min="5637" max="5637" width="9.85546875" style="146" customWidth="1"/>
    <col min="5638" max="5887" width="9.140625" style="146"/>
    <col min="5888" max="5888" width="16.7109375" style="146" bestFit="1" customWidth="1"/>
    <col min="5889" max="5892" width="9.140625" style="146"/>
    <col min="5893" max="5893" width="9.85546875" style="146" customWidth="1"/>
    <col min="5894" max="6143" width="9.140625" style="146"/>
    <col min="6144" max="6144" width="16.7109375" style="146" bestFit="1" customWidth="1"/>
    <col min="6145" max="6148" width="9.140625" style="146"/>
    <col min="6149" max="6149" width="9.85546875" style="146" customWidth="1"/>
    <col min="6150" max="6399" width="9.140625" style="146"/>
    <col min="6400" max="6400" width="16.7109375" style="146" bestFit="1" customWidth="1"/>
    <col min="6401" max="6404" width="9.140625" style="146"/>
    <col min="6405" max="6405" width="9.85546875" style="146" customWidth="1"/>
    <col min="6406" max="6655" width="9.140625" style="146"/>
    <col min="6656" max="6656" width="16.7109375" style="146" bestFit="1" customWidth="1"/>
    <col min="6657" max="6660" width="9.140625" style="146"/>
    <col min="6661" max="6661" width="9.85546875" style="146" customWidth="1"/>
    <col min="6662" max="6911" width="9.140625" style="146"/>
    <col min="6912" max="6912" width="16.7109375" style="146" bestFit="1" customWidth="1"/>
    <col min="6913" max="6916" width="9.140625" style="146"/>
    <col min="6917" max="6917" width="9.85546875" style="146" customWidth="1"/>
    <col min="6918" max="7167" width="9.140625" style="146"/>
    <col min="7168" max="7168" width="16.7109375" style="146" bestFit="1" customWidth="1"/>
    <col min="7169" max="7172" width="9.140625" style="146"/>
    <col min="7173" max="7173" width="9.85546875" style="146" customWidth="1"/>
    <col min="7174" max="7423" width="9.140625" style="146"/>
    <col min="7424" max="7424" width="16.7109375" style="146" bestFit="1" customWidth="1"/>
    <col min="7425" max="7428" width="9.140625" style="146"/>
    <col min="7429" max="7429" width="9.85546875" style="146" customWidth="1"/>
    <col min="7430" max="7679" width="9.140625" style="146"/>
    <col min="7680" max="7680" width="16.7109375" style="146" bestFit="1" customWidth="1"/>
    <col min="7681" max="7684" width="9.140625" style="146"/>
    <col min="7685" max="7685" width="9.85546875" style="146" customWidth="1"/>
    <col min="7686" max="7935" width="9.140625" style="146"/>
    <col min="7936" max="7936" width="16.7109375" style="146" bestFit="1" customWidth="1"/>
    <col min="7937" max="7940" width="9.140625" style="146"/>
    <col min="7941" max="7941" width="9.85546875" style="146" customWidth="1"/>
    <col min="7942" max="8191" width="9.140625" style="146"/>
    <col min="8192" max="8192" width="16.7109375" style="146" bestFit="1" customWidth="1"/>
    <col min="8193" max="8196" width="9.140625" style="146"/>
    <col min="8197" max="8197" width="9.85546875" style="146" customWidth="1"/>
    <col min="8198" max="8447" width="9.140625" style="146"/>
    <col min="8448" max="8448" width="16.7109375" style="146" bestFit="1" customWidth="1"/>
    <col min="8449" max="8452" width="9.140625" style="146"/>
    <col min="8453" max="8453" width="9.85546875" style="146" customWidth="1"/>
    <col min="8454" max="8703" width="9.140625" style="146"/>
    <col min="8704" max="8704" width="16.7109375" style="146" bestFit="1" customWidth="1"/>
    <col min="8705" max="8708" width="9.140625" style="146"/>
    <col min="8709" max="8709" width="9.85546875" style="146" customWidth="1"/>
    <col min="8710" max="8959" width="9.140625" style="146"/>
    <col min="8960" max="8960" width="16.7109375" style="146" bestFit="1" customWidth="1"/>
    <col min="8961" max="8964" width="9.140625" style="146"/>
    <col min="8965" max="8965" width="9.85546875" style="146" customWidth="1"/>
    <col min="8966" max="9215" width="9.140625" style="146"/>
    <col min="9216" max="9216" width="16.7109375" style="146" bestFit="1" customWidth="1"/>
    <col min="9217" max="9220" width="9.140625" style="146"/>
    <col min="9221" max="9221" width="9.85546875" style="146" customWidth="1"/>
    <col min="9222" max="9471" width="9.140625" style="146"/>
    <col min="9472" max="9472" width="16.7109375" style="146" bestFit="1" customWidth="1"/>
    <col min="9473" max="9476" width="9.140625" style="146"/>
    <col min="9477" max="9477" width="9.85546875" style="146" customWidth="1"/>
    <col min="9478" max="9727" width="9.140625" style="146"/>
    <col min="9728" max="9728" width="16.7109375" style="146" bestFit="1" customWidth="1"/>
    <col min="9729" max="9732" width="9.140625" style="146"/>
    <col min="9733" max="9733" width="9.85546875" style="146" customWidth="1"/>
    <col min="9734" max="9983" width="9.140625" style="146"/>
    <col min="9984" max="9984" width="16.7109375" style="146" bestFit="1" customWidth="1"/>
    <col min="9985" max="9988" width="9.140625" style="146"/>
    <col min="9989" max="9989" width="9.85546875" style="146" customWidth="1"/>
    <col min="9990" max="10239" width="9.140625" style="146"/>
    <col min="10240" max="10240" width="16.7109375" style="146" bestFit="1" customWidth="1"/>
    <col min="10241" max="10244" width="9.140625" style="146"/>
    <col min="10245" max="10245" width="9.85546875" style="146" customWidth="1"/>
    <col min="10246" max="10495" width="9.140625" style="146"/>
    <col min="10496" max="10496" width="16.7109375" style="146" bestFit="1" customWidth="1"/>
    <col min="10497" max="10500" width="9.140625" style="146"/>
    <col min="10501" max="10501" width="9.85546875" style="146" customWidth="1"/>
    <col min="10502" max="10751" width="9.140625" style="146"/>
    <col min="10752" max="10752" width="16.7109375" style="146" bestFit="1" customWidth="1"/>
    <col min="10753" max="10756" width="9.140625" style="146"/>
    <col min="10757" max="10757" width="9.85546875" style="146" customWidth="1"/>
    <col min="10758" max="11007" width="9.140625" style="146"/>
    <col min="11008" max="11008" width="16.7109375" style="146" bestFit="1" customWidth="1"/>
    <col min="11009" max="11012" width="9.140625" style="146"/>
    <col min="11013" max="11013" width="9.85546875" style="146" customWidth="1"/>
    <col min="11014" max="11263" width="9.140625" style="146"/>
    <col min="11264" max="11264" width="16.7109375" style="146" bestFit="1" customWidth="1"/>
    <col min="11265" max="11268" width="9.140625" style="146"/>
    <col min="11269" max="11269" width="9.85546875" style="146" customWidth="1"/>
    <col min="11270" max="11519" width="9.140625" style="146"/>
    <col min="11520" max="11520" width="16.7109375" style="146" bestFit="1" customWidth="1"/>
    <col min="11521" max="11524" width="9.140625" style="146"/>
    <col min="11525" max="11525" width="9.85546875" style="146" customWidth="1"/>
    <col min="11526" max="11775" width="9.140625" style="146"/>
    <col min="11776" max="11776" width="16.7109375" style="146" bestFit="1" customWidth="1"/>
    <col min="11777" max="11780" width="9.140625" style="146"/>
    <col min="11781" max="11781" width="9.85546875" style="146" customWidth="1"/>
    <col min="11782" max="12031" width="9.140625" style="146"/>
    <col min="12032" max="12032" width="16.7109375" style="146" bestFit="1" customWidth="1"/>
    <col min="12033" max="12036" width="9.140625" style="146"/>
    <col min="12037" max="12037" width="9.85546875" style="146" customWidth="1"/>
    <col min="12038" max="12287" width="9.140625" style="146"/>
    <col min="12288" max="12288" width="16.7109375" style="146" bestFit="1" customWidth="1"/>
    <col min="12289" max="12292" width="9.140625" style="146"/>
    <col min="12293" max="12293" width="9.85546875" style="146" customWidth="1"/>
    <col min="12294" max="12543" width="9.140625" style="146"/>
    <col min="12544" max="12544" width="16.7109375" style="146" bestFit="1" customWidth="1"/>
    <col min="12545" max="12548" width="9.140625" style="146"/>
    <col min="12549" max="12549" width="9.85546875" style="146" customWidth="1"/>
    <col min="12550" max="12799" width="9.140625" style="146"/>
    <col min="12800" max="12800" width="16.7109375" style="146" bestFit="1" customWidth="1"/>
    <col min="12801" max="12804" width="9.140625" style="146"/>
    <col min="12805" max="12805" width="9.85546875" style="146" customWidth="1"/>
    <col min="12806" max="13055" width="9.140625" style="146"/>
    <col min="13056" max="13056" width="16.7109375" style="146" bestFit="1" customWidth="1"/>
    <col min="13057" max="13060" width="9.140625" style="146"/>
    <col min="13061" max="13061" width="9.85546875" style="146" customWidth="1"/>
    <col min="13062" max="13311" width="9.140625" style="146"/>
    <col min="13312" max="13312" width="16.7109375" style="146" bestFit="1" customWidth="1"/>
    <col min="13313" max="13316" width="9.140625" style="146"/>
    <col min="13317" max="13317" width="9.85546875" style="146" customWidth="1"/>
    <col min="13318" max="13567" width="9.140625" style="146"/>
    <col min="13568" max="13568" width="16.7109375" style="146" bestFit="1" customWidth="1"/>
    <col min="13569" max="13572" width="9.140625" style="146"/>
    <col min="13573" max="13573" width="9.85546875" style="146" customWidth="1"/>
    <col min="13574" max="13823" width="9.140625" style="146"/>
    <col min="13824" max="13824" width="16.7109375" style="146" bestFit="1" customWidth="1"/>
    <col min="13825" max="13828" width="9.140625" style="146"/>
    <col min="13829" max="13829" width="9.85546875" style="146" customWidth="1"/>
    <col min="13830" max="14079" width="9.140625" style="146"/>
    <col min="14080" max="14080" width="16.7109375" style="146" bestFit="1" customWidth="1"/>
    <col min="14081" max="14084" width="9.140625" style="146"/>
    <col min="14085" max="14085" width="9.85546875" style="146" customWidth="1"/>
    <col min="14086" max="14335" width="9.140625" style="146"/>
    <col min="14336" max="14336" width="16.7109375" style="146" bestFit="1" customWidth="1"/>
    <col min="14337" max="14340" width="9.140625" style="146"/>
    <col min="14341" max="14341" width="9.85546875" style="146" customWidth="1"/>
    <col min="14342" max="14591" width="9.140625" style="146"/>
    <col min="14592" max="14592" width="16.7109375" style="146" bestFit="1" customWidth="1"/>
    <col min="14593" max="14596" width="9.140625" style="146"/>
    <col min="14597" max="14597" width="9.85546875" style="146" customWidth="1"/>
    <col min="14598" max="14847" width="9.140625" style="146"/>
    <col min="14848" max="14848" width="16.7109375" style="146" bestFit="1" customWidth="1"/>
    <col min="14849" max="14852" width="9.140625" style="146"/>
    <col min="14853" max="14853" width="9.85546875" style="146" customWidth="1"/>
    <col min="14854" max="15103" width="9.140625" style="146"/>
    <col min="15104" max="15104" width="16.7109375" style="146" bestFit="1" customWidth="1"/>
    <col min="15105" max="15108" width="9.140625" style="146"/>
    <col min="15109" max="15109" width="9.85546875" style="146" customWidth="1"/>
    <col min="15110" max="15359" width="9.140625" style="146"/>
    <col min="15360" max="15360" width="16.7109375" style="146" bestFit="1" customWidth="1"/>
    <col min="15361" max="15364" width="9.140625" style="146"/>
    <col min="15365" max="15365" width="9.85546875" style="146" customWidth="1"/>
    <col min="15366" max="15615" width="9.140625" style="146"/>
    <col min="15616" max="15616" width="16.7109375" style="146" bestFit="1" customWidth="1"/>
    <col min="15617" max="15620" width="9.140625" style="146"/>
    <col min="15621" max="15621" width="9.85546875" style="146" customWidth="1"/>
    <col min="15622" max="15871" width="9.140625" style="146"/>
    <col min="15872" max="15872" width="16.7109375" style="146" bestFit="1" customWidth="1"/>
    <col min="15873" max="15876" width="9.140625" style="146"/>
    <col min="15877" max="15877" width="9.85546875" style="146" customWidth="1"/>
    <col min="15878" max="16127" width="9.140625" style="146"/>
    <col min="16128" max="16128" width="16.7109375" style="146" bestFit="1" customWidth="1"/>
    <col min="16129" max="16132" width="9.140625" style="146"/>
    <col min="16133" max="16133" width="9.85546875" style="146" customWidth="1"/>
    <col min="16134" max="16384" width="9.140625" style="146"/>
  </cols>
  <sheetData>
    <row r="1" spans="1:10">
      <c r="A1" s="144"/>
      <c r="B1" s="144"/>
      <c r="C1" s="144"/>
      <c r="D1" s="144"/>
      <c r="E1" s="144"/>
      <c r="F1" s="144"/>
      <c r="G1" s="144"/>
      <c r="H1" s="145" t="s">
        <v>154</v>
      </c>
      <c r="I1" s="144"/>
      <c r="J1" s="144"/>
    </row>
    <row r="2" spans="1:10">
      <c r="A2" s="144"/>
      <c r="B2" s="144"/>
      <c r="C2" s="144"/>
      <c r="D2" s="144"/>
      <c r="E2" s="144"/>
      <c r="F2" s="144"/>
      <c r="G2" s="144"/>
      <c r="H2" s="144"/>
      <c r="I2" s="144"/>
      <c r="J2" s="144"/>
    </row>
    <row r="3" spans="1:10">
      <c r="A3" s="144"/>
      <c r="B3" s="144"/>
      <c r="C3" s="144"/>
      <c r="D3" s="144"/>
      <c r="E3" s="144"/>
      <c r="F3" s="144"/>
      <c r="G3" s="144"/>
      <c r="H3" s="144"/>
      <c r="I3" s="144"/>
      <c r="J3" s="144"/>
    </row>
    <row r="4" spans="1:10">
      <c r="A4" s="144"/>
      <c r="B4" s="144"/>
      <c r="C4" s="144"/>
      <c r="D4" s="144"/>
      <c r="E4" s="144"/>
      <c r="F4" s="144" t="s">
        <v>155</v>
      </c>
      <c r="G4" s="144"/>
      <c r="H4" s="144"/>
      <c r="I4" s="144"/>
      <c r="J4" s="144"/>
    </row>
    <row r="5" spans="1:10" ht="15.75">
      <c r="A5" s="144"/>
      <c r="B5" s="401" t="s">
        <v>157</v>
      </c>
      <c r="C5" s="401"/>
      <c r="D5" s="401"/>
      <c r="E5" s="401"/>
      <c r="F5" s="401"/>
      <c r="G5" s="401"/>
      <c r="H5" s="401"/>
      <c r="I5" s="401"/>
      <c r="J5" s="144"/>
    </row>
    <row r="6" spans="1:10">
      <c r="A6" s="144"/>
      <c r="B6" s="144"/>
      <c r="C6" s="144"/>
      <c r="D6" s="144"/>
      <c r="E6" s="144"/>
      <c r="F6" s="144"/>
      <c r="G6" s="144"/>
      <c r="H6" s="144"/>
      <c r="I6" s="144"/>
      <c r="J6" s="144"/>
    </row>
    <row r="7" spans="1:10">
      <c r="A7" s="144"/>
      <c r="B7" s="150"/>
      <c r="C7" s="150"/>
      <c r="D7" s="150"/>
      <c r="E7" s="150"/>
      <c r="F7" s="150"/>
      <c r="G7" s="150"/>
      <c r="H7" s="144"/>
      <c r="I7" s="144"/>
      <c r="J7" s="144"/>
    </row>
    <row r="8" spans="1:10" ht="12.75" customHeight="1">
      <c r="A8" s="144"/>
      <c r="B8" s="402"/>
      <c r="C8" s="402"/>
      <c r="D8" s="402"/>
      <c r="E8" s="402"/>
      <c r="F8" s="402"/>
      <c r="G8" s="151"/>
      <c r="H8" s="144"/>
      <c r="I8" s="144"/>
      <c r="J8" s="144"/>
    </row>
    <row r="9" spans="1:10" ht="12.75" customHeight="1">
      <c r="A9" s="144"/>
      <c r="B9" s="402"/>
      <c r="C9" s="402"/>
      <c r="D9" s="402"/>
      <c r="E9" s="402"/>
      <c r="F9" s="402"/>
      <c r="G9" s="151"/>
      <c r="H9" s="144"/>
      <c r="I9" s="144"/>
      <c r="J9" s="144"/>
    </row>
    <row r="10" spans="1:10" ht="16.5">
      <c r="A10" s="144"/>
      <c r="B10" s="402"/>
      <c r="C10" s="402"/>
      <c r="D10" s="402"/>
      <c r="E10" s="402"/>
      <c r="F10" s="402"/>
      <c r="G10" s="151"/>
      <c r="H10" s="403"/>
      <c r="I10" s="403"/>
      <c r="J10" s="144"/>
    </row>
    <row r="11" spans="1:10" ht="16.5">
      <c r="A11" s="144"/>
      <c r="B11" s="402"/>
      <c r="C11" s="402"/>
      <c r="D11" s="402"/>
      <c r="E11" s="402"/>
      <c r="F11" s="402"/>
      <c r="G11" s="151"/>
      <c r="H11" s="403"/>
      <c r="I11" s="403"/>
      <c r="J11" s="144"/>
    </row>
    <row r="12" spans="1:10" ht="16.5" customHeight="1">
      <c r="A12" s="144"/>
      <c r="B12" s="402"/>
      <c r="C12" s="402"/>
      <c r="D12" s="402"/>
      <c r="E12" s="402"/>
      <c r="F12" s="402"/>
      <c r="G12" s="150"/>
      <c r="H12" s="144"/>
      <c r="I12" s="144"/>
      <c r="J12" s="144"/>
    </row>
    <row r="13" spans="1:10">
      <c r="A13" s="144"/>
      <c r="B13" s="150"/>
      <c r="C13" s="150"/>
      <c r="D13" s="150"/>
      <c r="E13" s="150"/>
      <c r="F13" s="150"/>
      <c r="G13" s="150"/>
      <c r="H13" s="144"/>
      <c r="I13" s="144"/>
      <c r="J13" s="144"/>
    </row>
    <row r="14" spans="1:10">
      <c r="A14" s="144"/>
      <c r="B14" s="150"/>
      <c r="C14" s="150"/>
      <c r="D14" s="150"/>
      <c r="E14" s="150"/>
      <c r="F14" s="150"/>
      <c r="G14" s="150"/>
      <c r="H14" s="144"/>
      <c r="I14" s="144"/>
      <c r="J14" s="144"/>
    </row>
    <row r="15" spans="1:10">
      <c r="A15" s="144"/>
      <c r="B15" s="144"/>
      <c r="C15" s="144"/>
      <c r="D15" s="144"/>
      <c r="E15" s="144"/>
      <c r="F15" s="144"/>
      <c r="G15" s="144"/>
      <c r="H15" s="144"/>
      <c r="I15" s="144"/>
      <c r="J15" s="144"/>
    </row>
    <row r="16" spans="1:10" ht="20.25">
      <c r="A16" s="147"/>
      <c r="B16" s="404" t="s">
        <v>162</v>
      </c>
      <c r="C16" s="404"/>
      <c r="D16" s="404"/>
      <c r="E16" s="404"/>
      <c r="F16" s="404"/>
      <c r="G16" s="404"/>
      <c r="H16" s="404"/>
      <c r="I16" s="404"/>
      <c r="J16" s="147"/>
    </row>
    <row r="17" spans="1:10" ht="16.5" customHeight="1">
      <c r="A17" s="147"/>
      <c r="B17" s="147"/>
      <c r="C17" s="148"/>
      <c r="D17" s="148"/>
      <c r="E17" s="400"/>
      <c r="F17" s="400"/>
      <c r="G17" s="400"/>
      <c r="H17" s="148"/>
      <c r="I17" s="148"/>
      <c r="J17" s="147"/>
    </row>
    <row r="18" spans="1:10" ht="12.75" customHeight="1">
      <c r="A18" s="147"/>
      <c r="B18" s="147"/>
      <c r="C18" s="149"/>
      <c r="D18" s="149"/>
      <c r="E18" s="149"/>
      <c r="F18" s="149"/>
      <c r="G18" s="149"/>
      <c r="H18" s="149"/>
      <c r="I18" s="149"/>
      <c r="J18" s="147"/>
    </row>
    <row r="19" spans="1:10" ht="25.5" customHeight="1">
      <c r="A19" s="147"/>
      <c r="B19" s="397" t="s">
        <v>156</v>
      </c>
      <c r="C19" s="397"/>
      <c r="D19" s="397"/>
      <c r="E19" s="397"/>
      <c r="F19" s="397"/>
      <c r="G19" s="397"/>
      <c r="H19" s="397"/>
      <c r="I19" s="397"/>
      <c r="J19" s="147"/>
    </row>
    <row r="20" spans="1:10" ht="12.75" customHeight="1">
      <c r="A20" s="147"/>
      <c r="B20" s="149"/>
      <c r="C20" s="149"/>
      <c r="D20" s="149"/>
      <c r="E20" s="149"/>
      <c r="F20" s="149"/>
      <c r="G20" s="149"/>
      <c r="H20" s="149"/>
      <c r="I20" s="149"/>
      <c r="J20" s="147"/>
    </row>
    <row r="21" spans="1:10" ht="12.75" customHeight="1">
      <c r="A21" s="147"/>
      <c r="B21" s="149"/>
      <c r="C21" s="149"/>
      <c r="D21" s="149"/>
      <c r="E21" s="149"/>
      <c r="F21" s="149"/>
      <c r="G21" s="149"/>
      <c r="H21" s="149"/>
      <c r="I21" s="149"/>
      <c r="J21" s="147"/>
    </row>
    <row r="22" spans="1:10" ht="20.25" customHeight="1">
      <c r="A22" s="147"/>
      <c r="B22" s="399" t="s">
        <v>158</v>
      </c>
      <c r="C22" s="399"/>
      <c r="D22" s="399"/>
      <c r="E22" s="399"/>
      <c r="F22" s="399"/>
      <c r="G22" s="399"/>
      <c r="H22" s="399"/>
      <c r="I22" s="399"/>
      <c r="J22" s="147"/>
    </row>
    <row r="23" spans="1:10" ht="20.25">
      <c r="A23" s="147"/>
      <c r="B23" s="399"/>
      <c r="C23" s="399"/>
      <c r="D23" s="399"/>
      <c r="E23" s="399"/>
      <c r="F23" s="399"/>
      <c r="G23" s="399"/>
      <c r="H23" s="399"/>
      <c r="I23" s="399"/>
      <c r="J23" s="147"/>
    </row>
    <row r="24" spans="1:10">
      <c r="A24" s="147"/>
      <c r="B24" s="147"/>
      <c r="C24" s="147"/>
      <c r="D24" s="147"/>
      <c r="E24" s="147"/>
      <c r="F24" s="147"/>
      <c r="G24" s="147"/>
      <c r="H24" s="147"/>
      <c r="I24" s="147"/>
      <c r="J24" s="147"/>
    </row>
    <row r="25" spans="1:10" ht="20.25">
      <c r="A25" s="147"/>
      <c r="B25" s="399" t="s">
        <v>159</v>
      </c>
      <c r="C25" s="399"/>
      <c r="D25" s="399"/>
      <c r="E25" s="399"/>
      <c r="F25" s="399"/>
      <c r="G25" s="399"/>
      <c r="H25" s="399"/>
      <c r="I25" s="399"/>
      <c r="J25" s="147"/>
    </row>
    <row r="26" spans="1:10">
      <c r="A26" s="147"/>
      <c r="B26" s="147"/>
      <c r="C26" s="147"/>
      <c r="D26" s="147"/>
      <c r="E26" s="147"/>
      <c r="F26" s="147"/>
      <c r="G26" s="147"/>
      <c r="H26" s="147"/>
      <c r="I26" s="147"/>
      <c r="J26" s="147"/>
    </row>
    <row r="27" spans="1:10">
      <c r="A27" s="147"/>
      <c r="B27" s="147"/>
      <c r="C27" s="147"/>
      <c r="D27" s="147"/>
      <c r="E27" s="147"/>
      <c r="F27" s="147"/>
      <c r="G27" s="147"/>
      <c r="H27" s="147"/>
      <c r="I27" s="147"/>
      <c r="J27" s="147"/>
    </row>
    <row r="28" spans="1:10" ht="12.75" customHeight="1">
      <c r="A28" s="398"/>
      <c r="B28" s="398"/>
      <c r="C28" s="398"/>
      <c r="D28" s="398"/>
      <c r="E28" s="398"/>
      <c r="F28" s="398"/>
      <c r="G28" s="398"/>
      <c r="H28" s="398"/>
      <c r="I28" s="398"/>
      <c r="J28" s="398"/>
    </row>
    <row r="29" spans="1:10" ht="12.75" customHeight="1">
      <c r="A29" s="398"/>
      <c r="B29" s="398"/>
      <c r="C29" s="398"/>
      <c r="D29" s="398"/>
      <c r="E29" s="398"/>
      <c r="F29" s="398"/>
      <c r="G29" s="398"/>
      <c r="H29" s="398"/>
      <c r="I29" s="398"/>
      <c r="J29" s="398"/>
    </row>
    <row r="30" spans="1:10" ht="12.75" customHeight="1">
      <c r="A30" s="398"/>
      <c r="B30" s="398"/>
      <c r="C30" s="398"/>
      <c r="D30" s="398"/>
      <c r="E30" s="398"/>
      <c r="F30" s="398"/>
      <c r="G30" s="398"/>
      <c r="H30" s="398"/>
      <c r="I30" s="398"/>
      <c r="J30" s="398"/>
    </row>
    <row r="31" spans="1:10" ht="12.75" customHeight="1">
      <c r="A31" s="398"/>
      <c r="B31" s="398"/>
      <c r="C31" s="398"/>
      <c r="D31" s="398"/>
      <c r="E31" s="398"/>
      <c r="F31" s="398"/>
      <c r="G31" s="398"/>
      <c r="H31" s="398"/>
      <c r="I31" s="398"/>
      <c r="J31" s="398"/>
    </row>
    <row r="32" spans="1:10" ht="12.75" customHeight="1">
      <c r="A32" s="398"/>
      <c r="B32" s="398"/>
      <c r="C32" s="398"/>
      <c r="D32" s="398"/>
      <c r="E32" s="398"/>
      <c r="F32" s="398"/>
      <c r="G32" s="398"/>
      <c r="H32" s="398"/>
      <c r="I32" s="398"/>
      <c r="J32" s="398"/>
    </row>
    <row r="33" spans="1:10" ht="12.75" customHeight="1">
      <c r="A33" s="398"/>
      <c r="B33" s="398"/>
      <c r="C33" s="398"/>
      <c r="D33" s="398"/>
      <c r="E33" s="398"/>
      <c r="F33" s="398"/>
      <c r="G33" s="398"/>
      <c r="H33" s="398"/>
      <c r="I33" s="398"/>
      <c r="J33" s="398"/>
    </row>
    <row r="34" spans="1:10" ht="12.75" customHeight="1">
      <c r="A34" s="398"/>
      <c r="B34" s="398"/>
      <c r="C34" s="398"/>
      <c r="D34" s="398"/>
      <c r="E34" s="398"/>
      <c r="F34" s="398"/>
      <c r="G34" s="398"/>
      <c r="H34" s="398"/>
      <c r="I34" s="398"/>
      <c r="J34" s="398"/>
    </row>
    <row r="35" spans="1:10" ht="12.75" customHeight="1">
      <c r="A35" s="398"/>
      <c r="B35" s="398"/>
      <c r="C35" s="398"/>
      <c r="D35" s="398"/>
      <c r="E35" s="398"/>
      <c r="F35" s="398"/>
      <c r="G35" s="398"/>
      <c r="H35" s="398"/>
      <c r="I35" s="398"/>
      <c r="J35" s="398"/>
    </row>
    <row r="36" spans="1:10">
      <c r="A36" s="147"/>
      <c r="B36" s="147"/>
      <c r="C36" s="147"/>
      <c r="D36" s="147"/>
      <c r="E36" s="147"/>
      <c r="F36" s="147"/>
      <c r="G36" s="147"/>
      <c r="H36" s="147"/>
      <c r="I36" s="147"/>
      <c r="J36" s="147"/>
    </row>
    <row r="37" spans="1:10">
      <c r="A37" s="147"/>
      <c r="B37" s="147"/>
      <c r="C37" s="147"/>
      <c r="D37" s="147"/>
      <c r="E37" s="147"/>
      <c r="F37" s="147"/>
      <c r="G37" s="147"/>
      <c r="H37" s="147"/>
      <c r="I37" s="147"/>
      <c r="J37" s="147"/>
    </row>
    <row r="38" spans="1:10">
      <c r="A38" s="147"/>
      <c r="B38" s="147"/>
      <c r="C38" s="147"/>
      <c r="D38" s="147"/>
      <c r="E38" s="147"/>
      <c r="F38" s="147"/>
      <c r="G38" s="147"/>
      <c r="H38" s="147"/>
      <c r="I38" s="147"/>
      <c r="J38" s="147"/>
    </row>
    <row r="39" spans="1:10" ht="20.25">
      <c r="A39" s="147"/>
      <c r="B39" s="399">
        <v>43252</v>
      </c>
      <c r="C39" s="399"/>
      <c r="D39" s="399"/>
      <c r="E39" s="399"/>
      <c r="F39" s="399"/>
      <c r="G39" s="399"/>
      <c r="H39" s="399"/>
      <c r="I39" s="399"/>
      <c r="J39" s="147"/>
    </row>
    <row r="40" spans="1:10">
      <c r="A40" s="147"/>
      <c r="B40" s="147"/>
      <c r="C40" s="147"/>
      <c r="D40" s="147"/>
      <c r="E40" s="147"/>
      <c r="F40" s="147"/>
      <c r="G40" s="147"/>
      <c r="H40" s="147"/>
      <c r="I40" s="147"/>
      <c r="J40" s="147"/>
    </row>
    <row r="41" spans="1:10">
      <c r="A41" s="147"/>
      <c r="B41" s="147"/>
      <c r="C41" s="147"/>
      <c r="D41" s="147"/>
      <c r="E41" s="147"/>
      <c r="F41" s="147"/>
      <c r="G41" s="147"/>
      <c r="H41" s="147"/>
      <c r="I41" s="147"/>
      <c r="J41" s="147"/>
    </row>
    <row r="42" spans="1:10">
      <c r="A42" s="147"/>
      <c r="B42" s="147"/>
      <c r="C42" s="147"/>
      <c r="D42" s="147"/>
      <c r="E42" s="147"/>
      <c r="F42" s="147"/>
      <c r="G42" s="147"/>
      <c r="H42" s="147"/>
      <c r="I42" s="147"/>
      <c r="J42" s="147"/>
    </row>
    <row r="43" spans="1:10">
      <c r="A43" s="147"/>
      <c r="B43" s="147"/>
      <c r="C43" s="147"/>
      <c r="D43" s="147"/>
      <c r="E43" s="147"/>
      <c r="F43" s="147"/>
      <c r="G43" s="147"/>
      <c r="H43" s="147"/>
      <c r="I43" s="147"/>
      <c r="J43" s="147"/>
    </row>
    <row r="44" spans="1:10">
      <c r="A44" s="147"/>
      <c r="B44" s="147"/>
      <c r="C44" s="147"/>
      <c r="D44" s="147"/>
      <c r="E44" s="147"/>
      <c r="F44" s="147"/>
      <c r="G44" s="147"/>
      <c r="H44" s="147"/>
      <c r="I44" s="147"/>
      <c r="J44" s="147"/>
    </row>
    <row r="45" spans="1:10">
      <c r="A45" s="147"/>
      <c r="B45" s="147"/>
      <c r="C45" s="147"/>
      <c r="D45" s="147"/>
      <c r="E45" s="147"/>
      <c r="F45" s="147"/>
      <c r="G45" s="147"/>
      <c r="H45" s="147"/>
      <c r="I45" s="147"/>
      <c r="J45" s="147"/>
    </row>
    <row r="46" spans="1:10">
      <c r="A46" s="147"/>
      <c r="B46" s="147"/>
      <c r="C46" s="147"/>
      <c r="D46" s="147"/>
      <c r="E46" s="147"/>
      <c r="F46" s="147"/>
      <c r="G46" s="147"/>
      <c r="H46" s="147"/>
      <c r="I46" s="147"/>
      <c r="J46" s="147"/>
    </row>
    <row r="47" spans="1:10">
      <c r="A47" s="147"/>
      <c r="B47" s="147"/>
      <c r="C47" s="147"/>
      <c r="D47" s="147"/>
      <c r="E47" s="147"/>
      <c r="F47" s="147"/>
      <c r="G47" s="147"/>
      <c r="H47" s="147"/>
      <c r="I47" s="147"/>
      <c r="J47" s="147"/>
    </row>
    <row r="48" spans="1:10">
      <c r="A48" s="147"/>
      <c r="B48" s="147"/>
      <c r="C48" s="147"/>
      <c r="D48" s="147"/>
      <c r="E48" s="147"/>
      <c r="F48" s="147"/>
      <c r="G48" s="147"/>
      <c r="H48" s="147"/>
      <c r="I48" s="147"/>
      <c r="J48" s="147"/>
    </row>
    <row r="49" spans="1:10">
      <c r="A49" s="147"/>
      <c r="B49" s="147"/>
      <c r="C49" s="147"/>
      <c r="D49" s="147"/>
      <c r="E49" s="147"/>
      <c r="F49" s="147"/>
      <c r="G49" s="147"/>
      <c r="H49" s="147"/>
      <c r="I49" s="147"/>
      <c r="J49" s="147"/>
    </row>
    <row r="50" spans="1:10">
      <c r="A50" s="147"/>
      <c r="B50" s="147"/>
      <c r="C50" s="147"/>
      <c r="D50" s="147"/>
      <c r="E50" s="147"/>
      <c r="F50" s="147"/>
      <c r="G50" s="147"/>
      <c r="H50" s="147"/>
      <c r="I50" s="147"/>
      <c r="J50" s="147"/>
    </row>
    <row r="51" spans="1:10">
      <c r="A51" s="147"/>
      <c r="B51" s="147"/>
      <c r="C51" s="147"/>
      <c r="D51" s="147"/>
      <c r="E51" s="147"/>
      <c r="F51" s="147"/>
      <c r="G51" s="147"/>
      <c r="H51" s="147"/>
      <c r="I51" s="147"/>
      <c r="J51" s="147"/>
    </row>
  </sheetData>
  <mergeCells count="12">
    <mergeCell ref="E17:G17"/>
    <mergeCell ref="B5:I5"/>
    <mergeCell ref="B8:F12"/>
    <mergeCell ref="H10:I10"/>
    <mergeCell ref="H11:I11"/>
    <mergeCell ref="B16:I16"/>
    <mergeCell ref="B19:I19"/>
    <mergeCell ref="A28:J35"/>
    <mergeCell ref="B23:I23"/>
    <mergeCell ref="B39:I39"/>
    <mergeCell ref="B22:I22"/>
    <mergeCell ref="B25:I25"/>
  </mergeCells>
  <printOptions horizontalCentered="1"/>
  <pageMargins left="0.7" right="0.7" top="0.75" bottom="0.75" header="0.3" footer="0.3"/>
  <pageSetup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F40"/>
  <sheetViews>
    <sheetView showGridLines="0" view="pageBreakPreview" topLeftCell="A16" zoomScale="60" zoomScaleNormal="100" workbookViewId="0">
      <selection activeCell="F32" sqref="F32"/>
    </sheetView>
  </sheetViews>
  <sheetFormatPr defaultRowHeight="12.75"/>
  <cols>
    <col min="1" max="1" width="17.140625" style="92" customWidth="1"/>
    <col min="2" max="2" width="10.85546875" style="92" customWidth="1"/>
    <col min="3" max="3" width="25.140625" style="92" customWidth="1"/>
    <col min="4" max="4" width="13.42578125" style="92" customWidth="1"/>
    <col min="5" max="5" width="12.28515625" style="92" customWidth="1"/>
    <col min="6" max="6" width="40" style="92" customWidth="1"/>
    <col min="7" max="16384" width="9.140625" style="92"/>
  </cols>
  <sheetData>
    <row r="2" spans="1:6" ht="21">
      <c r="A2" s="14" t="s">
        <v>82</v>
      </c>
    </row>
    <row r="3" spans="1:6" ht="15">
      <c r="A3" s="1" t="s">
        <v>87</v>
      </c>
    </row>
    <row r="4" spans="1:6" ht="15">
      <c r="A4" s="1" t="s">
        <v>84</v>
      </c>
    </row>
    <row r="5" spans="1:6" ht="15">
      <c r="A5" s="1" t="s">
        <v>85</v>
      </c>
    </row>
    <row r="6" spans="1:6" ht="15">
      <c r="A6" s="1" t="s">
        <v>83</v>
      </c>
    </row>
    <row r="7" spans="1:6" ht="15">
      <c r="A7" s="1" t="s">
        <v>86</v>
      </c>
    </row>
    <row r="9" spans="1:6" ht="21">
      <c r="A9" s="14" t="s">
        <v>123</v>
      </c>
    </row>
    <row r="11" spans="1:6" ht="30.75" customHeight="1">
      <c r="A11" s="93" t="s">
        <v>45</v>
      </c>
      <c r="B11" s="93" t="s">
        <v>32</v>
      </c>
      <c r="C11" s="93" t="s">
        <v>33</v>
      </c>
      <c r="D11" s="93" t="s">
        <v>34</v>
      </c>
      <c r="E11" s="93" t="s">
        <v>35</v>
      </c>
      <c r="F11" s="93" t="s">
        <v>36</v>
      </c>
    </row>
    <row r="12" spans="1:6" ht="15">
      <c r="A12" s="96"/>
      <c r="B12" s="95">
        <v>1</v>
      </c>
      <c r="C12" s="94" t="s">
        <v>39</v>
      </c>
      <c r="D12" s="96" t="s">
        <v>37</v>
      </c>
      <c r="E12" s="96" t="s">
        <v>97</v>
      </c>
      <c r="F12" s="94" t="s">
        <v>43</v>
      </c>
    </row>
    <row r="13" spans="1:6" ht="15">
      <c r="A13" s="96"/>
      <c r="B13" s="95">
        <v>2</v>
      </c>
      <c r="C13" s="94" t="s">
        <v>40</v>
      </c>
      <c r="D13" s="96" t="s">
        <v>38</v>
      </c>
      <c r="E13" s="97" t="s">
        <v>98</v>
      </c>
      <c r="F13" s="94" t="s">
        <v>46</v>
      </c>
    </row>
    <row r="14" spans="1:6" ht="30">
      <c r="A14" s="96"/>
      <c r="B14" s="95">
        <v>3</v>
      </c>
      <c r="C14" s="94" t="s">
        <v>41</v>
      </c>
      <c r="D14" s="96" t="s">
        <v>42</v>
      </c>
      <c r="E14" s="97" t="s">
        <v>99</v>
      </c>
      <c r="F14" s="94" t="s">
        <v>44</v>
      </c>
    </row>
    <row r="18" spans="1:6" ht="21">
      <c r="A18" s="14" t="s">
        <v>81</v>
      </c>
    </row>
    <row r="20" spans="1:6" ht="31.5">
      <c r="A20" s="93" t="s">
        <v>45</v>
      </c>
      <c r="B20" s="93" t="s">
        <v>32</v>
      </c>
      <c r="C20" s="93" t="s">
        <v>33</v>
      </c>
      <c r="D20" s="93" t="s">
        <v>34</v>
      </c>
      <c r="E20" s="93" t="s">
        <v>35</v>
      </c>
      <c r="F20" s="93" t="s">
        <v>36</v>
      </c>
    </row>
    <row r="21" spans="1:6" ht="27" customHeight="1">
      <c r="A21" s="405" t="s">
        <v>124</v>
      </c>
      <c r="B21" s="406"/>
      <c r="C21" s="406"/>
      <c r="D21" s="406"/>
      <c r="E21" s="406"/>
      <c r="F21" s="407"/>
    </row>
    <row r="22" spans="1:6" ht="30">
      <c r="A22" s="96"/>
      <c r="B22" s="95">
        <v>1</v>
      </c>
      <c r="C22" s="94" t="s">
        <v>48</v>
      </c>
      <c r="D22" s="96" t="s">
        <v>37</v>
      </c>
      <c r="E22" s="96" t="s">
        <v>49</v>
      </c>
      <c r="F22" s="94" t="s">
        <v>50</v>
      </c>
    </row>
    <row r="23" spans="1:6" ht="30">
      <c r="A23" s="96"/>
      <c r="B23" s="95">
        <f>B22+1</f>
        <v>2</v>
      </c>
      <c r="C23" s="94" t="s">
        <v>51</v>
      </c>
      <c r="D23" s="96" t="s">
        <v>37</v>
      </c>
      <c r="E23" s="97" t="s">
        <v>52</v>
      </c>
      <c r="F23" s="94" t="s">
        <v>53</v>
      </c>
    </row>
    <row r="24" spans="1:6" ht="30">
      <c r="A24" s="96"/>
      <c r="B24" s="95">
        <f>B23+1</f>
        <v>3</v>
      </c>
      <c r="C24" s="94" t="s">
        <v>115</v>
      </c>
      <c r="D24" s="96" t="s">
        <v>55</v>
      </c>
      <c r="E24" s="97" t="s">
        <v>56</v>
      </c>
      <c r="F24" s="94" t="s">
        <v>117</v>
      </c>
    </row>
    <row r="25" spans="1:6" ht="60">
      <c r="A25" s="96"/>
      <c r="B25" s="95">
        <f>B24+1</f>
        <v>4</v>
      </c>
      <c r="C25" s="94" t="s">
        <v>54</v>
      </c>
      <c r="D25" s="96" t="s">
        <v>55</v>
      </c>
      <c r="E25" s="97" t="s">
        <v>57</v>
      </c>
      <c r="F25" s="94" t="s">
        <v>58</v>
      </c>
    </row>
    <row r="26" spans="1:6" ht="45">
      <c r="A26" s="96"/>
      <c r="B26" s="95">
        <f>B25+1</f>
        <v>5</v>
      </c>
      <c r="C26" s="94" t="s">
        <v>76</v>
      </c>
      <c r="D26" s="96" t="s">
        <v>55</v>
      </c>
      <c r="E26" s="96" t="s">
        <v>116</v>
      </c>
      <c r="F26" s="94" t="s">
        <v>59</v>
      </c>
    </row>
    <row r="27" spans="1:6" ht="15">
      <c r="A27" s="135"/>
      <c r="B27" s="136"/>
      <c r="C27" s="137"/>
      <c r="D27" s="135"/>
      <c r="E27" s="135"/>
      <c r="F27" s="137"/>
    </row>
    <row r="28" spans="1:6" ht="31.5">
      <c r="A28" s="93" t="s">
        <v>45</v>
      </c>
      <c r="B28" s="93" t="s">
        <v>32</v>
      </c>
      <c r="C28" s="93" t="s">
        <v>33</v>
      </c>
      <c r="D28" s="93" t="s">
        <v>34</v>
      </c>
      <c r="E28" s="93" t="s">
        <v>35</v>
      </c>
      <c r="F28" s="93" t="s">
        <v>36</v>
      </c>
    </row>
    <row r="29" spans="1:6" ht="48.75" customHeight="1">
      <c r="A29" s="405" t="s">
        <v>125</v>
      </c>
      <c r="B29" s="406"/>
      <c r="C29" s="406"/>
      <c r="D29" s="406"/>
      <c r="E29" s="406"/>
      <c r="F29" s="407"/>
    </row>
    <row r="30" spans="1:6" ht="30">
      <c r="A30" s="96"/>
      <c r="B30" s="95">
        <f>B26+1</f>
        <v>6</v>
      </c>
      <c r="C30" s="94" t="s">
        <v>60</v>
      </c>
      <c r="D30" s="96" t="s">
        <v>61</v>
      </c>
      <c r="E30" s="96" t="s">
        <v>63</v>
      </c>
      <c r="F30" s="94" t="s">
        <v>80</v>
      </c>
    </row>
    <row r="31" spans="1:6" ht="30">
      <c r="A31" s="96"/>
      <c r="B31" s="95">
        <f t="shared" ref="B31:B39" si="0">B30+1</f>
        <v>7</v>
      </c>
      <c r="C31" s="94" t="s">
        <v>62</v>
      </c>
      <c r="D31" s="96" t="s">
        <v>65</v>
      </c>
      <c r="E31" s="96" t="s">
        <v>91</v>
      </c>
      <c r="F31" s="94" t="s">
        <v>79</v>
      </c>
    </row>
    <row r="32" spans="1:6" ht="60">
      <c r="A32" s="96"/>
      <c r="B32" s="95">
        <f t="shared" si="0"/>
        <v>8</v>
      </c>
      <c r="C32" s="94" t="s">
        <v>66</v>
      </c>
      <c r="D32" s="96" t="s">
        <v>65</v>
      </c>
      <c r="E32" s="96" t="s">
        <v>92</v>
      </c>
      <c r="F32" s="94" t="s">
        <v>78</v>
      </c>
    </row>
    <row r="33" spans="1:6" ht="45">
      <c r="A33" s="96"/>
      <c r="B33" s="95">
        <f t="shared" si="0"/>
        <v>9</v>
      </c>
      <c r="C33" s="94" t="s">
        <v>64</v>
      </c>
      <c r="D33" s="96" t="s">
        <v>61</v>
      </c>
      <c r="E33" s="96" t="s">
        <v>101</v>
      </c>
      <c r="F33" s="94" t="s">
        <v>88</v>
      </c>
    </row>
    <row r="34" spans="1:6" ht="30">
      <c r="A34" s="96"/>
      <c r="B34" s="95">
        <f t="shared" si="0"/>
        <v>10</v>
      </c>
      <c r="C34" s="94" t="s">
        <v>23</v>
      </c>
      <c r="D34" s="96" t="s">
        <v>61</v>
      </c>
      <c r="E34" s="96" t="s">
        <v>67</v>
      </c>
      <c r="F34" s="94" t="s">
        <v>77</v>
      </c>
    </row>
    <row r="35" spans="1:6" ht="30">
      <c r="A35" s="96"/>
      <c r="B35" s="95">
        <f t="shared" si="0"/>
        <v>11</v>
      </c>
      <c r="C35" s="94" t="s">
        <v>89</v>
      </c>
      <c r="D35" s="96" t="s">
        <v>61</v>
      </c>
      <c r="E35" s="96" t="s">
        <v>93</v>
      </c>
      <c r="F35" s="108" t="s">
        <v>96</v>
      </c>
    </row>
    <row r="36" spans="1:6" ht="30">
      <c r="A36" s="96"/>
      <c r="B36" s="95">
        <f t="shared" si="0"/>
        <v>12</v>
      </c>
      <c r="C36" s="94" t="s">
        <v>68</v>
      </c>
      <c r="D36" s="96" t="s">
        <v>61</v>
      </c>
      <c r="E36" s="96" t="s">
        <v>102</v>
      </c>
      <c r="F36" s="94" t="s">
        <v>72</v>
      </c>
    </row>
    <row r="37" spans="1:6" ht="30">
      <c r="A37" s="96"/>
      <c r="B37" s="95">
        <f t="shared" si="0"/>
        <v>13</v>
      </c>
      <c r="C37" s="94" t="s">
        <v>69</v>
      </c>
      <c r="D37" s="96" t="s">
        <v>61</v>
      </c>
      <c r="E37" s="96" t="s">
        <v>103</v>
      </c>
      <c r="F37" s="94" t="s">
        <v>73</v>
      </c>
    </row>
    <row r="38" spans="1:6" ht="30">
      <c r="A38" s="96"/>
      <c r="B38" s="95">
        <f t="shared" si="0"/>
        <v>14</v>
      </c>
      <c r="C38" s="94" t="s">
        <v>70</v>
      </c>
      <c r="D38" s="96" t="s">
        <v>61</v>
      </c>
      <c r="E38" s="96" t="s">
        <v>94</v>
      </c>
      <c r="F38" s="94" t="s">
        <v>74</v>
      </c>
    </row>
    <row r="39" spans="1:6" ht="30">
      <c r="A39" s="96"/>
      <c r="B39" s="95">
        <f t="shared" si="0"/>
        <v>15</v>
      </c>
      <c r="C39" s="94" t="s">
        <v>71</v>
      </c>
      <c r="D39" s="96" t="s">
        <v>61</v>
      </c>
      <c r="E39" s="96" t="s">
        <v>104</v>
      </c>
      <c r="F39" s="94" t="s">
        <v>75</v>
      </c>
    </row>
    <row r="40" spans="1:6" ht="45">
      <c r="A40" s="96"/>
      <c r="B40" s="95">
        <f>B39+1</f>
        <v>16</v>
      </c>
      <c r="C40" s="94" t="s">
        <v>12</v>
      </c>
      <c r="D40" s="96" t="s">
        <v>61</v>
      </c>
      <c r="E40" s="96" t="s">
        <v>105</v>
      </c>
      <c r="F40" s="108" t="s">
        <v>95</v>
      </c>
    </row>
  </sheetData>
  <mergeCells count="2">
    <mergeCell ref="A29:F29"/>
    <mergeCell ref="A21:F21"/>
  </mergeCells>
  <phoneticPr fontId="5" type="noConversion"/>
  <conditionalFormatting sqref="A12:A14 A21:A27 A29:A40">
    <cfRule type="cellIs" dxfId="2" priority="1" stopIfTrue="1" operator="equal">
      <formula>"X"</formula>
    </cfRule>
    <cfRule type="cellIs" dxfId="1" priority="2" stopIfTrue="1" operator="equal">
      <formula>"x"</formula>
    </cfRule>
  </conditionalFormatting>
  <printOptions horizontalCentered="1"/>
  <pageMargins left="0.75" right="0.75" top="1" bottom="1" header="0.5" footer="0.5"/>
  <pageSetup scale="6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pageSetUpPr fitToPage="1"/>
  </sheetPr>
  <dimension ref="A1:M62"/>
  <sheetViews>
    <sheetView showGridLines="0" tabSelected="1" view="pageBreakPreview" zoomScale="70" zoomScaleNormal="100" zoomScaleSheetLayoutView="70" workbookViewId="0">
      <selection activeCell="A19" sqref="A19"/>
    </sheetView>
  </sheetViews>
  <sheetFormatPr defaultColWidth="12.140625" defaultRowHeight="15"/>
  <cols>
    <col min="1" max="1" width="51.28515625" style="1" customWidth="1"/>
    <col min="2" max="10" width="20" style="1" customWidth="1"/>
    <col min="11" max="16384" width="12.140625" style="1"/>
  </cols>
  <sheetData>
    <row r="1" spans="1:13">
      <c r="B1" s="13"/>
    </row>
    <row r="2" spans="1:13" ht="21">
      <c r="A2" s="14" t="s">
        <v>3</v>
      </c>
      <c r="B2" s="410" t="s">
        <v>162</v>
      </c>
      <c r="C2" s="411"/>
      <c r="D2" s="411"/>
      <c r="E2" s="412"/>
    </row>
    <row r="3" spans="1:13">
      <c r="B3" s="13"/>
    </row>
    <row r="4" spans="1:13" ht="18.75">
      <c r="A4" s="9" t="s">
        <v>5</v>
      </c>
      <c r="B4" s="413">
        <f>'Title Page'!B39:I39</f>
        <v>43252</v>
      </c>
      <c r="C4" s="414"/>
    </row>
    <row r="5" spans="1:13">
      <c r="B5" s="13"/>
    </row>
    <row r="6" spans="1:13" ht="18.75">
      <c r="A6" s="9" t="s">
        <v>18</v>
      </c>
      <c r="B6" s="2">
        <f>C6 - 1</f>
        <v>2010</v>
      </c>
      <c r="C6" s="2">
        <f>'Facility Detail'!$B$1752</f>
        <v>2011</v>
      </c>
      <c r="D6" s="2">
        <f>C6+1</f>
        <v>2012</v>
      </c>
      <c r="E6" s="2">
        <f>D6+1</f>
        <v>2013</v>
      </c>
      <c r="F6" s="2">
        <f>E6+1</f>
        <v>2014</v>
      </c>
      <c r="G6" s="2">
        <f>F6+1</f>
        <v>2015</v>
      </c>
      <c r="H6" s="2">
        <f>G6+1</f>
        <v>2016</v>
      </c>
      <c r="I6" s="2">
        <v>2017</v>
      </c>
      <c r="J6" s="2">
        <v>2018</v>
      </c>
      <c r="K6" s="22"/>
      <c r="L6" s="22"/>
      <c r="M6" s="22"/>
    </row>
    <row r="7" spans="1:13">
      <c r="A7" s="90" t="s">
        <v>11</v>
      </c>
      <c r="B7" s="317">
        <v>3984631</v>
      </c>
      <c r="C7" s="318">
        <v>4005863</v>
      </c>
      <c r="D7" s="318">
        <v>4041898</v>
      </c>
      <c r="E7" s="318">
        <v>4092688</v>
      </c>
      <c r="F7" s="319">
        <v>4117646</v>
      </c>
      <c r="G7" s="319">
        <v>4108270</v>
      </c>
      <c r="H7" s="319">
        <v>3981653.9279999998</v>
      </c>
      <c r="I7" s="372">
        <v>4221298</v>
      </c>
      <c r="J7" s="394"/>
      <c r="K7" s="15"/>
      <c r="L7" s="15"/>
      <c r="M7" s="15"/>
    </row>
    <row r="8" spans="1:13">
      <c r="A8" s="90" t="s">
        <v>9</v>
      </c>
      <c r="B8" s="109"/>
      <c r="C8" s="110">
        <v>0</v>
      </c>
      <c r="D8" s="110">
        <v>0.03</v>
      </c>
      <c r="E8" s="110">
        <v>0.03</v>
      </c>
      <c r="F8" s="110">
        <v>0.03</v>
      </c>
      <c r="G8" s="110">
        <v>0.03</v>
      </c>
      <c r="H8" s="110">
        <v>0.09</v>
      </c>
      <c r="I8" s="373">
        <v>0.09</v>
      </c>
      <c r="J8" s="373">
        <v>0.09</v>
      </c>
      <c r="K8" s="23"/>
      <c r="L8" s="23"/>
      <c r="M8" s="23"/>
    </row>
    <row r="9" spans="1:13">
      <c r="A9" s="84" t="s">
        <v>7</v>
      </c>
      <c r="B9" s="262"/>
      <c r="C9" s="263">
        <f>ROUND(C7 * C8,0)</f>
        <v>0</v>
      </c>
      <c r="D9" s="263">
        <f t="shared" ref="D9:J9" si="0" xml:space="preserve"> IF( SUM(B7:C7) = 0, 0, AVERAGE(B7:C7) * D8 )</f>
        <v>119857.40999999999</v>
      </c>
      <c r="E9" s="263">
        <f t="shared" si="0"/>
        <v>120716.41499999999</v>
      </c>
      <c r="F9" s="263">
        <f t="shared" si="0"/>
        <v>122018.79</v>
      </c>
      <c r="G9" s="263">
        <f t="shared" si="0"/>
        <v>123155.01</v>
      </c>
      <c r="H9" s="263">
        <f t="shared" si="0"/>
        <v>370166.22</v>
      </c>
      <c r="I9" s="262">
        <f t="shared" si="0"/>
        <v>364046.57675999997</v>
      </c>
      <c r="J9" s="262">
        <f t="shared" si="0"/>
        <v>369132.83675999998</v>
      </c>
      <c r="K9" s="23"/>
      <c r="L9" s="23"/>
      <c r="M9" s="23"/>
    </row>
    <row r="10" spans="1:13">
      <c r="E10" s="156"/>
      <c r="F10" s="156"/>
      <c r="G10" s="156"/>
      <c r="H10" s="156"/>
      <c r="I10" s="374"/>
      <c r="J10" s="374"/>
      <c r="K10" s="24"/>
      <c r="L10" s="24"/>
      <c r="M10" s="24"/>
    </row>
    <row r="11" spans="1:13" ht="18.75">
      <c r="A11" s="9" t="s">
        <v>19</v>
      </c>
      <c r="B11" s="2">
        <f>C11 - 1</f>
        <v>2010</v>
      </c>
      <c r="C11" s="2">
        <f>'Facility Detail'!$B$1752</f>
        <v>2011</v>
      </c>
      <c r="D11" s="2">
        <f t="shared" ref="D11:J11" si="1">C11+1</f>
        <v>2012</v>
      </c>
      <c r="E11" s="2">
        <f t="shared" si="1"/>
        <v>2013</v>
      </c>
      <c r="F11" s="2">
        <f t="shared" si="1"/>
        <v>2014</v>
      </c>
      <c r="G11" s="2">
        <f t="shared" si="1"/>
        <v>2015</v>
      </c>
      <c r="H11" s="2">
        <f t="shared" si="1"/>
        <v>2016</v>
      </c>
      <c r="I11" s="350">
        <f t="shared" si="1"/>
        <v>2017</v>
      </c>
      <c r="J11" s="350">
        <f t="shared" si="1"/>
        <v>2018</v>
      </c>
      <c r="K11" s="24"/>
      <c r="L11" s="24"/>
      <c r="M11" s="24"/>
    </row>
    <row r="12" spans="1:13">
      <c r="A12" s="90" t="s">
        <v>31</v>
      </c>
      <c r="B12" s="72"/>
      <c r="C12" s="11">
        <f xml:space="preserve"> 'Facility Detail'!D51 + 'Facility Detail'!D95 + 'Facility Detail'!D139 + 'Facility Detail'!D183 + 'Facility Detail'!D227 + 'Facility Detail'!D271 + 'Facility Detail'!D315 + 'Facility Detail'!D353 + 'Facility Detail'!D391 + 'Facility Detail'!D435 + 'Facility Detail'!D479 + 'Facility Detail'!D523 + 'Facility Detail'!D567 + 'Facility Detail'!D611 + 'Facility Detail'!D653 + 'Facility Detail'!D697 + 'Facility Detail'!D741 + 'Facility Detail'!D785 + 'Facility Detail'!D829 + 'Facility Detail'!D871 + 'Facility Detail'!D911 + 'Facility Detail'!D953 + 'Facility Detail'!D995 + 'Facility Detail'!D1037 + 'Facility Detail'!D1079 + 'Facility Detail'!D1121 + 'Facility Detail'!D1163 + 'Facility Detail'!D1205 + 'Facility Detail'!D1247 + 'Facility Detail'!D1288</f>
        <v>104826</v>
      </c>
      <c r="D12" s="11">
        <f xml:space="preserve"> 'Facility Detail'!E51 + 'Facility Detail'!E95 + 'Facility Detail'!E139 + 'Facility Detail'!E183 + 'Facility Detail'!E227 + 'Facility Detail'!E271 + 'Facility Detail'!E315 + 'Facility Detail'!E353 + 'Facility Detail'!E391 + 'Facility Detail'!E435 + 'Facility Detail'!E479 + 'Facility Detail'!E523 + 'Facility Detail'!E567 + 'Facility Detail'!E611 + 'Facility Detail'!E653 + 'Facility Detail'!E697 + 'Facility Detail'!E741 + 'Facility Detail'!E785 + 'Facility Detail'!E829 + 'Facility Detail'!E871 + 'Facility Detail'!E911 + 'Facility Detail'!E953 + 'Facility Detail'!E995 + 'Facility Detail'!E1037 + 'Facility Detail'!E1079 + 'Facility Detail'!E1121 + 'Facility Detail'!E1163 + 'Facility Detail'!E1205 + 'Facility Detail'!E1247 + 'Facility Detail'!E1288</f>
        <v>107711</v>
      </c>
      <c r="E12" s="11">
        <f xml:space="preserve"> 'Facility Detail'!F51 + 'Facility Detail'!F95 + 'Facility Detail'!F139 + 'Facility Detail'!F183 + 'Facility Detail'!F227 + 'Facility Detail'!F271 + 'Facility Detail'!F315 + 'Facility Detail'!F353 + 'Facility Detail'!F391 + 'Facility Detail'!F435 + 'Facility Detail'!F479 + 'Facility Detail'!F523 + 'Facility Detail'!F567 + 'Facility Detail'!F611 + 'Facility Detail'!F653 + 'Facility Detail'!F697 + 'Facility Detail'!F741 + 'Facility Detail'!F785 + 'Facility Detail'!F829 + 'Facility Detail'!F871 + 'Facility Detail'!F911 + 'Facility Detail'!F953 + 'Facility Detail'!F995 + 'Facility Detail'!F1037 + 'Facility Detail'!F1079 + 'Facility Detail'!F1121 + 'Facility Detail'!F1163 + 'Facility Detail'!F1205 + 'Facility Detail'!F1247 + 'Facility Detail'!F1288</f>
        <v>107158</v>
      </c>
      <c r="F12" s="11">
        <f xml:space="preserve"> 'Facility Detail'!G51 + 'Facility Detail'!G95 + 'Facility Detail'!G139 + 'Facility Detail'!G183 + 'Facility Detail'!G227 + 'Facility Detail'!G271 + 'Facility Detail'!G315 + 'Facility Detail'!G353 + 'Facility Detail'!G391 + 'Facility Detail'!G435 + 'Facility Detail'!G479 + 'Facility Detail'!G523 + 'Facility Detail'!G567 + 'Facility Detail'!G611 + 'Facility Detail'!G653 + 'Facility Detail'!G697 + 'Facility Detail'!G741 + 'Facility Detail'!G785 + 'Facility Detail'!G829 + 'Facility Detail'!G871 + 'Facility Detail'!G911 + 'Facility Detail'!G953 + 'Facility Detail'!G995 + 'Facility Detail'!G1037 + 'Facility Detail'!G1079 + 'Facility Detail'!G1121 + 'Facility Detail'!G1163 + 'Facility Detail'!G1205 + 'Facility Detail'!G1247 + 'Facility Detail'!G1288</f>
        <v>114902</v>
      </c>
      <c r="G12" s="11">
        <f xml:space="preserve"> 'Facility Detail'!H51 + 'Facility Detail'!H95 + 'Facility Detail'!H139 + 'Facility Detail'!H183 + 'Facility Detail'!H227 + 'Facility Detail'!H271 + 'Facility Detail'!H315 + 'Facility Detail'!H353 + 'Facility Detail'!H391 + 'Facility Detail'!H435 + 'Facility Detail'!H479 + 'Facility Detail'!H523 + 'Facility Detail'!H567 + 'Facility Detail'!H611 + 'Facility Detail'!H653 + 'Facility Detail'!H697 + 'Facility Detail'!H741 + 'Facility Detail'!H785 + 'Facility Detail'!H829 + 'Facility Detail'!H871 + 'Facility Detail'!H911 + 'Facility Detail'!H953 + 'Facility Detail'!H995 + 'Facility Detail'!H1037 + 'Facility Detail'!H1079 + 'Facility Detail'!H1121 + 'Facility Detail'!H1163 + 'Facility Detail'!H1205 + 'Facility Detail'!H1247 + 'Facility Detail'!H1288</f>
        <v>270792</v>
      </c>
      <c r="H12" s="194">
        <f>'Facility Detail'!I51+'Facility Detail'!I95+'Facility Detail'!I139+'Facility Detail'!I183+'Facility Detail'!I227+'Facility Detail'!I271+'Facility Detail'!I315+'Facility Detail'!I353+'Facility Detail'!I391+'Facility Detail'!I435+'Facility Detail'!I479+'Facility Detail'!I523+'Facility Detail'!I567+'Facility Detail'!I611+'Facility Detail'!I653+'Facility Detail'!I697+'Facility Detail'!I741+'Facility Detail'!I785+'Facility Detail'!I829+'Facility Detail'!I871+'Facility Detail'!I911+'Facility Detail'!I953+'Facility Detail'!I995+'Facility Detail'!I1037+'Facility Detail'!I1079+'Facility Detail'!I1121+'Facility Detail'!I1163+'Facility Detail'!I1205+'Facility Detail'!I1247+'Facility Detail'!I1288+'Facility Detail'!I1329+'Facility Detail'!I1370+'Facility Detail'!I1411+'Facility Detail'!I1454+'Facility Detail'!I1497+'Facility Detail'!I1581+'Facility Detail'!I1623</f>
        <v>373982.40669669915</v>
      </c>
      <c r="I12" s="375">
        <v>285492</v>
      </c>
      <c r="J12" s="395"/>
      <c r="K12" s="25"/>
      <c r="L12" s="25"/>
      <c r="M12" s="25"/>
    </row>
    <row r="13" spans="1:13">
      <c r="A13" s="90" t="s">
        <v>122</v>
      </c>
      <c r="B13" s="81"/>
      <c r="C13" s="82">
        <f xml:space="preserve"> 'Facility Detail'!D56 + 'Facility Detail'!D100 + 'Facility Detail'!D144 + 'Facility Detail'!D188 + 'Facility Detail'!D232 + 'Facility Detail'!D276 + 'Facility Detail'!D320 + 'Facility Detail'!D358 + 'Facility Detail'!D396 + 'Facility Detail'!D440 + 'Facility Detail'!D484 + 'Facility Detail'!D528 + 'Facility Detail'!D572 + 'Facility Detail'!D616 + 'Facility Detail'!D658 + 'Facility Detail'!D702 + 'Facility Detail'!D746 + 'Facility Detail'!D790 + 'Facility Detail'!D834 + 'Facility Detail'!D876 + 'Facility Detail'!D916 + 'Facility Detail'!D958 + 'Facility Detail'!D1000 + 'Facility Detail'!D1042 + 'Facility Detail'!D1084 + 'Facility Detail'!D1126 + 'Facility Detail'!D1168 + 'Facility Detail'!D1210 + 'Facility Detail'!D1252 + 'Facility Detail'!D1293</f>
        <v>0</v>
      </c>
      <c r="D13" s="82">
        <f xml:space="preserve"> 'Facility Detail'!E56 + 'Facility Detail'!E100 + 'Facility Detail'!E144 + 'Facility Detail'!E188 + 'Facility Detail'!E232 + 'Facility Detail'!E276 + 'Facility Detail'!E320 + 'Facility Detail'!E358 + 'Facility Detail'!E396 + 'Facility Detail'!E440 + 'Facility Detail'!E484 + 'Facility Detail'!E528 + 'Facility Detail'!E572 + 'Facility Detail'!E616 + 'Facility Detail'!E658 + 'Facility Detail'!E702 + 'Facility Detail'!E746 + 'Facility Detail'!E790 + 'Facility Detail'!E834 + 'Facility Detail'!E876 + 'Facility Detail'!E916 + 'Facility Detail'!E958 + 'Facility Detail'!E1000 + 'Facility Detail'!E1042 + 'Facility Detail'!E1084 + 'Facility Detail'!E1126 + 'Facility Detail'!E1168 + 'Facility Detail'!E1210 + 'Facility Detail'!E1252 + 'Facility Detail'!E1293</f>
        <v>0</v>
      </c>
      <c r="E13" s="82">
        <f xml:space="preserve"> 'Facility Detail'!F56 + 'Facility Detail'!F100 + 'Facility Detail'!F144 + 'Facility Detail'!F188 + 'Facility Detail'!F232 + 'Facility Detail'!F276 + 'Facility Detail'!F320 + 'Facility Detail'!F358 + 'Facility Detail'!F396 + 'Facility Detail'!F440 + 'Facility Detail'!F484 + 'Facility Detail'!F528 + 'Facility Detail'!F572 + 'Facility Detail'!F616 + 'Facility Detail'!F658 + 'Facility Detail'!F702 + 'Facility Detail'!F746 + 'Facility Detail'!F790 + 'Facility Detail'!F834 + 'Facility Detail'!F876 + 'Facility Detail'!F916 + 'Facility Detail'!F958 + 'Facility Detail'!F1000 + 'Facility Detail'!F1042 + 'Facility Detail'!F1084 + 'Facility Detail'!F1126 + 'Facility Detail'!F1168 + 'Facility Detail'!F1210 + 'Facility Detail'!F1252 + 'Facility Detail'!F1293</f>
        <v>0</v>
      </c>
      <c r="F13" s="197">
        <f xml:space="preserve"> 'Facility Detail'!G56 + 'Facility Detail'!G100 + 'Facility Detail'!G144 + 'Facility Detail'!G188 + 'Facility Detail'!G232 + 'Facility Detail'!G276 + 'Facility Detail'!G320 + 'Facility Detail'!G358 + 'Facility Detail'!G396 + 'Facility Detail'!G440 + 'Facility Detail'!G484 + 'Facility Detail'!G528 + 'Facility Detail'!G572 + 'Facility Detail'!G616 + 'Facility Detail'!G658 + 'Facility Detail'!G702 + 'Facility Detail'!G746 + 'Facility Detail'!G790 + 'Facility Detail'!G834 + 'Facility Detail'!G876 + 'Facility Detail'!G916 + 'Facility Detail'!G958 + 'Facility Detail'!G1000 + 'Facility Detail'!G1042 + 'Facility Detail'!G1084 + 'Facility Detail'!G1126 + 'Facility Detail'!G1168 + 'Facility Detail'!G1210 + 'Facility Detail'!G1252 + 'Facility Detail'!G1293</f>
        <v>0</v>
      </c>
      <c r="G13" s="197">
        <f xml:space="preserve"> 'Facility Detail'!H56 + 'Facility Detail'!H100 + 'Facility Detail'!H144 + 'Facility Detail'!H188 + 'Facility Detail'!H232 + 'Facility Detail'!H276 + 'Facility Detail'!H320 + 'Facility Detail'!H358 + 'Facility Detail'!H396 + 'Facility Detail'!H440 + 'Facility Detail'!H484 + 'Facility Detail'!H528 + 'Facility Detail'!H572 + 'Facility Detail'!H616 + 'Facility Detail'!H658 + 'Facility Detail'!H702 + 'Facility Detail'!H746 + 'Facility Detail'!H790 + 'Facility Detail'!H834 + 'Facility Detail'!H876 + 'Facility Detail'!H916 + 'Facility Detail'!H958 + 'Facility Detail'!H1000 + 'Facility Detail'!H1042 + 'Facility Detail'!H1084 + 'Facility Detail'!H1126 + 'Facility Detail'!H1168 + 'Facility Detail'!H1210 + 'Facility Detail'!H1252 + 'Facility Detail'!H1293</f>
        <v>0</v>
      </c>
      <c r="H13" s="255">
        <f xml:space="preserve"> 'Facility Detail'!I56 + 'Facility Detail'!I100 + 'Facility Detail'!I144 + 'Facility Detail'!I188 + 'Facility Detail'!I232 + 'Facility Detail'!I276 + 'Facility Detail'!I320 + 'Facility Detail'!I358 + 'Facility Detail'!I396 + 'Facility Detail'!I440 + 'Facility Detail'!I484 + 'Facility Detail'!I528 + 'Facility Detail'!I572 + 'Facility Detail'!I616 + 'Facility Detail'!I658 + 'Facility Detail'!I702 + 'Facility Detail'!I746 + 'Facility Detail'!I790 + 'Facility Detail'!I834 + 'Facility Detail'!I876 + 'Facility Detail'!I916 + 'Facility Detail'!I958 + 'Facility Detail'!I1000 + 'Facility Detail'!I1042 + 'Facility Detail'!I1084 + 'Facility Detail'!I1126 + 'Facility Detail'!I1168 + 'Facility Detail'!I1210 + 'Facility Detail'!I1252 + 'Facility Detail'!I1293</f>
        <v>0</v>
      </c>
      <c r="I13" s="376">
        <f xml:space="preserve"> 'Facility Detail'!J56 + 'Facility Detail'!J100 + 'Facility Detail'!J144 + 'Facility Detail'!J188 + 'Facility Detail'!J232 + 'Facility Detail'!J276 + 'Facility Detail'!J320 + 'Facility Detail'!J358 + 'Facility Detail'!J396 + 'Facility Detail'!J440 + 'Facility Detail'!J484 + 'Facility Detail'!J528 + 'Facility Detail'!J572 + 'Facility Detail'!J616 + 'Facility Detail'!J658 + 'Facility Detail'!J702 + 'Facility Detail'!J746 + 'Facility Detail'!J790 + 'Facility Detail'!J834 + 'Facility Detail'!J876 + 'Facility Detail'!J916 + 'Facility Detail'!J958 + 'Facility Detail'!J1000 + 'Facility Detail'!J1042 + 'Facility Detail'!J1084 + 'Facility Detail'!J1126 + 'Facility Detail'!J1168 + 'Facility Detail'!J1210 + 'Facility Detail'!J1252 + 'Facility Detail'!J1293</f>
        <v>0</v>
      </c>
      <c r="J13" s="376">
        <f xml:space="preserve"> 'Facility Detail'!K56 + 'Facility Detail'!K100 + 'Facility Detail'!K144 + 'Facility Detail'!K188 + 'Facility Detail'!K232 + 'Facility Detail'!K276 + 'Facility Detail'!K320 + 'Facility Detail'!K358 + 'Facility Detail'!K396 + 'Facility Detail'!K440 + 'Facility Detail'!K484 + 'Facility Detail'!K528 + 'Facility Detail'!K572 + 'Facility Detail'!K616 + 'Facility Detail'!K658 + 'Facility Detail'!K702 + 'Facility Detail'!K746 + 'Facility Detail'!K790 + 'Facility Detail'!K834 + 'Facility Detail'!K876 + 'Facility Detail'!K916 + 'Facility Detail'!K958 + 'Facility Detail'!K1000 + 'Facility Detail'!K1042 + 'Facility Detail'!K1084 + 'Facility Detail'!K1126 + 'Facility Detail'!K1168 + 'Facility Detail'!K1210 + 'Facility Detail'!K1252 + 'Facility Detail'!K1293</f>
        <v>0</v>
      </c>
      <c r="K13" s="25"/>
      <c r="L13" s="25"/>
      <c r="M13" s="25"/>
    </row>
    <row r="14" spans="1:13">
      <c r="A14" s="84" t="s">
        <v>24</v>
      </c>
      <c r="B14" s="52"/>
      <c r="C14" s="52">
        <f t="shared" ref="C14:H14" si="2">SUM(C12:C13)</f>
        <v>104826</v>
      </c>
      <c r="D14" s="52">
        <f t="shared" si="2"/>
        <v>107711</v>
      </c>
      <c r="E14" s="52">
        <f t="shared" si="2"/>
        <v>107158</v>
      </c>
      <c r="F14" s="52">
        <f t="shared" si="2"/>
        <v>114902</v>
      </c>
      <c r="G14" s="52">
        <f t="shared" si="2"/>
        <v>270792</v>
      </c>
      <c r="H14" s="52">
        <f t="shared" si="2"/>
        <v>373982.40669669915</v>
      </c>
      <c r="I14" s="31">
        <f t="shared" ref="I14" si="3">SUM(I12:I13)</f>
        <v>285492</v>
      </c>
      <c r="J14" s="388"/>
      <c r="K14" s="25"/>
      <c r="L14" s="25"/>
      <c r="M14" s="25"/>
    </row>
    <row r="15" spans="1:13">
      <c r="A15" s="6"/>
      <c r="B15" s="52"/>
      <c r="C15" s="52"/>
      <c r="D15" s="52"/>
      <c r="E15" s="155"/>
      <c r="F15" s="155"/>
      <c r="G15" s="155"/>
      <c r="H15" s="155"/>
      <c r="I15" s="155"/>
      <c r="J15" s="155"/>
      <c r="K15" s="25"/>
      <c r="L15" s="25"/>
      <c r="M15" s="25"/>
    </row>
    <row r="16" spans="1:13" ht="18.75">
      <c r="A16" s="45" t="s">
        <v>16</v>
      </c>
      <c r="B16" s="2">
        <f>C16 - 1</f>
        <v>2010</v>
      </c>
      <c r="C16" s="2">
        <f>'Facility Detail'!$B$1752</f>
        <v>2011</v>
      </c>
      <c r="D16" s="2">
        <f t="shared" ref="D16:J16" si="4">C16+1</f>
        <v>2012</v>
      </c>
      <c r="E16" s="2">
        <f t="shared" si="4"/>
        <v>2013</v>
      </c>
      <c r="F16" s="2">
        <f t="shared" si="4"/>
        <v>2014</v>
      </c>
      <c r="G16" s="2">
        <f t="shared" si="4"/>
        <v>2015</v>
      </c>
      <c r="H16" s="2">
        <f t="shared" si="4"/>
        <v>2016</v>
      </c>
      <c r="I16" s="2">
        <f t="shared" si="4"/>
        <v>2017</v>
      </c>
      <c r="J16" s="2">
        <f t="shared" si="4"/>
        <v>2018</v>
      </c>
      <c r="K16" s="25"/>
      <c r="L16" s="25"/>
      <c r="M16" s="25"/>
    </row>
    <row r="17" spans="1:13">
      <c r="A17" s="90" t="str">
        <f>'Facility Detail'!B59</f>
        <v>Quantity of RECs Sold</v>
      </c>
      <c r="B17" s="73"/>
      <c r="C17" s="77">
        <f xml:space="preserve"> -1 * ( 'Facility Detail'!D59 + 'Facility Detail'!D103 + 'Facility Detail'!D147 + 'Facility Detail'!D191 + 'Facility Detail'!D235 + 'Facility Detail'!D279 + 'Facility Detail'!D323 + 'Facility Detail'!D361 + 'Facility Detail'!D399 + 'Facility Detail'!D443 + 'Facility Detail'!D487 + 'Facility Detail'!D531 + 'Facility Detail'!D575 + 'Facility Detail'!D619 + 'Facility Detail'!D661 + 'Facility Detail'!D705 + 'Facility Detail'!D749 + 'Facility Detail'!D793 + 'Facility Detail'!D837 + 'Facility Detail'!D879 + 'Facility Detail'!D919 + 'Facility Detail'!D961 + 'Facility Detail'!D1003 + 'Facility Detail'!D1045 + 'Facility Detail'!D1087 + 'Facility Detail'!D1129 + 'Facility Detail'!D1171 + 'Facility Detail'!D1213 + 'Facility Detail'!D1255 + 'Facility Detail'!D1296 )</f>
        <v>0</v>
      </c>
      <c r="D17" s="77">
        <f xml:space="preserve"> -1 * ( 'Facility Detail'!E59 + 'Facility Detail'!E103 + 'Facility Detail'!E147 + 'Facility Detail'!E191 + 'Facility Detail'!E235 + 'Facility Detail'!E279 + 'Facility Detail'!E323 + 'Facility Detail'!E361 + 'Facility Detail'!E399 + 'Facility Detail'!E443 + 'Facility Detail'!E487 + 'Facility Detail'!E531 + 'Facility Detail'!E575 + 'Facility Detail'!E619 + 'Facility Detail'!E661 + 'Facility Detail'!E705 + 'Facility Detail'!E749 + 'Facility Detail'!E793 + 'Facility Detail'!E837 + 'Facility Detail'!E879 + 'Facility Detail'!E919 + 'Facility Detail'!E961 + 'Facility Detail'!E1003 + 'Facility Detail'!E1045 + 'Facility Detail'!E1087 + 'Facility Detail'!E1129 + 'Facility Detail'!E1171 + 'Facility Detail'!E1213 + 'Facility Detail'!E1255 + 'Facility Detail'!E1296 )</f>
        <v>0</v>
      </c>
      <c r="E17" s="77">
        <f xml:space="preserve"> -1 * ( 'Facility Detail'!F59 + 'Facility Detail'!F103 + 'Facility Detail'!F147 + 'Facility Detail'!F191 + 'Facility Detail'!F235 + 'Facility Detail'!F279 + 'Facility Detail'!F323 + 'Facility Detail'!F361 + 'Facility Detail'!F399 + 'Facility Detail'!F443 + 'Facility Detail'!F487 + 'Facility Detail'!F531 + 'Facility Detail'!F575 + 'Facility Detail'!F619 + 'Facility Detail'!F661 + 'Facility Detail'!F705 + 'Facility Detail'!F749 + 'Facility Detail'!F793 + 'Facility Detail'!F837 + 'Facility Detail'!F879 + 'Facility Detail'!F919 + 'Facility Detail'!F961 + 'Facility Detail'!F1003 + 'Facility Detail'!F1045 + 'Facility Detail'!F1087 + 'Facility Detail'!F1129 + 'Facility Detail'!F1171 + 'Facility Detail'!F1213 + 'Facility Detail'!F1255 + 'Facility Detail'!F1296 )</f>
        <v>0</v>
      </c>
      <c r="F17" s="198">
        <f xml:space="preserve"> -1 * ( 'Facility Detail'!G59 + 'Facility Detail'!G103 + 'Facility Detail'!G147 + 'Facility Detail'!G191 + 'Facility Detail'!G235 + 'Facility Detail'!G279 + 'Facility Detail'!G323 + 'Facility Detail'!G361 + 'Facility Detail'!G399 + 'Facility Detail'!G443 + 'Facility Detail'!G487 + 'Facility Detail'!G531 + 'Facility Detail'!G575 + 'Facility Detail'!G619 + 'Facility Detail'!G661 + 'Facility Detail'!G705 + 'Facility Detail'!G749 + 'Facility Detail'!G793 + 'Facility Detail'!G837 + 'Facility Detail'!G879 + 'Facility Detail'!G919 + 'Facility Detail'!G961 + 'Facility Detail'!G1003 + 'Facility Detail'!G1045 + 'Facility Detail'!G1087 + 'Facility Detail'!G1129 + 'Facility Detail'!G1171 + 'Facility Detail'!G1213 + 'Facility Detail'!G1255 + 'Facility Detail'!G1296 )</f>
        <v>0</v>
      </c>
      <c r="G17" s="198">
        <f xml:space="preserve"> -1 * ( 'Facility Detail'!H59 + 'Facility Detail'!H103 + 'Facility Detail'!H147 + 'Facility Detail'!H191 + 'Facility Detail'!H235 + 'Facility Detail'!H279 + 'Facility Detail'!H323 + 'Facility Detail'!H361 + 'Facility Detail'!H399 + 'Facility Detail'!H443 + 'Facility Detail'!H487 + 'Facility Detail'!H531 + 'Facility Detail'!H575 + 'Facility Detail'!H619 + 'Facility Detail'!H661 + 'Facility Detail'!H705 + 'Facility Detail'!H749 + 'Facility Detail'!H793 + 'Facility Detail'!H837 + 'Facility Detail'!H879 + 'Facility Detail'!H919 + 'Facility Detail'!H961 + 'Facility Detail'!H1003 + 'Facility Detail'!H1045 + 'Facility Detail'!H1087 + 'Facility Detail'!H1129 + 'Facility Detail'!H1171 + 'Facility Detail'!H1213 + 'Facility Detail'!H1255 + 'Facility Detail'!H1296 )</f>
        <v>0</v>
      </c>
      <c r="H17" s="264">
        <f xml:space="preserve"> -1 * ( 'Facility Detail'!I59 + 'Facility Detail'!I103 + 'Facility Detail'!I147 + 'Facility Detail'!I191 + 'Facility Detail'!I235 + 'Facility Detail'!I279 + 'Facility Detail'!I323 + 'Facility Detail'!I361 + 'Facility Detail'!I399 + 'Facility Detail'!I443 + 'Facility Detail'!I487 + 'Facility Detail'!I531 + 'Facility Detail'!I575 + 'Facility Detail'!I619 + 'Facility Detail'!I661 + 'Facility Detail'!I705 + 'Facility Detail'!I749 + 'Facility Detail'!I793 + 'Facility Detail'!I837 + 'Facility Detail'!I879 + 'Facility Detail'!I919 + 'Facility Detail'!I961 + 'Facility Detail'!I1003 + 'Facility Detail'!I1045 + 'Facility Detail'!I1087 + 'Facility Detail'!I1129 + 'Facility Detail'!I1171 + 'Facility Detail'!I1213 + 'Facility Detail'!I1255 + 'Facility Detail'!I1296 )</f>
        <v>0</v>
      </c>
      <c r="I17" s="264">
        <f xml:space="preserve"> -1 * ( 'Facility Detail'!J59 + 'Facility Detail'!J103 + 'Facility Detail'!J147 + 'Facility Detail'!J191 + 'Facility Detail'!J235 + 'Facility Detail'!J279 + 'Facility Detail'!J323 + 'Facility Detail'!J361 + 'Facility Detail'!J399 + 'Facility Detail'!J443 + 'Facility Detail'!J487 + 'Facility Detail'!J531 + 'Facility Detail'!J575 + 'Facility Detail'!J619 + 'Facility Detail'!J661 + 'Facility Detail'!J705 + 'Facility Detail'!J749 + 'Facility Detail'!J793 + 'Facility Detail'!J837 + 'Facility Detail'!J879 + 'Facility Detail'!J919 + 'Facility Detail'!J961 + 'Facility Detail'!J1003 + 'Facility Detail'!J1045 + 'Facility Detail'!J1087 + 'Facility Detail'!J1129 + 'Facility Detail'!J1171 + 'Facility Detail'!J1213 + 'Facility Detail'!J1255 + 'Facility Detail'!J1296 )</f>
        <v>0</v>
      </c>
      <c r="J17" s="264">
        <f xml:space="preserve"> -1 * ( 'Facility Detail'!K59 + 'Facility Detail'!K103 + 'Facility Detail'!K147 + 'Facility Detail'!K191 + 'Facility Detail'!K235 + 'Facility Detail'!K279 + 'Facility Detail'!K323 + 'Facility Detail'!K361 + 'Facility Detail'!K399 + 'Facility Detail'!K443 + 'Facility Detail'!K487 + 'Facility Detail'!K531 + 'Facility Detail'!K575 + 'Facility Detail'!K619 + 'Facility Detail'!K661 + 'Facility Detail'!K705 + 'Facility Detail'!K749 + 'Facility Detail'!K793 + 'Facility Detail'!K837 + 'Facility Detail'!K879 + 'Facility Detail'!K919 + 'Facility Detail'!K961 + 'Facility Detail'!K1003 + 'Facility Detail'!K1045 + 'Facility Detail'!K1087 + 'Facility Detail'!K1129 + 'Facility Detail'!K1171 + 'Facility Detail'!K1213 + 'Facility Detail'!K1255 + 'Facility Detail'!K1296 )</f>
        <v>0</v>
      </c>
      <c r="K17" s="15"/>
      <c r="L17" s="15"/>
      <c r="M17" s="15"/>
    </row>
    <row r="18" spans="1:13">
      <c r="A18" s="91" t="str">
        <f>'Facility Detail'!B60</f>
        <v>Bonus Incentives Transferred</v>
      </c>
      <c r="B18" s="106"/>
      <c r="C18" s="107">
        <f xml:space="preserve"> -1 * ( 'Facility Detail'!D60 + 'Facility Detail'!D104 + 'Facility Detail'!D148 + 'Facility Detail'!D192 + 'Facility Detail'!D236 + 'Facility Detail'!D280 + 'Facility Detail'!D324 + 'Facility Detail'!D362 + 'Facility Detail'!D400 + 'Facility Detail'!D444 + 'Facility Detail'!D488 + 'Facility Detail'!D532 + 'Facility Detail'!D576 + 'Facility Detail'!D620 + 'Facility Detail'!D662 + 'Facility Detail'!D706 + 'Facility Detail'!D750 + 'Facility Detail'!D794 + 'Facility Detail'!D838 + 'Facility Detail'!D880 + 'Facility Detail'!D920 + 'Facility Detail'!D962 + 'Facility Detail'!D1004 + 'Facility Detail'!D1046 + 'Facility Detail'!D1088 + 'Facility Detail'!D1130 + 'Facility Detail'!D1172 + 'Facility Detail'!D1214 + 'Facility Detail'!D1256 + 'Facility Detail'!D1297 )</f>
        <v>0</v>
      </c>
      <c r="D18" s="107">
        <f xml:space="preserve"> -1 * ( 'Facility Detail'!E60 + 'Facility Detail'!E104 + 'Facility Detail'!E148 + 'Facility Detail'!E192 + 'Facility Detail'!E236 + 'Facility Detail'!E280 + 'Facility Detail'!E324 + 'Facility Detail'!E362 + 'Facility Detail'!E400 + 'Facility Detail'!E444 + 'Facility Detail'!E488 + 'Facility Detail'!E532 + 'Facility Detail'!E576 + 'Facility Detail'!E620 + 'Facility Detail'!E662 + 'Facility Detail'!E706 + 'Facility Detail'!E750 + 'Facility Detail'!E794 + 'Facility Detail'!E838 + 'Facility Detail'!E880 + 'Facility Detail'!E920 + 'Facility Detail'!E962 + 'Facility Detail'!E1004 + 'Facility Detail'!E1046 + 'Facility Detail'!E1088 + 'Facility Detail'!E1130 + 'Facility Detail'!E1172 + 'Facility Detail'!E1214 + 'Facility Detail'!E1256 + 'Facility Detail'!E1297 )</f>
        <v>0</v>
      </c>
      <c r="E18" s="107">
        <f xml:space="preserve"> -1 * ( 'Facility Detail'!F60 + 'Facility Detail'!F104 + 'Facility Detail'!F148 + 'Facility Detail'!F192 + 'Facility Detail'!F236 + 'Facility Detail'!F280 + 'Facility Detail'!F324 + 'Facility Detail'!F362 + 'Facility Detail'!F400 + 'Facility Detail'!F444 + 'Facility Detail'!F488 + 'Facility Detail'!F532 + 'Facility Detail'!F576 + 'Facility Detail'!F620 + 'Facility Detail'!F662 + 'Facility Detail'!F706 + 'Facility Detail'!F750 + 'Facility Detail'!F794 + 'Facility Detail'!F838 + 'Facility Detail'!F880 + 'Facility Detail'!F920 + 'Facility Detail'!F962 + 'Facility Detail'!F1004 + 'Facility Detail'!F1046 + 'Facility Detail'!F1088 + 'Facility Detail'!F1130 + 'Facility Detail'!F1172 + 'Facility Detail'!F1214 + 'Facility Detail'!F1256 + 'Facility Detail'!F1297 )</f>
        <v>0</v>
      </c>
      <c r="F18" s="199">
        <f xml:space="preserve"> -1 * ( 'Facility Detail'!G60 + 'Facility Detail'!G104 + 'Facility Detail'!G148 + 'Facility Detail'!G192 + 'Facility Detail'!G236 + 'Facility Detail'!G280 + 'Facility Detail'!G324 + 'Facility Detail'!G362 + 'Facility Detail'!G400 + 'Facility Detail'!G444 + 'Facility Detail'!G488 + 'Facility Detail'!G532 + 'Facility Detail'!G576 + 'Facility Detail'!G620 + 'Facility Detail'!G662 + 'Facility Detail'!G706 + 'Facility Detail'!G750 + 'Facility Detail'!G794 + 'Facility Detail'!G838 + 'Facility Detail'!G880 + 'Facility Detail'!G920 + 'Facility Detail'!G962 + 'Facility Detail'!G1004 + 'Facility Detail'!G1046 + 'Facility Detail'!G1088 + 'Facility Detail'!G1130 + 'Facility Detail'!G1172 + 'Facility Detail'!G1214 + 'Facility Detail'!G1256 + 'Facility Detail'!G1297 )</f>
        <v>0</v>
      </c>
      <c r="G18" s="199">
        <f xml:space="preserve"> -1 * ( 'Facility Detail'!H60 + 'Facility Detail'!H104 + 'Facility Detail'!H148 + 'Facility Detail'!H192 + 'Facility Detail'!H236 + 'Facility Detail'!H280 + 'Facility Detail'!H324 + 'Facility Detail'!H362 + 'Facility Detail'!H400 + 'Facility Detail'!H444 + 'Facility Detail'!H488 + 'Facility Detail'!H532 + 'Facility Detail'!H576 + 'Facility Detail'!H620 + 'Facility Detail'!H662 + 'Facility Detail'!H706 + 'Facility Detail'!H750 + 'Facility Detail'!H794 + 'Facility Detail'!H838 + 'Facility Detail'!H880 + 'Facility Detail'!H920 + 'Facility Detail'!H962 + 'Facility Detail'!H1004 + 'Facility Detail'!H1046 + 'Facility Detail'!H1088 + 'Facility Detail'!H1130 + 'Facility Detail'!H1172 + 'Facility Detail'!H1214 + 'Facility Detail'!H1256 + 'Facility Detail'!H1297 )</f>
        <v>0</v>
      </c>
      <c r="H18" s="256">
        <f xml:space="preserve"> -1 * ( 'Facility Detail'!I60 + 'Facility Detail'!I104 + 'Facility Detail'!I148 + 'Facility Detail'!I192 + 'Facility Detail'!I236 + 'Facility Detail'!I280 + 'Facility Detail'!I324 + 'Facility Detail'!I362 + 'Facility Detail'!I400 + 'Facility Detail'!I444 + 'Facility Detail'!I488 + 'Facility Detail'!I532 + 'Facility Detail'!I576 + 'Facility Detail'!I620 + 'Facility Detail'!I662 + 'Facility Detail'!I706 + 'Facility Detail'!I750 + 'Facility Detail'!I794 + 'Facility Detail'!I838 + 'Facility Detail'!I880 + 'Facility Detail'!I920 + 'Facility Detail'!I962 + 'Facility Detail'!I1004 + 'Facility Detail'!I1046 + 'Facility Detail'!I1088 + 'Facility Detail'!I1130 + 'Facility Detail'!I1172 + 'Facility Detail'!I1214 + 'Facility Detail'!I1256 + 'Facility Detail'!I1297 )</f>
        <v>0</v>
      </c>
      <c r="I18" s="256">
        <f xml:space="preserve"> -1 * ( 'Facility Detail'!J60 + 'Facility Detail'!J104 + 'Facility Detail'!J148 + 'Facility Detail'!J192 + 'Facility Detail'!J236 + 'Facility Detail'!J280 + 'Facility Detail'!J324 + 'Facility Detail'!J362 + 'Facility Detail'!J400 + 'Facility Detail'!J444 + 'Facility Detail'!J488 + 'Facility Detail'!J532 + 'Facility Detail'!J576 + 'Facility Detail'!J620 + 'Facility Detail'!J662 + 'Facility Detail'!J706 + 'Facility Detail'!J750 + 'Facility Detail'!J794 + 'Facility Detail'!J838 + 'Facility Detail'!J880 + 'Facility Detail'!J920 + 'Facility Detail'!J962 + 'Facility Detail'!J1004 + 'Facility Detail'!J1046 + 'Facility Detail'!J1088 + 'Facility Detail'!J1130 + 'Facility Detail'!J1172 + 'Facility Detail'!J1214 + 'Facility Detail'!J1256 + 'Facility Detail'!J1297 )</f>
        <v>0</v>
      </c>
      <c r="J18" s="256">
        <f xml:space="preserve"> -1 * ( 'Facility Detail'!K60 + 'Facility Detail'!K104 + 'Facility Detail'!K148 + 'Facility Detail'!K192 + 'Facility Detail'!K236 + 'Facility Detail'!K280 + 'Facility Detail'!K324 + 'Facility Detail'!K362 + 'Facility Detail'!K400 + 'Facility Detail'!K444 + 'Facility Detail'!K488 + 'Facility Detail'!K532 + 'Facility Detail'!K576 + 'Facility Detail'!K620 + 'Facility Detail'!K662 + 'Facility Detail'!K706 + 'Facility Detail'!K750 + 'Facility Detail'!K794 + 'Facility Detail'!K838 + 'Facility Detail'!K880 + 'Facility Detail'!K920 + 'Facility Detail'!K962 + 'Facility Detail'!K1004 + 'Facility Detail'!K1046 + 'Facility Detail'!K1088 + 'Facility Detail'!K1130 + 'Facility Detail'!K1172 + 'Facility Detail'!K1214 + 'Facility Detail'!K1256 + 'Facility Detail'!K1297 )</f>
        <v>0</v>
      </c>
      <c r="K18" s="15"/>
      <c r="L18" s="15"/>
      <c r="M18" s="15"/>
    </row>
    <row r="19" spans="1:13">
      <c r="A19" s="105" t="str">
        <f>'Facility Detail'!B61</f>
        <v>Bonus Incentives Not Realized</v>
      </c>
      <c r="B19" s="74"/>
      <c r="C19" s="78">
        <f xml:space="preserve"> -1 * ( 'Facility Detail'!D61 + 'Facility Detail'!D105 + 'Facility Detail'!D149 + 'Facility Detail'!D193 + 'Facility Detail'!D237 + 'Facility Detail'!D281 + 'Facility Detail'!D325 + 'Facility Detail'!D363 + 'Facility Detail'!D401 + 'Facility Detail'!D445 + 'Facility Detail'!D489 + 'Facility Detail'!D533 + 'Facility Detail'!D577 + 'Facility Detail'!D621 + 'Facility Detail'!D663 + 'Facility Detail'!D707 + 'Facility Detail'!D751 + 'Facility Detail'!D795 + 'Facility Detail'!D839 + 'Facility Detail'!D881 + 'Facility Detail'!D921 + 'Facility Detail'!D963 + 'Facility Detail'!D1005 + 'Facility Detail'!D1047 + 'Facility Detail'!D1089 + 'Facility Detail'!D1131 + 'Facility Detail'!D1173 + 'Facility Detail'!D1215 + 'Facility Detail'!D1257 + 'Facility Detail'!D1298 )</f>
        <v>0</v>
      </c>
      <c r="D19" s="78">
        <f xml:space="preserve"> -1 * ( 'Facility Detail'!E61 + 'Facility Detail'!E105 + 'Facility Detail'!E149 + 'Facility Detail'!E193 + 'Facility Detail'!E237 + 'Facility Detail'!E281 + 'Facility Detail'!E325 + 'Facility Detail'!E363 + 'Facility Detail'!E401 + 'Facility Detail'!E445 + 'Facility Detail'!E489 + 'Facility Detail'!E533 + 'Facility Detail'!E577 + 'Facility Detail'!E621 + 'Facility Detail'!E663 + 'Facility Detail'!E707 + 'Facility Detail'!E751 + 'Facility Detail'!E795 + 'Facility Detail'!E839 + 'Facility Detail'!E881 + 'Facility Detail'!E921 + 'Facility Detail'!E963 + 'Facility Detail'!E1005 + 'Facility Detail'!E1047 + 'Facility Detail'!E1089 + 'Facility Detail'!E1131 + 'Facility Detail'!E1173 + 'Facility Detail'!E1215 + 'Facility Detail'!E1257 + 'Facility Detail'!E1298 )</f>
        <v>0</v>
      </c>
      <c r="E19" s="78">
        <f xml:space="preserve"> -1 * ( 'Facility Detail'!F61 + 'Facility Detail'!F105 + 'Facility Detail'!F149 + 'Facility Detail'!F193 + 'Facility Detail'!F237 + 'Facility Detail'!F281 + 'Facility Detail'!F325 + 'Facility Detail'!F363 + 'Facility Detail'!F401 + 'Facility Detail'!F445 + 'Facility Detail'!F489 + 'Facility Detail'!F533 + 'Facility Detail'!F577 + 'Facility Detail'!F621 + 'Facility Detail'!F663 + 'Facility Detail'!F707 + 'Facility Detail'!F751 + 'Facility Detail'!F795 + 'Facility Detail'!F839 + 'Facility Detail'!F881 + 'Facility Detail'!F921 + 'Facility Detail'!F963 + 'Facility Detail'!F1005 + 'Facility Detail'!F1047 + 'Facility Detail'!F1089 + 'Facility Detail'!F1131 + 'Facility Detail'!F1173 + 'Facility Detail'!F1215 + 'Facility Detail'!F1257 + 'Facility Detail'!F1298 )</f>
        <v>0</v>
      </c>
      <c r="F19" s="200">
        <f xml:space="preserve"> -1 * ( 'Facility Detail'!G61 + 'Facility Detail'!G105 + 'Facility Detail'!G149 + 'Facility Detail'!G193 + 'Facility Detail'!G237 + 'Facility Detail'!G281 + 'Facility Detail'!G325 + 'Facility Detail'!G363 + 'Facility Detail'!G401 + 'Facility Detail'!G445 + 'Facility Detail'!G489 + 'Facility Detail'!G533 + 'Facility Detail'!G577 + 'Facility Detail'!G621 + 'Facility Detail'!G663 + 'Facility Detail'!G707 + 'Facility Detail'!G751 + 'Facility Detail'!G795 + 'Facility Detail'!G839 + 'Facility Detail'!G881 + 'Facility Detail'!G921 + 'Facility Detail'!G963 + 'Facility Detail'!G1005 + 'Facility Detail'!G1047 + 'Facility Detail'!G1089 + 'Facility Detail'!G1131 + 'Facility Detail'!G1173 + 'Facility Detail'!G1215 + 'Facility Detail'!G1257 + 'Facility Detail'!G1298 )</f>
        <v>0</v>
      </c>
      <c r="G19" s="200">
        <f xml:space="preserve"> -1 * ( 'Facility Detail'!H61 + 'Facility Detail'!H105 + 'Facility Detail'!H149 + 'Facility Detail'!H193 + 'Facility Detail'!H237 + 'Facility Detail'!H281 + 'Facility Detail'!H325 + 'Facility Detail'!H363 + 'Facility Detail'!H401 + 'Facility Detail'!H445 + 'Facility Detail'!H489 + 'Facility Detail'!H533 + 'Facility Detail'!H577 + 'Facility Detail'!H621 + 'Facility Detail'!H663 + 'Facility Detail'!H707 + 'Facility Detail'!H751 + 'Facility Detail'!H795 + 'Facility Detail'!H839 + 'Facility Detail'!H881 + 'Facility Detail'!H921 + 'Facility Detail'!H963 + 'Facility Detail'!H1005 + 'Facility Detail'!H1047 + 'Facility Detail'!H1089 + 'Facility Detail'!H1131 + 'Facility Detail'!H1173 + 'Facility Detail'!H1215 + 'Facility Detail'!H1257 + 'Facility Detail'!H1298 )</f>
        <v>0</v>
      </c>
      <c r="H19" s="257">
        <f xml:space="preserve"> -1 * ( 'Facility Detail'!I61 + 'Facility Detail'!I105 + 'Facility Detail'!I149 + 'Facility Detail'!I193 + 'Facility Detail'!I237 + 'Facility Detail'!I281 + 'Facility Detail'!I325 + 'Facility Detail'!I363 + 'Facility Detail'!I401 + 'Facility Detail'!I445 + 'Facility Detail'!I489 + 'Facility Detail'!I533 + 'Facility Detail'!I577 + 'Facility Detail'!I621 + 'Facility Detail'!I663 + 'Facility Detail'!I707 + 'Facility Detail'!I751 + 'Facility Detail'!I795 + 'Facility Detail'!I839 + 'Facility Detail'!I881 + 'Facility Detail'!I921 + 'Facility Detail'!I963 + 'Facility Detail'!I1005 + 'Facility Detail'!I1047 + 'Facility Detail'!I1089 + 'Facility Detail'!I1131 + 'Facility Detail'!I1173 + 'Facility Detail'!I1215 + 'Facility Detail'!I1257 + 'Facility Detail'!I1298 )</f>
        <v>0</v>
      </c>
      <c r="I19" s="257">
        <f xml:space="preserve"> -1 * ( 'Facility Detail'!J61 + 'Facility Detail'!J105 + 'Facility Detail'!J149 + 'Facility Detail'!J193 + 'Facility Detail'!J237 + 'Facility Detail'!J281 + 'Facility Detail'!J325 + 'Facility Detail'!J363 + 'Facility Detail'!J401 + 'Facility Detail'!J445 + 'Facility Detail'!J489 + 'Facility Detail'!J533 + 'Facility Detail'!J577 + 'Facility Detail'!J621 + 'Facility Detail'!J663 + 'Facility Detail'!J707 + 'Facility Detail'!J751 + 'Facility Detail'!J795 + 'Facility Detail'!J839 + 'Facility Detail'!J881 + 'Facility Detail'!J921 + 'Facility Detail'!J963 + 'Facility Detail'!J1005 + 'Facility Detail'!J1047 + 'Facility Detail'!J1089 + 'Facility Detail'!J1131 + 'Facility Detail'!J1173 + 'Facility Detail'!J1215 + 'Facility Detail'!J1257 + 'Facility Detail'!J1298 )</f>
        <v>0</v>
      </c>
      <c r="J19" s="257">
        <f xml:space="preserve"> -1 * ( 'Facility Detail'!K61 + 'Facility Detail'!K105 + 'Facility Detail'!K149 + 'Facility Detail'!K193 + 'Facility Detail'!K237 + 'Facility Detail'!K281 + 'Facility Detail'!K325 + 'Facility Detail'!K363 + 'Facility Detail'!K401 + 'Facility Detail'!K445 + 'Facility Detail'!K489 + 'Facility Detail'!K533 + 'Facility Detail'!K577 + 'Facility Detail'!K621 + 'Facility Detail'!K663 + 'Facility Detail'!K707 + 'Facility Detail'!K751 + 'Facility Detail'!K795 + 'Facility Detail'!K839 + 'Facility Detail'!K881 + 'Facility Detail'!K921 + 'Facility Detail'!K963 + 'Facility Detail'!K1005 + 'Facility Detail'!K1047 + 'Facility Detail'!K1089 + 'Facility Detail'!K1131 + 'Facility Detail'!K1173 + 'Facility Detail'!K1215 + 'Facility Detail'!K1257 + 'Facility Detail'!K1298 )</f>
        <v>0</v>
      </c>
      <c r="K19" s="15"/>
      <c r="L19" s="15"/>
      <c r="M19" s="15"/>
    </row>
    <row r="20" spans="1:13">
      <c r="A20" s="84" t="str">
        <f>'Facility Detail'!B62</f>
        <v>Total Sold / Transferred / Unrealized</v>
      </c>
      <c r="B20" s="20"/>
      <c r="C20" s="20">
        <f t="shared" ref="C20:H20" si="5">SUM(C17:C19)</f>
        <v>0</v>
      </c>
      <c r="D20" s="20">
        <f t="shared" si="5"/>
        <v>0</v>
      </c>
      <c r="E20" s="20">
        <f t="shared" si="5"/>
        <v>0</v>
      </c>
      <c r="F20" s="158">
        <f t="shared" si="5"/>
        <v>0</v>
      </c>
      <c r="G20" s="158">
        <f t="shared" si="5"/>
        <v>0</v>
      </c>
      <c r="H20" s="158">
        <f t="shared" si="5"/>
        <v>0</v>
      </c>
      <c r="I20" s="158">
        <f t="shared" ref="I20:J20" si="6">SUM(I17:I19)</f>
        <v>0</v>
      </c>
      <c r="J20" s="158">
        <f t="shared" si="6"/>
        <v>0</v>
      </c>
      <c r="K20" s="20"/>
      <c r="L20" s="20"/>
      <c r="M20" s="20"/>
    </row>
    <row r="21" spans="1:13">
      <c r="B21" s="15"/>
      <c r="C21" s="15"/>
      <c r="D21" s="15"/>
      <c r="E21" s="159"/>
      <c r="F21" s="159"/>
      <c r="G21" s="159"/>
      <c r="H21" s="159"/>
      <c r="I21" s="159"/>
      <c r="J21" s="159"/>
      <c r="K21" s="15"/>
      <c r="L21" s="15"/>
      <c r="M21" s="15"/>
    </row>
    <row r="22" spans="1:13" ht="18.75">
      <c r="A22" s="9" t="s">
        <v>100</v>
      </c>
      <c r="B22" s="2">
        <f>C22 - 1</f>
        <v>2010</v>
      </c>
      <c r="C22" s="2">
        <f>'Facility Detail'!$B$1752</f>
        <v>2011</v>
      </c>
      <c r="D22" s="2">
        <f t="shared" ref="D22:J22" si="7">C22+1</f>
        <v>2012</v>
      </c>
      <c r="E22" s="2">
        <f t="shared" si="7"/>
        <v>2013</v>
      </c>
      <c r="F22" s="2">
        <f t="shared" si="7"/>
        <v>2014</v>
      </c>
      <c r="G22" s="2">
        <f t="shared" si="7"/>
        <v>2015</v>
      </c>
      <c r="H22" s="2">
        <f t="shared" si="7"/>
        <v>2016</v>
      </c>
      <c r="I22" s="2">
        <f t="shared" si="7"/>
        <v>2017</v>
      </c>
      <c r="J22" s="2">
        <f t="shared" si="7"/>
        <v>2018</v>
      </c>
      <c r="K22" s="15"/>
      <c r="L22" s="15"/>
      <c r="M22" s="15"/>
    </row>
    <row r="23" spans="1:13">
      <c r="A23" s="116" t="str">
        <f xml:space="preserve"> 'Facility Detail'!$B$1752 &amp; " Surplus Applied to " &amp; ( 'Facility Detail'!$B$1752 + 1 )</f>
        <v>2011 Surplus Applied to 2012</v>
      </c>
      <c r="B23" s="191"/>
      <c r="C23" s="68">
        <f xml:space="preserve"> -1 * ( 'Facility Detail'!D65 + 'Facility Detail'!D109 + 'Facility Detail'!D153 + 'Facility Detail'!D197 + 'Facility Detail'!D241 + 'Facility Detail'!D285 + 'Facility Detail'!D329 + 'Facility Detail'!D367 + 'Facility Detail'!D405 + 'Facility Detail'!D449 + 'Facility Detail'!D493 + 'Facility Detail'!D537 + 'Facility Detail'!D581 + 'Facility Detail'!D625 + 'Facility Detail'!D667 + 'Facility Detail'!D711 + 'Facility Detail'!D760 + 'Facility Detail'!D799 + 'Facility Detail'!D848 + 'Facility Detail'!D890 + 'Facility Detail'!D930 + 'Facility Detail'!D967 + 'Facility Detail'!D1009 + 'Facility Detail'!D1051 + 'Facility Detail'!D1093 + 'Facility Detail'!D1135 + 'Facility Detail'!D1177 + 'Facility Detail'!D1219 + 'Facility Detail'!D1261 + 'Facility Detail'!D1302 )</f>
        <v>-104826</v>
      </c>
      <c r="D23" s="68">
        <f xml:space="preserve"> 'Facility Detail'!E65 + 'Facility Detail'!E109 + 'Facility Detail'!E153 + 'Facility Detail'!E197 + 'Facility Detail'!E241 + 'Facility Detail'!E285 + 'Facility Detail'!E329 + 'Facility Detail'!E367 + 'Facility Detail'!E405 + 'Facility Detail'!E449 + 'Facility Detail'!E493 + 'Facility Detail'!E537 + 'Facility Detail'!E581 + 'Facility Detail'!E625 + 'Facility Detail'!E667 + 'Facility Detail'!E711 + 'Facility Detail'!E760 + 'Facility Detail'!E799 + 'Facility Detail'!E848 + 'Facility Detail'!E890 + 'Facility Detail'!E930 + 'Facility Detail'!E967 + 'Facility Detail'!E1009 + 'Facility Detail'!E1051 + 'Facility Detail'!E1093 + 'Facility Detail'!E1135 + 'Facility Detail'!E1177 + 'Facility Detail'!E1219 + 'Facility Detail'!E1261 + 'Facility Detail'!E1302</f>
        <v>104826</v>
      </c>
      <c r="E23" s="152"/>
      <c r="F23" s="152"/>
      <c r="G23" s="152"/>
      <c r="H23" s="258"/>
      <c r="I23" s="258"/>
      <c r="J23" s="258"/>
      <c r="K23" s="15"/>
      <c r="L23" s="15"/>
      <c r="M23" s="15"/>
    </row>
    <row r="24" spans="1:13">
      <c r="A24" s="116" t="str">
        <f xml:space="preserve"> ( 'Facility Detail'!$B$1752 + 1 ) &amp; " Surplus Applied to " &amp; ( 'Facility Detail'!$B$1752 )</f>
        <v>2012 Surplus Applied to 2011</v>
      </c>
      <c r="B24" s="192"/>
      <c r="C24" s="79">
        <f xml:space="preserve"> 'Facility Detail'!D66 + 'Facility Detail'!D110 + 'Facility Detail'!D154 + 'Facility Detail'!D198 + 'Facility Detail'!D242 + 'Facility Detail'!D286 + 'Facility Detail'!D330 + 'Facility Detail'!D368 + 'Facility Detail'!D406 + 'Facility Detail'!D450 + 'Facility Detail'!D494 + 'Facility Detail'!D538 + 'Facility Detail'!D582 + 'Facility Detail'!D626 + 'Facility Detail'!D668 + 'Facility Detail'!D712 + 'Facility Detail'!D761 + 'Facility Detail'!D803 + 'Facility Detail'!D849 + 'Facility Detail'!D891 + 'Facility Detail'!D931 + 'Facility Detail'!D968 + 'Facility Detail'!D1010 + 'Facility Detail'!D1052 + 'Facility Detail'!D1094 + 'Facility Detail'!D1136 + 'Facility Detail'!D1178 + 'Facility Detail'!D1220 + 'Facility Detail'!D1262 + 'Facility Detail'!D1303</f>
        <v>0</v>
      </c>
      <c r="D24" s="79">
        <f xml:space="preserve"> -1 * ( 'Facility Detail'!E66 + 'Facility Detail'!E110 + 'Facility Detail'!E154 + 'Facility Detail'!E198 + 'Facility Detail'!E242 + 'Facility Detail'!E286 + 'Facility Detail'!E330 + 'Facility Detail'!E368 + 'Facility Detail'!E406 + 'Facility Detail'!E450 + 'Facility Detail'!E494 + 'Facility Detail'!E538 + 'Facility Detail'!E582 + 'Facility Detail'!E626 + 'Facility Detail'!E668 + 'Facility Detail'!E712 + 'Facility Detail'!E761 + 'Facility Detail'!E803 + 'Facility Detail'!E849 + 'Facility Detail'!E891 + 'Facility Detail'!E931 + 'Facility Detail'!E968 + 'Facility Detail'!E1010 + 'Facility Detail'!E1052 + 'Facility Detail'!E1094 + 'Facility Detail'!E1136 + 'Facility Detail'!E1178 + 'Facility Detail'!E1220 + 'Facility Detail'!E1262 + 'Facility Detail'!E1303 )</f>
        <v>0</v>
      </c>
      <c r="E24" s="83"/>
      <c r="F24" s="83"/>
      <c r="G24" s="83"/>
      <c r="H24" s="259"/>
      <c r="I24" s="259"/>
      <c r="J24" s="259"/>
      <c r="K24" s="15"/>
      <c r="L24" s="15"/>
      <c r="M24" s="15"/>
    </row>
    <row r="25" spans="1:13">
      <c r="A25" s="116" t="str">
        <f xml:space="preserve"> ( 'Facility Detail'!$B$1752 + 1 ) &amp; " Surplus Applied to " &amp; ( 'Facility Detail'!$B$1752 + 2 )</f>
        <v>2012 Surplus Applied to 2013</v>
      </c>
      <c r="B25" s="192"/>
      <c r="C25" s="83"/>
      <c r="D25" s="79">
        <f xml:space="preserve"> -1 * ( 'Facility Detail'!E67 + 'Facility Detail'!E111 + 'Facility Detail'!E155 + 'Facility Detail'!E199 + 'Facility Detail'!E243 + 'Facility Detail'!E287 + 'Facility Detail'!E331 + 'Facility Detail'!E369 + 'Facility Detail'!E407 + 'Facility Detail'!E451 + 'Facility Detail'!E495 + 'Facility Detail'!E539 + 'Facility Detail'!E583 + 'Facility Detail'!E627 + 'Facility Detail'!E669 + 'Facility Detail'!E713 + 'Facility Detail'!E762 + 'Facility Detail'!E804 + 'Facility Detail'!E850 + 'Facility Detail'!E892 + 'Facility Detail'!E932 + 'Facility Detail'!E969 + 'Facility Detail'!E1011 + 'Facility Detail'!E1053 + 'Facility Detail'!E1095 + 'Facility Detail'!E1137 + 'Facility Detail'!E1179 + 'Facility Detail'!E1221 + 'Facility Detail'!E1263 + 'Facility Detail'!E1304 )</f>
        <v>-92679</v>
      </c>
      <c r="E25" s="79">
        <f xml:space="preserve"> 'Facility Detail'!F67 + 'Facility Detail'!F111 + 'Facility Detail'!F155 + 'Facility Detail'!F199 + 'Facility Detail'!F243 + 'Facility Detail'!F287 + 'Facility Detail'!F331 + 'Facility Detail'!F369 + 'Facility Detail'!F407 + 'Facility Detail'!F451 + 'Facility Detail'!F495 + 'Facility Detail'!F539 + 'Facility Detail'!F583 + 'Facility Detail'!F627 + 'Facility Detail'!F669 + 'Facility Detail'!F713 + 'Facility Detail'!F762 + 'Facility Detail'!F804 + 'Facility Detail'!F850 + 'Facility Detail'!F892 + 'Facility Detail'!F932 + 'Facility Detail'!F969 + 'Facility Detail'!F1011 + 'Facility Detail'!F1053 + 'Facility Detail'!F1095 + 'Facility Detail'!F1137 + 'Facility Detail'!F1179 + 'Facility Detail'!F1221 + 'Facility Detail'!F1263 + 'Facility Detail'!F1304</f>
        <v>92679</v>
      </c>
      <c r="F25" s="83"/>
      <c r="G25" s="83"/>
      <c r="H25" s="259"/>
      <c r="I25" s="259"/>
      <c r="J25" s="259"/>
      <c r="K25" s="15"/>
      <c r="L25" s="15"/>
      <c r="M25" s="15"/>
    </row>
    <row r="26" spans="1:13">
      <c r="A26" s="116" t="str">
        <f xml:space="preserve"> ( 'Facility Detail'!$B$1752 + 2 ) &amp; " Surplus Applied to " &amp; ( 'Facility Detail'!$B$1752 + 1 )</f>
        <v>2013 Surplus Applied to 2012</v>
      </c>
      <c r="B26" s="70"/>
      <c r="C26" s="83"/>
      <c r="D26" s="172"/>
      <c r="E26" s="79">
        <f xml:space="preserve"> -1 * ( 'Facility Detail'!F68 + 'Facility Detail'!F112 + 'Facility Detail'!F156 + 'Facility Detail'!F200 + 'Facility Detail'!F244 + 'Facility Detail'!F288 + 'Facility Detail'!F332 + 'Facility Detail'!F370 + 'Facility Detail'!F408 + 'Facility Detail'!F452 + 'Facility Detail'!F496 + 'Facility Detail'!F540 + 'Facility Detail'!F584 + 'Facility Detail'!F628 + 'Facility Detail'!F670 + 'Facility Detail'!F714 + 'Facility Detail'!F763 + 'Facility Detail'!F807 + 'Facility Detail'!F851 + 'Facility Detail'!F893 + 'Facility Detail'!F933 + 'Facility Detail'!F970 + 'Facility Detail'!F1012 + 'Facility Detail'!F1054 + 'Facility Detail'!F1096 + 'Facility Detail'!F1138 + 'Facility Detail'!F1180 + 'Facility Detail'!F1222 + 'Facility Detail'!F1264 + 'Facility Detail'!F1305 )</f>
        <v>0</v>
      </c>
      <c r="F26" s="209"/>
      <c r="G26" s="209"/>
      <c r="H26" s="259"/>
      <c r="I26" s="259"/>
      <c r="J26" s="259"/>
      <c r="K26" s="15"/>
      <c r="L26" s="15"/>
      <c r="M26" s="15"/>
    </row>
    <row r="27" spans="1:13">
      <c r="A27" s="116" t="str">
        <f xml:space="preserve"> ( 'Facility Detail'!$B$1752 + 2 ) &amp; " Surplus Applied to " &amp; ( 'Facility Detail'!$B$1752 + 3 )</f>
        <v>2013 Surplus Applied to 2014</v>
      </c>
      <c r="B27" s="70"/>
      <c r="C27" s="83"/>
      <c r="D27" s="235"/>
      <c r="E27" s="79">
        <f xml:space="preserve"> -1 * ( 'Facility Detail'!F69 + 'Facility Detail'!F113 + 'Facility Detail'!F157 + 'Facility Detail'!F201 + 'Facility Detail'!F245 + 'Facility Detail'!F289 + 'Facility Detail'!F333 + 'Facility Detail'!F371 + 'Facility Detail'!F409 + 'Facility Detail'!F453 + 'Facility Detail'!F497 + 'Facility Detail'!F541 + 'Facility Detail'!F585 + 'Facility Detail'!F638 + 'Facility Detail'!F682 + 'Facility Detail'!F726 + 'Facility Detail'!F770 + 'Facility Detail'!F814 + 'Facility Detail'!F856 + 'Facility Detail'!F896 + 'Facility Detail'!F938 + 'Facility Detail'!F980 + 'Facility Detail'!F1022 + 'Facility Detail'!F1064 + 'Facility Detail'!F1106 + 'Facility Detail'!F1148 + 'Facility Detail'!F1190 + 'Facility Detail'!F1232 + 'Facility Detail'!F1273 + 'Facility Detail'!F1315 )</f>
        <v>-79121</v>
      </c>
      <c r="F27" s="79">
        <f xml:space="preserve"> 'Facility Detail'!G69 + 'Facility Detail'!G113 + 'Facility Detail'!G157 + 'Facility Detail'!G201 + 'Facility Detail'!G245 + 'Facility Detail'!G289 + 'Facility Detail'!G333 + 'Facility Detail'!G371 + 'Facility Detail'!G409 + 'Facility Detail'!G453 + 'Facility Detail'!G497 + 'Facility Detail'!G541 + 'Facility Detail'!G585 + 'Facility Detail'!G629 + 'Facility Detail'!G671 + 'Facility Detail'!G726 + 'Facility Detail'!G770 + 'Facility Detail'!G814 + 'Facility Detail'!G856 + 'Facility Detail'!G896 + 'Facility Detail'!G938 + 'Facility Detail'!G980 + 'Facility Detail'!G1022 + 'Facility Detail'!G1064 + 'Facility Detail'!G1106 + 'Facility Detail'!G1148 + 'Facility Detail'!G1190 + 'Facility Detail'!G1232 + 'Facility Detail'!G1273 + 'Facility Detail'!G1315</f>
        <v>79121</v>
      </c>
      <c r="G27" s="172"/>
      <c r="H27" s="260"/>
      <c r="I27" s="260"/>
      <c r="J27" s="260"/>
      <c r="K27" s="15"/>
      <c r="L27" s="15"/>
      <c r="M27" s="15"/>
    </row>
    <row r="28" spans="1:13">
      <c r="A28" s="116" t="str">
        <f xml:space="preserve"> ( 'Facility Detail'!$B$1752 + 3 ) &amp; " Surplus Applied to " &amp; ( 'Facility Detail'!$B$1752 + 2 )</f>
        <v>2014 Surplus Applied to 2013</v>
      </c>
      <c r="B28" s="70"/>
      <c r="C28" s="83"/>
      <c r="D28" s="83"/>
      <c r="E28" s="83"/>
      <c r="F28" s="79">
        <f xml:space="preserve"> -1 * ( 'Facility Detail'!G70 + 'Facility Detail'!G114 + 'Facility Detail'!G158 + 'Facility Detail'!G202 + 'Facility Detail'!G246 + 'Facility Detail'!G290 + 'Facility Detail'!G334 + 'Facility Detail'!G372 + 'Facility Detail'!G410 + 'Facility Detail'!G454 + 'Facility Detail'!G498 + 'Facility Detail'!G542 + 'Facility Detail'!G586 + 'Facility Detail'!G630 + 'Facility Detail'!G683 + 'Facility Detail'!G727 + 'Facility Detail'!G771 + 'Facility Detail'!G815 + 'Facility Detail'!G857 + 'Facility Detail'!G897 + 'Facility Detail'!G939 + 'Facility Detail'!G981 + 'Facility Detail'!G1023 + 'Facility Detail'!G1065 + 'Facility Detail'!G1107 + 'Facility Detail'!G1149 + 'Facility Detail'!G1191 + 'Facility Detail'!G1233 + 'Facility Detail'!G1274 + 'Facility Detail'!G1316 )</f>
        <v>0</v>
      </c>
      <c r="G28" s="172"/>
      <c r="H28" s="260"/>
      <c r="I28" s="260"/>
      <c r="J28" s="260"/>
      <c r="K28" s="15"/>
      <c r="L28" s="15"/>
      <c r="M28" s="15"/>
    </row>
    <row r="29" spans="1:13">
      <c r="A29" s="116" t="str">
        <f xml:space="preserve"> ( 'Facility Detail'!$B$1752 + 3 ) &amp; " Surplus Applied to " &amp; ( 'Facility Detail'!$B$1752 + 4 )</f>
        <v>2014 Surplus Applied to 2015</v>
      </c>
      <c r="B29" s="70"/>
      <c r="C29" s="83"/>
      <c r="D29" s="83"/>
      <c r="E29" s="83"/>
      <c r="F29" s="79">
        <f xml:space="preserve"> -1 * ( 'Facility Detail'!G71 + 'Facility Detail'!G115 + 'Facility Detail'!G159 + 'Facility Detail'!G203 + 'Facility Detail'!G247 + 'Facility Detail'!G291 + 'Facility Detail'!G335 + 'Facility Detail'!G373 + 'Facility Detail'!G411 + 'Facility Detail'!G455 + 'Facility Detail'!G499 + 'Facility Detail'!G543 + 'Facility Detail'!G587 + 'Facility Detail'!G631 + 'Facility Detail'!G673 + 'Facility Detail'!G728 + 'Facility Detail'!G772 + 'Facility Detail'!G816 + 'Facility Detail'!G858 + 'Facility Detail'!G898 + 'Facility Detail'!G940 + 'Facility Detail'!G982 + 'Facility Detail'!G1024 + 'Facility Detail'!G1066 + 'Facility Detail'!G1108 + 'Facility Detail'!G1150 + 'Facility Detail'!G1192 + 'Facility Detail'!G1234 + 'Facility Detail'!G1275 + 'Facility Detail'!G1317 )</f>
        <v>-72004</v>
      </c>
      <c r="G29" s="79">
        <f xml:space="preserve"> ( 'Facility Detail'!H71 + 'Facility Detail'!H115 + 'Facility Detail'!H159 + 'Facility Detail'!H203 + 'Facility Detail'!H247 + 'Facility Detail'!H291 + 'Facility Detail'!H335 + 'Facility Detail'!H373 + 'Facility Detail'!H411 + 'Facility Detail'!H455 + 'Facility Detail'!H499 + 'Facility Detail'!H543 + 'Facility Detail'!H587 + 'Facility Detail'!H631 + 'Facility Detail'!H673 + 'Facility Detail'!H728 + 'Facility Detail'!H772 + 'Facility Detail'!H816 + 'Facility Detail'!H858 + 'Facility Detail'!H898 + 'Facility Detail'!H940 + 'Facility Detail'!H982 + 'Facility Detail'!H1024 + 'Facility Detail'!H1066 + 'Facility Detail'!H1108 + 'Facility Detail'!H1150 + 'Facility Detail'!H1192 + 'Facility Detail'!H1234 + 'Facility Detail'!H1275 + 'Facility Detail'!H1317 )</f>
        <v>72004</v>
      </c>
      <c r="H29" s="260"/>
      <c r="I29" s="260"/>
      <c r="J29" s="260"/>
      <c r="K29" s="15"/>
      <c r="L29" s="15"/>
      <c r="M29" s="15"/>
    </row>
    <row r="30" spans="1:13">
      <c r="A30" s="116" t="str">
        <f xml:space="preserve"> ( 'Facility Detail'!$B$1752 + 4 ) &amp; " Surplus Applied to " &amp; ( 'Facility Detail'!$B$1752 + 3 )</f>
        <v>2015 Surplus Applied to 2014</v>
      </c>
      <c r="B30" s="70"/>
      <c r="C30" s="83"/>
      <c r="D30" s="83"/>
      <c r="E30" s="83"/>
      <c r="F30" s="172"/>
      <c r="G30" s="79">
        <f xml:space="preserve"> ( 'Facility Detail'!H72 + 'Facility Detail'!H116 + 'Facility Detail'!H160 + 'Facility Detail'!H204 + 'Facility Detail'!H248 + 'Facility Detail'!H292 + 'Facility Detail'!H336 + 'Facility Detail'!H374 + 'Facility Detail'!H412 + 'Facility Detail'!H456 + 'Facility Detail'!H500 + 'Facility Detail'!H544 + 'Facility Detail'!H588 + 'Facility Detail'!H632 + 'Facility Detail'!H674 + 'Facility Detail'!H729 + 'Facility Detail'!H773 + 'Facility Detail'!H817 + 'Facility Detail'!H859 + 'Facility Detail'!H899 + 'Facility Detail'!H941 + 'Facility Detail'!H983 + 'Facility Detail'!H1025 + 'Facility Detail'!H1067 + 'Facility Detail'!H1109 + 'Facility Detail'!H1151 + 'Facility Detail'!H1193 + 'Facility Detail'!H1235 + 'Facility Detail'!H1276 + 'Facility Detail'!H1318 )</f>
        <v>0</v>
      </c>
      <c r="H30" s="260"/>
      <c r="I30" s="260"/>
      <c r="J30" s="260"/>
      <c r="K30" s="15"/>
      <c r="L30" s="15"/>
      <c r="M30" s="15"/>
    </row>
    <row r="31" spans="1:13">
      <c r="A31" s="116" t="str">
        <f xml:space="preserve"> ( 'Facility Detail'!$B$1752 + 4 ) &amp; " Surplus Applied to " &amp; ( 'Facility Detail'!$B$1752 + 5 )</f>
        <v>2015 Surplus Applied to 2016</v>
      </c>
      <c r="B31" s="70"/>
      <c r="C31" s="83"/>
      <c r="D31" s="83"/>
      <c r="E31" s="83"/>
      <c r="F31" s="172"/>
      <c r="G31" s="79">
        <f xml:space="preserve"> -1 * ( 'Facility Detail'!H73 + 'Facility Detail'!H117 + 'Facility Detail'!H161 + 'Facility Detail'!H205 + 'Facility Detail'!H249 + 'Facility Detail'!H293 + 'Facility Detail'!H337 + 'Facility Detail'!H375 + 'Facility Detail'!H413 + 'Facility Detail'!H457 + 'Facility Detail'!H501 + 'Facility Detail'!H545 + 'Facility Detail'!H589 + 'Facility Detail'!H633 + 'Facility Detail'!H675 + 'Facility Detail'!H719 + 'Facility Detail'!H763 + 'Facility Detail'!H807 + 'Facility Detail'!H851 + 'Facility Detail'!H893 + 'Facility Detail'!H933+'Facility Detail'!H975+ 'Facility Detail'!H1017+'Facility Detail'!H1059+'Facility Detail'!H1101+'Facility Detail'!H1143)</f>
        <v>-219641</v>
      </c>
      <c r="H31" s="261">
        <f>('Facility Detail'!I73+'Facility Detail'!I117+'Facility Detail'!I161+'Facility Detail'!I205+'Facility Detail'!I249+'Facility Detail'!I293+'Facility Detail'!I337+'Facility Detail'!I375+'Facility Detail'!I413+'Facility Detail'!I457+'Facility Detail'!I501+'Facility Detail'!I545+'Facility Detail'!I589+'Facility Detail'!I633+'Facility Detail'!I675+'Facility Detail'!I719+'Facility Detail'!I763+'Facility Detail'!I807+'Facility Detail'!I851+'Facility Detail'!I893+'Facility Detail'!I933+'Facility Detail'!I975+'Facility Detail'!I1017+'Facility Detail'!I1059+'Facility Detail'!I1101+'Facility Detail'!I1143+'Facility Detail'!H1185+'Facility Detail'!H1227+'Facility Detail'!H1269+'Facility Detail'!H1310+'Facility Detail'!H1351+'Facility Detail'!H1392+'Facility Detail'!H1433+'Facility Detail'!H1476+'Facility Detail'!H1519+'Facility Detail'!H1561+'Facility Detail'!H1603+'Facility Detail'!H1645)</f>
        <v>219957</v>
      </c>
      <c r="I31" s="260"/>
      <c r="J31" s="260"/>
      <c r="K31" s="15"/>
      <c r="L31" s="15"/>
      <c r="M31" s="15"/>
    </row>
    <row r="32" spans="1:13">
      <c r="A32" s="116" t="str">
        <f xml:space="preserve"> ( 'Facility Detail'!$B$1752 + 5 ) &amp; " Surplus Applied to " &amp; ( 'Facility Detail'!$B$1752 + 4 )</f>
        <v>2016 Surplus Applied to 2015</v>
      </c>
      <c r="B32" s="168"/>
      <c r="C32" s="153"/>
      <c r="D32" s="153"/>
      <c r="E32" s="153"/>
      <c r="F32" s="170"/>
      <c r="G32" s="266"/>
      <c r="H32" s="203"/>
      <c r="I32" s="260"/>
      <c r="J32" s="260"/>
      <c r="K32" s="15"/>
      <c r="L32" s="15"/>
      <c r="M32" s="15"/>
    </row>
    <row r="33" spans="1:13">
      <c r="A33" s="116" t="str">
        <f xml:space="preserve"> ( 'Facility Detail'!$B$1752 + 5 ) &amp; " Surplus Applied to " &amp; ( 'Facility Detail'!$B$1752 + 6 )</f>
        <v>2016 Surplus Applied to 2017</v>
      </c>
      <c r="B33" s="168"/>
      <c r="C33" s="153"/>
      <c r="D33" s="153"/>
      <c r="E33" s="153"/>
      <c r="F33" s="170"/>
      <c r="G33" s="266"/>
      <c r="H33" s="203">
        <f xml:space="preserve"> -1 * ( 'Facility Detail'!I75 + 'Facility Detail'!I119 + 'Facility Detail'!I163 + 'Facility Detail'!I207 + 'Facility Detail'!I251+'Facility Detail'!I295 + 'Facility Detail'!I415 + 'Facility Detail'!I459 + 'Facility Detail'!I503 + 'Facility Detail'!I547 + 'Facility Detail'!I591 + 'Facility Detail'!I635 + 'Facility Detail'!I677 + 'Facility Detail'!I721 + 'Facility Detail'!I765 + 'Facility Detail'!I809 + 'Facility Detail'!I853 + 'Facility Detail'!I895 + 'Facility Detail'!I935+ 'Facility Detail'!I977 + 'Facility Detail'!I1019 + 'Facility Detail'!I1061 + 'Facility Detail'!I1103 + 'Facility Detail'!I1145+'Facility Detail'!I1187+'Facility Detail'!I1229+'Facility Detail'!I1271+'Facility Detail'!I1312+'Facility Detail'!I1353+'Facility Detail'!I1394+'Facility Detail'!I1435+'Facility Detail'!I1478+'Facility Detail'!I1521+'Facility Detail'!I1563+'Facility Detail'!I1605+'Facility Detail'!I1647)</f>
        <v>-223773.40669669915</v>
      </c>
      <c r="I33" s="203">
        <f xml:space="preserve"> ( 'Facility Detail'!J75 + 'Facility Detail'!J119 + 'Facility Detail'!J163 + 'Facility Detail'!J207 + 'Facility Detail'!J251+'Facility Detail'!J295 + 'Facility Detail'!J415 + 'Facility Detail'!J459 + 'Facility Detail'!J503 + 'Facility Detail'!J547 + 'Facility Detail'!J591 + 'Facility Detail'!J635 + 'Facility Detail'!J677 + 'Facility Detail'!J721 + 'Facility Detail'!J765 + 'Facility Detail'!J809 + 'Facility Detail'!J853 + 'Facility Detail'!J895 + 'Facility Detail'!J935+ 'Facility Detail'!J977 + 'Facility Detail'!J1019 + 'Facility Detail'!J1061 + 'Facility Detail'!J1103 + 'Facility Detail'!J1145+'Facility Detail'!J1187+'Facility Detail'!J1229+'Facility Detail'!J1271+'Facility Detail'!J1312+'Facility Detail'!J1353+'Facility Detail'!J1394+'Facility Detail'!J1435+'Facility Detail'!J1478+'Facility Detail'!J1521+'Facility Detail'!J1563+'Facility Detail'!J1605+'Facility Detail'!J1647)</f>
        <v>223773.40669669915</v>
      </c>
      <c r="J33" s="260"/>
      <c r="K33" s="15"/>
      <c r="L33" s="15"/>
      <c r="M33" s="15"/>
    </row>
    <row r="34" spans="1:13">
      <c r="A34" s="116" t="s">
        <v>191</v>
      </c>
      <c r="B34" s="168"/>
      <c r="C34" s="153"/>
      <c r="D34" s="153"/>
      <c r="E34" s="153"/>
      <c r="F34" s="170"/>
      <c r="G34" s="266"/>
      <c r="H34" s="266"/>
      <c r="I34" s="203"/>
      <c r="J34" s="260"/>
      <c r="K34" s="15"/>
      <c r="L34" s="15"/>
      <c r="M34" s="15"/>
    </row>
    <row r="35" spans="1:13">
      <c r="A35" s="116" t="s">
        <v>192</v>
      </c>
      <c r="B35" s="168"/>
      <c r="C35" s="153"/>
      <c r="D35" s="153"/>
      <c r="E35" s="153"/>
      <c r="F35" s="170"/>
      <c r="G35" s="266"/>
      <c r="H35" s="266"/>
      <c r="I35" s="169">
        <v>-145218</v>
      </c>
      <c r="J35" s="203">
        <v>145218</v>
      </c>
      <c r="K35" s="15"/>
      <c r="L35" s="15"/>
      <c r="M35" s="15"/>
    </row>
    <row r="36" spans="1:13">
      <c r="A36" s="116" t="s">
        <v>226</v>
      </c>
      <c r="B36" s="168"/>
      <c r="C36" s="153"/>
      <c r="D36" s="153"/>
      <c r="E36" s="153"/>
      <c r="F36" s="170"/>
      <c r="G36" s="266"/>
      <c r="H36" s="266"/>
      <c r="I36" s="266"/>
      <c r="J36" s="203"/>
      <c r="K36" s="15"/>
      <c r="L36" s="15"/>
      <c r="M36" s="15"/>
    </row>
    <row r="37" spans="1:13">
      <c r="A37" s="116" t="s">
        <v>227</v>
      </c>
      <c r="B37" s="71"/>
      <c r="C37" s="234"/>
      <c r="D37" s="234"/>
      <c r="E37" s="234"/>
      <c r="F37" s="154"/>
      <c r="G37" s="267"/>
      <c r="H37" s="267"/>
      <c r="I37" s="267"/>
      <c r="J37" s="396"/>
      <c r="K37" s="15"/>
      <c r="L37" s="15"/>
      <c r="M37" s="15"/>
    </row>
    <row r="38" spans="1:13">
      <c r="A38" s="84" t="s">
        <v>17</v>
      </c>
      <c r="B38" s="52"/>
      <c r="C38" s="52">
        <f>SUM(C23:C24)</f>
        <v>-104826</v>
      </c>
      <c r="D38" s="52">
        <f>SUM(D23:D25)</f>
        <v>12147</v>
      </c>
      <c r="E38" s="52">
        <f>SUM(E23:E27)</f>
        <v>13558</v>
      </c>
      <c r="F38" s="52">
        <f>SUM(F23:F29)</f>
        <v>7117</v>
      </c>
      <c r="G38" s="52">
        <f>SUM(G23:G31)</f>
        <v>-147637</v>
      </c>
      <c r="H38" s="52">
        <f>SUM(H23:H33)</f>
        <v>-3816.4066966991522</v>
      </c>
      <c r="I38" s="31">
        <f>SUM(I23:I35)</f>
        <v>78555.406696699152</v>
      </c>
      <c r="J38" s="388"/>
      <c r="K38" s="15"/>
      <c r="L38" s="15"/>
      <c r="M38" s="15"/>
    </row>
    <row r="39" spans="1:13">
      <c r="B39" s="52"/>
      <c r="C39" s="52"/>
      <c r="D39" s="52"/>
      <c r="E39" s="155"/>
      <c r="F39" s="155"/>
      <c r="G39" s="155"/>
      <c r="H39" s="155"/>
      <c r="I39" s="364"/>
      <c r="J39" s="364"/>
      <c r="K39" s="15"/>
      <c r="L39" s="15"/>
      <c r="M39" s="15"/>
    </row>
    <row r="40" spans="1:13">
      <c r="A40" s="117" t="s">
        <v>12</v>
      </c>
      <c r="B40" s="114"/>
      <c r="C40" s="115">
        <f xml:space="preserve"> 'Facility Detail'!D82 + 'Facility Detail'!D126 + 'Facility Detail'!D170 + 'Facility Detail'!D214 + 'Facility Detail'!D258 + 'Facility Detail'!D302 + 'Facility Detail'!D340 + 'Facility Detail'!D378 + 'Facility Detail'!D422 + 'Facility Detail'!D466 + 'Facility Detail'!D510 + 'Facility Detail'!D554 + 'Facility Detail'!D598 + 'Facility Detail'!D640 + 'Facility Detail'!D684 + 'Facility Detail'!D728 + 'Facility Detail'!D772 + 'Facility Detail'!D816 + 'Facility Detail'!D858 + 'Facility Detail'!D898 + 'Facility Detail'!D940 + 'Facility Detail'!D982 + 'Facility Detail'!D1024 + 'Facility Detail'!D1066 + 'Facility Detail'!D1108 + 'Facility Detail'!D1150 + 'Facility Detail'!D1192 + 'Facility Detail'!D1234 + 'Facility Detail'!D1275 + 'Facility Detail'!D1317</f>
        <v>0</v>
      </c>
      <c r="D40" s="115">
        <f xml:space="preserve"> 'Facility Detail'!E82 + 'Facility Detail'!E126 + 'Facility Detail'!E170 + 'Facility Detail'!E214 + 'Facility Detail'!E258 + 'Facility Detail'!E302 + 'Facility Detail'!E340 + 'Facility Detail'!E378 + 'Facility Detail'!E422 + 'Facility Detail'!E466 + 'Facility Detail'!E510 + 'Facility Detail'!E554 + 'Facility Detail'!E598 + 'Facility Detail'!E640 + 'Facility Detail'!E684 + 'Facility Detail'!E728 + 'Facility Detail'!E772 + 'Facility Detail'!E816 + 'Facility Detail'!E858 + 'Facility Detail'!E898 + 'Facility Detail'!E940 + 'Facility Detail'!E982 + 'Facility Detail'!E1024 + 'Facility Detail'!E1066 + 'Facility Detail'!E1108 + 'Facility Detail'!E1150 + 'Facility Detail'!E1192 + 'Facility Detail'!E1234 + 'Facility Detail'!E1275 + 'Facility Detail'!E1317</f>
        <v>0</v>
      </c>
      <c r="E40" s="115">
        <f xml:space="preserve"> 'Facility Detail'!F82 + 'Facility Detail'!F126 + 'Facility Detail'!F170 + 'Facility Detail'!F214 + 'Facility Detail'!F258 + 'Facility Detail'!F302 + 'Facility Detail'!F340 + 'Facility Detail'!F378 + 'Facility Detail'!F422 + 'Facility Detail'!F466 + 'Facility Detail'!F510 + 'Facility Detail'!F554 + 'Facility Detail'!F598 + 'Facility Detail'!F640 + 'Facility Detail'!F684 + 'Facility Detail'!F728 + 'Facility Detail'!F772 + 'Facility Detail'!F816 + 'Facility Detail'!F858 + 'Facility Detail'!F898 + 'Facility Detail'!F940 + 'Facility Detail'!F982 + 'Facility Detail'!F1024 + 'Facility Detail'!F1066 + 'Facility Detail'!F1108 + 'Facility Detail'!F1150 + 'Facility Detail'!F1192 + 'Facility Detail'!F1234 + 'Facility Detail'!F1275 + 'Facility Detail'!F1317</f>
        <v>0</v>
      </c>
      <c r="F40" s="201">
        <f xml:space="preserve"> 'Facility Detail'!G82 + 'Facility Detail'!G126 + 'Facility Detail'!G170 + 'Facility Detail'!G214 + 'Facility Detail'!G258 + 'Facility Detail'!G302 + 'Facility Detail'!G340 + 'Facility Detail'!G378 + 'Facility Detail'!G422 + 'Facility Detail'!G466 + 'Facility Detail'!G510 + 'Facility Detail'!G554 + 'Facility Detail'!G598 + 'Facility Detail'!G640 + 'Facility Detail'!G684 + 'Facility Detail'!G728 + 'Facility Detail'!G772 + 'Facility Detail'!G816 + 'Facility Detail'!G858 + 'Facility Detail'!G898 + 'Facility Detail'!G940 + 'Facility Detail'!G982 + 'Facility Detail'!G1024 + 'Facility Detail'!G1066 + 'Facility Detail'!G1108 + 'Facility Detail'!G1150 + 'Facility Detail'!G1192 + 'Facility Detail'!G1234 + 'Facility Detail'!G1275 + 'Facility Detail'!G1317</f>
        <v>0</v>
      </c>
      <c r="G40" s="201">
        <f xml:space="preserve"> 'Facility Detail'!H82 + 'Facility Detail'!H126 + 'Facility Detail'!H170 + 'Facility Detail'!H214 + 'Facility Detail'!H258 + 'Facility Detail'!H302 + 'Facility Detail'!H340 + 'Facility Detail'!H378 + 'Facility Detail'!H422 + 'Facility Detail'!H466 + 'Facility Detail'!H510 + 'Facility Detail'!H554 + 'Facility Detail'!H598 + 'Facility Detail'!H640 + 'Facility Detail'!H684 + 'Facility Detail'!H728 + 'Facility Detail'!H772 + 'Facility Detail'!H816 + 'Facility Detail'!H858 + 'Facility Detail'!H898 + 'Facility Detail'!H940 + 'Facility Detail'!H982 + 'Facility Detail'!H1024 + 'Facility Detail'!H1066 + 'Facility Detail'!H1108 + 'Facility Detail'!H1150 + 'Facility Detail'!H1192 + 'Facility Detail'!H1234 + 'Facility Detail'!H1275 + 'Facility Detail'!H1317</f>
        <v>0</v>
      </c>
      <c r="H40" s="201">
        <f xml:space="preserve"> 'Facility Detail'!I82 + 'Facility Detail'!I126 + 'Facility Detail'!I170 + 'Facility Detail'!I214 + 'Facility Detail'!I258 + 'Facility Detail'!I302 + 'Facility Detail'!I340 + 'Facility Detail'!I378 + 'Facility Detail'!I422 + 'Facility Detail'!I466 + 'Facility Detail'!I510 + 'Facility Detail'!I554 + 'Facility Detail'!I598 + 'Facility Detail'!I640 + 'Facility Detail'!I684 + 'Facility Detail'!I728 + 'Facility Detail'!I772 + 'Facility Detail'!I816 + 'Facility Detail'!I858 + 'Facility Detail'!I898 + 'Facility Detail'!I940 + 'Facility Detail'!I982 + 'Facility Detail'!I1024 + 'Facility Detail'!I1066 + 'Facility Detail'!I1108 + 'Facility Detail'!I1150 + 'Facility Detail'!I1192 + 'Facility Detail'!I1234 + 'Facility Detail'!I1275 + 'Facility Detail'!I1317</f>
        <v>0</v>
      </c>
      <c r="I40" s="201">
        <f xml:space="preserve"> 'Facility Detail'!J82 + 'Facility Detail'!J126 + 'Facility Detail'!J170 + 'Facility Detail'!J214 + 'Facility Detail'!J258 + 'Facility Detail'!J302 + 'Facility Detail'!J340 + 'Facility Detail'!J378 + 'Facility Detail'!J422 + 'Facility Detail'!J466 + 'Facility Detail'!J510 + 'Facility Detail'!J554 + 'Facility Detail'!J598 + 'Facility Detail'!J640 + 'Facility Detail'!J684 + 'Facility Detail'!J728 + 'Facility Detail'!J772 + 'Facility Detail'!J816 + 'Facility Detail'!J858 + 'Facility Detail'!J898 + 'Facility Detail'!J940 + 'Facility Detail'!J982 + 'Facility Detail'!J1024 + 'Facility Detail'!J1066 + 'Facility Detail'!J1108 + 'Facility Detail'!J1150 + 'Facility Detail'!J1192 + 'Facility Detail'!J1234 + 'Facility Detail'!J1275 + 'Facility Detail'!J1317</f>
        <v>0</v>
      </c>
      <c r="J40" s="201">
        <f xml:space="preserve"> 'Facility Detail'!K82 + 'Facility Detail'!K126 + 'Facility Detail'!K170 + 'Facility Detail'!K214 + 'Facility Detail'!K258 + 'Facility Detail'!K302 + 'Facility Detail'!K340 + 'Facility Detail'!K378 + 'Facility Detail'!K422 + 'Facility Detail'!K466 + 'Facility Detail'!K510 + 'Facility Detail'!K554 + 'Facility Detail'!K598 + 'Facility Detail'!K640 + 'Facility Detail'!K684 + 'Facility Detail'!K728 + 'Facility Detail'!K772 + 'Facility Detail'!K816 + 'Facility Detail'!K858 + 'Facility Detail'!K898 + 'Facility Detail'!K940 + 'Facility Detail'!K982 + 'Facility Detail'!K1024 + 'Facility Detail'!K1066 + 'Facility Detail'!K1108 + 'Facility Detail'!K1150 + 'Facility Detail'!K1192 + 'Facility Detail'!K1234 + 'Facility Detail'!K1275 + 'Facility Detail'!K1317</f>
        <v>0</v>
      </c>
      <c r="K40" s="15"/>
      <c r="L40" s="15"/>
      <c r="M40" s="15"/>
    </row>
    <row r="41" spans="1:13">
      <c r="B41" s="52"/>
      <c r="C41" s="52"/>
      <c r="D41" s="52"/>
      <c r="E41" s="155"/>
      <c r="F41" s="155"/>
      <c r="G41" s="155"/>
      <c r="H41" s="155"/>
      <c r="I41" s="155"/>
      <c r="J41" s="155"/>
      <c r="K41" s="15"/>
      <c r="L41" s="15"/>
      <c r="M41" s="15"/>
    </row>
    <row r="42" spans="1:13">
      <c r="B42" s="2">
        <f>C42 - 1</f>
        <v>2010</v>
      </c>
      <c r="C42" s="2">
        <f>'Facility Detail'!$B$1752</f>
        <v>2011</v>
      </c>
      <c r="D42" s="2">
        <f>C42+1</f>
        <v>2012</v>
      </c>
      <c r="E42" s="2">
        <f>D42+1</f>
        <v>2013</v>
      </c>
      <c r="F42" s="157" t="str">
        <f>C42+3 &amp; ""</f>
        <v>2014</v>
      </c>
      <c r="G42" s="157" t="str">
        <f>D42+3 &amp; ""</f>
        <v>2015</v>
      </c>
      <c r="H42" s="157" t="str">
        <f>E42+3 &amp; "*"</f>
        <v>2016*</v>
      </c>
      <c r="I42" s="157" t="str">
        <f>F42+3 &amp; "*"</f>
        <v>2017*</v>
      </c>
      <c r="J42" s="157" t="str">
        <f>G42+3 &amp; "*"</f>
        <v>2018*</v>
      </c>
      <c r="K42" s="15"/>
      <c r="L42" s="15"/>
      <c r="M42" s="15"/>
    </row>
    <row r="43" spans="1:13" ht="32.25" customHeight="1">
      <c r="A43" s="76" t="s">
        <v>27</v>
      </c>
      <c r="B43" s="75"/>
      <c r="C43" s="265">
        <f t="shared" ref="C43:I43" si="8">C14 + C20 - C9 + C38 + C40</f>
        <v>0</v>
      </c>
      <c r="D43" s="265">
        <f t="shared" si="8"/>
        <v>0.59000000001105946</v>
      </c>
      <c r="E43" s="265">
        <f t="shared" si="8"/>
        <v>-0.41499999999359716</v>
      </c>
      <c r="F43" s="265">
        <f t="shared" si="8"/>
        <v>0.21000000000640284</v>
      </c>
      <c r="G43" s="265">
        <f t="shared" si="8"/>
        <v>-1.0000000009313226E-2</v>
      </c>
      <c r="H43" s="265">
        <f>H14 + H20 - H9 + H38 + H40</f>
        <v>-0.21999999997206032</v>
      </c>
      <c r="I43" s="265">
        <f t="shared" si="8"/>
        <v>0.82993669918505475</v>
      </c>
      <c r="J43" s="265">
        <v>-3.0444799980614334E-2</v>
      </c>
      <c r="K43" s="21"/>
      <c r="L43" s="21"/>
      <c r="M43" s="21"/>
    </row>
    <row r="45" spans="1:13" ht="21.75" customHeight="1">
      <c r="A45" s="408" t="str">
        <f>"* Any surplus shown in " &amp; YEAR( B4 ) &amp; " or " &amp; YEAR( B4 ) + 1 &amp; " may be sold or used for compliance in subsequent years.  Compliance deficits shown " &amp; "in " &amp;  YEAR( B4 ) + 1 &amp; "  may be filled by REC procurement from subsequent years."</f>
        <v>* Any surplus shown in 2018 or 2019 may be sold or used for compliance in subsequent years.  Compliance deficits shown in 2019  may be filled by REC procurement from subsequent years.</v>
      </c>
      <c r="B45" s="408"/>
      <c r="C45" s="408"/>
      <c r="D45" s="408"/>
      <c r="E45" s="408"/>
      <c r="F45" s="408"/>
      <c r="G45" s="408"/>
      <c r="H45" s="408"/>
    </row>
    <row r="46" spans="1:13">
      <c r="A46" s="208"/>
      <c r="B46" s="208"/>
    </row>
    <row r="47" spans="1:13" ht="30.75" customHeight="1">
      <c r="A47" s="418" t="s">
        <v>127</v>
      </c>
      <c r="B47" s="418"/>
      <c r="C47" s="418"/>
      <c r="D47" s="418"/>
      <c r="E47" s="418"/>
      <c r="F47" s="418"/>
      <c r="G47" s="418"/>
      <c r="H47" s="418"/>
    </row>
    <row r="48" spans="1:13" s="254" customFormat="1" ht="18" customHeight="1"/>
    <row r="49" spans="1:9" ht="14.25" customHeight="1">
      <c r="A49" s="419" t="s">
        <v>224</v>
      </c>
      <c r="B49" s="419"/>
      <c r="C49" s="419"/>
      <c r="D49" s="419"/>
      <c r="E49" s="419"/>
      <c r="F49" s="419"/>
      <c r="G49" s="419"/>
      <c r="H49" s="419"/>
      <c r="I49" s="419"/>
    </row>
    <row r="51" spans="1:9">
      <c r="A51" s="415" t="s">
        <v>151</v>
      </c>
      <c r="B51" s="415"/>
      <c r="C51" s="415"/>
      <c r="D51" s="415"/>
      <c r="E51" s="415"/>
      <c r="F51" s="254"/>
      <c r="G51" s="254"/>
      <c r="H51" s="254"/>
      <c r="I51" s="254"/>
    </row>
    <row r="52" spans="1:9">
      <c r="A52" s="416" t="s">
        <v>160</v>
      </c>
      <c r="B52" s="416"/>
      <c r="C52" s="416"/>
      <c r="D52" s="416"/>
      <c r="E52" s="416"/>
      <c r="F52" s="254"/>
      <c r="G52" s="254"/>
      <c r="H52" s="254"/>
      <c r="I52" s="254"/>
    </row>
    <row r="53" spans="1:9" ht="15" customHeight="1">
      <c r="A53" s="416" t="s">
        <v>228</v>
      </c>
      <c r="B53" s="416"/>
      <c r="C53" s="416"/>
      <c r="D53" s="416"/>
      <c r="E53" s="416"/>
      <c r="F53" s="254"/>
      <c r="G53" s="254"/>
      <c r="H53" s="254"/>
      <c r="I53" s="254"/>
    </row>
    <row r="54" spans="1:9">
      <c r="A54" s="417" t="s">
        <v>161</v>
      </c>
      <c r="B54" s="416"/>
      <c r="C54" s="416"/>
      <c r="D54" s="416"/>
      <c r="E54" s="416"/>
      <c r="F54" s="254"/>
      <c r="G54" s="254"/>
      <c r="H54" s="254"/>
      <c r="I54" s="254"/>
    </row>
    <row r="55" spans="1:9" ht="6.75" customHeight="1">
      <c r="A55" s="416" t="s">
        <v>229</v>
      </c>
      <c r="B55" s="416"/>
      <c r="C55" s="416"/>
      <c r="D55" s="416"/>
      <c r="E55" s="416"/>
      <c r="F55" s="254"/>
      <c r="G55" s="254"/>
      <c r="H55" s="254"/>
      <c r="I55" s="254"/>
    </row>
    <row r="56" spans="1:9">
      <c r="A56" s="416"/>
      <c r="B56" s="416"/>
      <c r="C56" s="416"/>
      <c r="D56" s="416"/>
      <c r="E56" s="416"/>
      <c r="F56" s="254"/>
      <c r="G56" s="254"/>
      <c r="H56" s="254"/>
      <c r="I56" s="254"/>
    </row>
    <row r="57" spans="1:9">
      <c r="A57" s="416"/>
      <c r="B57" s="416"/>
      <c r="C57" s="416"/>
      <c r="D57" s="416"/>
      <c r="E57" s="416"/>
      <c r="F57" s="254"/>
      <c r="G57" s="254"/>
      <c r="H57" s="254"/>
      <c r="I57" s="254"/>
    </row>
    <row r="58" spans="1:9">
      <c r="A58" s="416"/>
      <c r="B58" s="416"/>
      <c r="C58" s="416"/>
      <c r="D58" s="416"/>
      <c r="E58" s="416"/>
      <c r="F58" s="254"/>
      <c r="G58" s="254"/>
      <c r="H58" s="254"/>
      <c r="I58" s="254"/>
    </row>
    <row r="59" spans="1:9" ht="32.25" customHeight="1">
      <c r="A59" s="416"/>
      <c r="B59" s="416"/>
      <c r="C59" s="416"/>
      <c r="D59" s="416"/>
      <c r="E59" s="416"/>
      <c r="F59" s="254"/>
      <c r="G59" s="254"/>
      <c r="H59" s="254"/>
      <c r="I59" s="254"/>
    </row>
    <row r="60" spans="1:9">
      <c r="A60" s="417" t="s">
        <v>152</v>
      </c>
      <c r="B60" s="416"/>
      <c r="C60" s="416"/>
      <c r="D60" s="416"/>
      <c r="E60" s="416"/>
      <c r="F60" s="254"/>
      <c r="G60" s="254"/>
      <c r="H60" s="254"/>
      <c r="I60" s="254"/>
    </row>
    <row r="61" spans="1:9" ht="15" customHeight="1">
      <c r="A61" s="416" t="s">
        <v>153</v>
      </c>
      <c r="B61" s="416"/>
      <c r="C61" s="416"/>
      <c r="D61" s="416"/>
      <c r="E61" s="416"/>
      <c r="F61" s="254"/>
      <c r="G61" s="254"/>
      <c r="H61" s="254"/>
      <c r="I61" s="254"/>
    </row>
    <row r="62" spans="1:9">
      <c r="A62" s="409"/>
      <c r="B62" s="409"/>
      <c r="C62" s="409"/>
      <c r="D62" s="409"/>
      <c r="E62" s="409"/>
      <c r="F62" s="254"/>
      <c r="G62" s="254"/>
      <c r="H62" s="254"/>
      <c r="I62" s="254"/>
    </row>
  </sheetData>
  <mergeCells count="13">
    <mergeCell ref="A45:H45"/>
    <mergeCell ref="A62:E62"/>
    <mergeCell ref="B2:E2"/>
    <mergeCell ref="B4:C4"/>
    <mergeCell ref="A51:E51"/>
    <mergeCell ref="A52:E52"/>
    <mergeCell ref="A53:E53"/>
    <mergeCell ref="A54:E54"/>
    <mergeCell ref="A55:E59"/>
    <mergeCell ref="A60:E60"/>
    <mergeCell ref="A61:E61"/>
    <mergeCell ref="A47:H47"/>
    <mergeCell ref="A49:I49"/>
  </mergeCells>
  <phoneticPr fontId="5" type="noConversion"/>
  <conditionalFormatting sqref="B43:M43">
    <cfRule type="cellIs" dxfId="0" priority="3" stopIfTrue="1" operator="lessThan">
      <formula>0</formula>
    </cfRule>
  </conditionalFormatting>
  <printOptions horizontalCentered="1"/>
  <pageMargins left="0" right="0" top="0" bottom="0.25" header="0.3" footer="0.3"/>
  <pageSetup scale="59" fitToHeight="0" orientation="landscape" r:id="rId1"/>
  <headerFooter alignWithMargins="0">
    <oddFooter>&amp;CCONFIDENTIAL PER WAC 480-07-160</oddFooter>
  </headerFooter>
  <ignoredErrors>
    <ignoredError sqref="D9:J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3"/>
    <pageSetUpPr fitToPage="1"/>
  </sheetPr>
  <dimension ref="A1:P1765"/>
  <sheetViews>
    <sheetView showGridLines="0" view="pageBreakPreview" topLeftCell="A1687" zoomScale="70" zoomScaleNormal="70" zoomScaleSheetLayoutView="70" workbookViewId="0">
      <selection activeCell="C1118" sqref="C1118"/>
    </sheetView>
  </sheetViews>
  <sheetFormatPr defaultRowHeight="15" outlineLevelRow="1"/>
  <cols>
    <col min="1" max="1" width="9" style="1" customWidth="1"/>
    <col min="2" max="2" width="47.5703125" style="1" customWidth="1"/>
    <col min="3" max="3" width="12.28515625" style="1" customWidth="1"/>
    <col min="4" max="12" width="19.42578125" style="1" customWidth="1"/>
    <col min="13" max="13" width="17.85546875" style="1" customWidth="1"/>
    <col min="14" max="14" width="16.42578125" style="1" customWidth="1"/>
    <col min="15" max="15" width="13.7109375" style="1" customWidth="1"/>
    <col min="16" max="26" width="12.140625" style="1" customWidth="1"/>
    <col min="27" max="16384" width="9.140625" style="1"/>
  </cols>
  <sheetData>
    <row r="1" spans="1:16" ht="47.25">
      <c r="B1" s="35" t="s">
        <v>4</v>
      </c>
      <c r="C1" s="35" t="s">
        <v>13</v>
      </c>
      <c r="D1" s="35" t="s">
        <v>115</v>
      </c>
      <c r="E1" s="35" t="s">
        <v>14</v>
      </c>
      <c r="F1" s="35" t="s">
        <v>15</v>
      </c>
      <c r="G1" s="35" t="s">
        <v>126</v>
      </c>
      <c r="H1" s="35"/>
      <c r="I1" s="35"/>
      <c r="N1" s="27"/>
      <c r="P1" s="32"/>
    </row>
    <row r="2" spans="1:16">
      <c r="B2" s="280" t="s">
        <v>128</v>
      </c>
      <c r="C2" s="37" t="s">
        <v>129</v>
      </c>
      <c r="D2" s="28" t="s">
        <v>107</v>
      </c>
      <c r="E2" s="28" t="s">
        <v>1</v>
      </c>
      <c r="F2" s="138" t="s">
        <v>1</v>
      </c>
      <c r="G2" s="141">
        <v>39599</v>
      </c>
      <c r="H2" s="161"/>
      <c r="I2" s="161"/>
      <c r="P2" s="26"/>
    </row>
    <row r="3" spans="1:16">
      <c r="B3" s="281" t="s">
        <v>130</v>
      </c>
      <c r="C3" s="38" t="s">
        <v>131</v>
      </c>
      <c r="D3" s="29" t="s">
        <v>107</v>
      </c>
      <c r="E3" s="29" t="s">
        <v>1</v>
      </c>
      <c r="F3" s="139" t="s">
        <v>1</v>
      </c>
      <c r="G3" s="142">
        <v>38974</v>
      </c>
      <c r="H3" s="161"/>
      <c r="I3" s="161"/>
      <c r="P3" s="26"/>
    </row>
    <row r="4" spans="1:16">
      <c r="B4" s="281" t="s">
        <v>132</v>
      </c>
      <c r="C4" s="38" t="s">
        <v>133</v>
      </c>
      <c r="D4" s="29" t="s">
        <v>107</v>
      </c>
      <c r="E4" s="29" t="s">
        <v>1</v>
      </c>
      <c r="F4" s="139" t="s">
        <v>1</v>
      </c>
      <c r="G4" s="142">
        <v>39295</v>
      </c>
      <c r="H4" s="161"/>
      <c r="I4" s="161"/>
      <c r="P4" s="26"/>
    </row>
    <row r="5" spans="1:16">
      <c r="B5" s="281" t="s">
        <v>134</v>
      </c>
      <c r="C5" s="38" t="s">
        <v>135</v>
      </c>
      <c r="D5" s="29" t="s">
        <v>107</v>
      </c>
      <c r="E5" s="29" t="s">
        <v>1</v>
      </c>
      <c r="F5" s="139" t="s">
        <v>1</v>
      </c>
      <c r="G5" s="142">
        <v>39627</v>
      </c>
      <c r="H5" s="161"/>
      <c r="I5" s="161"/>
      <c r="P5" s="26"/>
    </row>
    <row r="6" spans="1:16">
      <c r="B6" s="281" t="s">
        <v>136</v>
      </c>
      <c r="C6" s="38" t="s">
        <v>137</v>
      </c>
      <c r="D6" s="29" t="s">
        <v>107</v>
      </c>
      <c r="E6" s="29" t="s">
        <v>1</v>
      </c>
      <c r="F6" s="139" t="s">
        <v>1</v>
      </c>
      <c r="G6" s="142">
        <v>39721</v>
      </c>
      <c r="H6" s="161"/>
      <c r="I6" s="161"/>
      <c r="P6" s="26"/>
    </row>
    <row r="7" spans="1:16">
      <c r="B7" s="281" t="s">
        <v>138</v>
      </c>
      <c r="C7" s="38" t="s">
        <v>139</v>
      </c>
      <c r="D7" s="29" t="s">
        <v>107</v>
      </c>
      <c r="E7" s="29" t="s">
        <v>1</v>
      </c>
      <c r="F7" s="139" t="s">
        <v>1</v>
      </c>
      <c r="G7" s="142">
        <v>39721</v>
      </c>
      <c r="H7" s="161"/>
      <c r="I7" s="161"/>
      <c r="P7" s="26"/>
    </row>
    <row r="8" spans="1:16" ht="15.75">
      <c r="A8" s="210"/>
      <c r="B8" s="281" t="s">
        <v>165</v>
      </c>
      <c r="C8" s="38" t="s">
        <v>140</v>
      </c>
      <c r="D8" s="29" t="s">
        <v>107</v>
      </c>
      <c r="E8" s="29" t="s">
        <v>1</v>
      </c>
      <c r="F8" s="139" t="s">
        <v>1</v>
      </c>
      <c r="G8" s="142">
        <v>40312</v>
      </c>
      <c r="I8" s="161"/>
      <c r="P8" s="26"/>
    </row>
    <row r="9" spans="1:16">
      <c r="B9" s="281" t="s">
        <v>141</v>
      </c>
      <c r="C9" s="38" t="s">
        <v>142</v>
      </c>
      <c r="D9" s="29" t="s">
        <v>114</v>
      </c>
      <c r="E9" s="29" t="s">
        <v>1</v>
      </c>
      <c r="F9" s="139" t="s">
        <v>1</v>
      </c>
      <c r="G9" s="142">
        <v>23193</v>
      </c>
      <c r="H9" s="161"/>
      <c r="I9" s="161"/>
      <c r="P9" s="26"/>
    </row>
    <row r="10" spans="1:16">
      <c r="B10" s="281" t="s">
        <v>143</v>
      </c>
      <c r="C10" s="38" t="s">
        <v>148</v>
      </c>
      <c r="D10" s="29" t="s">
        <v>114</v>
      </c>
      <c r="E10" s="29" t="s">
        <v>1</v>
      </c>
      <c r="F10" s="139" t="s">
        <v>1</v>
      </c>
      <c r="G10" s="142">
        <v>21459</v>
      </c>
      <c r="H10" s="161"/>
      <c r="I10" s="161"/>
      <c r="P10" s="26"/>
    </row>
    <row r="11" spans="1:16">
      <c r="B11" s="281" t="s">
        <v>145</v>
      </c>
      <c r="C11" s="38" t="s">
        <v>146</v>
      </c>
      <c r="D11" s="29" t="s">
        <v>114</v>
      </c>
      <c r="E11" s="29" t="s">
        <v>1</v>
      </c>
      <c r="F11" s="139" t="s">
        <v>1</v>
      </c>
      <c r="G11" s="142">
        <v>20271</v>
      </c>
      <c r="H11" s="161"/>
      <c r="I11" s="161"/>
      <c r="P11" s="26"/>
    </row>
    <row r="12" spans="1:16">
      <c r="B12" s="281" t="s">
        <v>147</v>
      </c>
      <c r="C12" s="38" t="s">
        <v>144</v>
      </c>
      <c r="D12" s="29" t="s">
        <v>114</v>
      </c>
      <c r="E12" s="29" t="s">
        <v>1</v>
      </c>
      <c r="F12" s="139" t="s">
        <v>1</v>
      </c>
      <c r="G12" s="142">
        <v>10228</v>
      </c>
      <c r="H12" s="161"/>
      <c r="I12" s="161"/>
      <c r="P12" s="26"/>
    </row>
    <row r="13" spans="1:16">
      <c r="B13" s="281" t="s">
        <v>149</v>
      </c>
      <c r="C13" s="38" t="s">
        <v>150</v>
      </c>
      <c r="D13" s="29" t="s">
        <v>114</v>
      </c>
      <c r="E13" s="29" t="s">
        <v>1</v>
      </c>
      <c r="F13" s="139" t="s">
        <v>1</v>
      </c>
      <c r="G13" s="142">
        <v>20760</v>
      </c>
      <c r="H13" s="161"/>
      <c r="I13" s="161"/>
      <c r="P13" s="26"/>
    </row>
    <row r="14" spans="1:16">
      <c r="B14" s="281" t="s">
        <v>189</v>
      </c>
      <c r="C14" s="38" t="s">
        <v>190</v>
      </c>
      <c r="D14" s="29" t="s">
        <v>107</v>
      </c>
      <c r="E14" s="29" t="s">
        <v>1</v>
      </c>
      <c r="F14" s="139" t="s">
        <v>1</v>
      </c>
      <c r="G14" s="142">
        <v>39813</v>
      </c>
      <c r="H14" s="161"/>
      <c r="I14" s="161"/>
      <c r="P14" s="26"/>
    </row>
    <row r="15" spans="1:16">
      <c r="B15" s="281" t="s">
        <v>185</v>
      </c>
      <c r="C15" s="38" t="s">
        <v>187</v>
      </c>
      <c r="D15" s="29" t="s">
        <v>107</v>
      </c>
      <c r="E15" s="29" t="s">
        <v>1</v>
      </c>
      <c r="F15" s="139" t="s">
        <v>1</v>
      </c>
      <c r="G15" s="142">
        <v>37500</v>
      </c>
      <c r="H15" s="161"/>
      <c r="I15" s="161"/>
      <c r="P15" s="26"/>
    </row>
    <row r="16" spans="1:16">
      <c r="B16" s="281" t="s">
        <v>163</v>
      </c>
      <c r="C16" s="38" t="s">
        <v>164</v>
      </c>
      <c r="D16" s="29" t="s">
        <v>107</v>
      </c>
      <c r="E16" s="29" t="s">
        <v>1</v>
      </c>
      <c r="F16" s="139" t="s">
        <v>1</v>
      </c>
      <c r="G16" s="142">
        <v>40452</v>
      </c>
      <c r="H16" s="161"/>
      <c r="I16" s="161"/>
      <c r="P16" s="26"/>
    </row>
    <row r="17" spans="2:16">
      <c r="B17" s="281" t="s">
        <v>166</v>
      </c>
      <c r="C17" s="38" t="s">
        <v>167</v>
      </c>
      <c r="D17" s="29" t="s">
        <v>107</v>
      </c>
      <c r="E17" s="29" t="s">
        <v>1</v>
      </c>
      <c r="F17" s="139" t="s">
        <v>1</v>
      </c>
      <c r="G17" s="142">
        <v>40452</v>
      </c>
      <c r="H17" s="161"/>
      <c r="I17" s="161"/>
      <c r="P17" s="26"/>
    </row>
    <row r="18" spans="2:16">
      <c r="B18" s="281" t="s">
        <v>168</v>
      </c>
      <c r="C18" s="38" t="s">
        <v>169</v>
      </c>
      <c r="D18" s="29" t="s">
        <v>107</v>
      </c>
      <c r="E18" s="29" t="s">
        <v>1</v>
      </c>
      <c r="F18" s="139" t="s">
        <v>1</v>
      </c>
      <c r="G18" s="142">
        <v>40178</v>
      </c>
      <c r="H18" s="161"/>
      <c r="I18" s="161"/>
      <c r="P18" s="26"/>
    </row>
    <row r="19" spans="2:16">
      <c r="B19" s="281" t="s">
        <v>170</v>
      </c>
      <c r="C19" s="38" t="s">
        <v>171</v>
      </c>
      <c r="D19" s="29" t="s">
        <v>107</v>
      </c>
      <c r="E19" s="29" t="s">
        <v>1</v>
      </c>
      <c r="F19" s="139" t="s">
        <v>1</v>
      </c>
      <c r="G19" s="142">
        <v>39813</v>
      </c>
      <c r="H19" s="161"/>
      <c r="I19" s="161"/>
      <c r="P19" s="26"/>
    </row>
    <row r="20" spans="2:16">
      <c r="B20" s="281" t="s">
        <v>172</v>
      </c>
      <c r="C20" s="38" t="s">
        <v>173</v>
      </c>
      <c r="D20" s="29" t="s">
        <v>107</v>
      </c>
      <c r="E20" s="29" t="s">
        <v>1</v>
      </c>
      <c r="F20" s="139" t="s">
        <v>1</v>
      </c>
      <c r="G20" s="142">
        <v>39830</v>
      </c>
      <c r="H20" s="161"/>
      <c r="I20" s="161"/>
      <c r="P20" s="26"/>
    </row>
    <row r="21" spans="2:16">
      <c r="B21" s="281" t="s">
        <v>176</v>
      </c>
      <c r="C21" s="38" t="s">
        <v>179</v>
      </c>
      <c r="D21" s="29" t="s">
        <v>112</v>
      </c>
      <c r="E21" s="29" t="s">
        <v>1</v>
      </c>
      <c r="F21" s="139" t="s">
        <v>1</v>
      </c>
      <c r="G21" s="142">
        <v>37695</v>
      </c>
      <c r="H21" s="161"/>
      <c r="I21" s="161"/>
      <c r="P21" s="26"/>
    </row>
    <row r="22" spans="2:16">
      <c r="B22" s="281" t="s">
        <v>177</v>
      </c>
      <c r="C22" s="38" t="s">
        <v>178</v>
      </c>
      <c r="D22" s="29" t="s">
        <v>110</v>
      </c>
      <c r="E22" s="29" t="s">
        <v>1</v>
      </c>
      <c r="F22" s="139" t="s">
        <v>1</v>
      </c>
      <c r="G22" s="142">
        <v>38636</v>
      </c>
      <c r="H22" s="161"/>
      <c r="I22" s="161"/>
      <c r="P22" s="26"/>
    </row>
    <row r="23" spans="2:16">
      <c r="B23" s="281" t="s">
        <v>181</v>
      </c>
      <c r="C23" s="38" t="s">
        <v>180</v>
      </c>
      <c r="D23" s="29" t="s">
        <v>110</v>
      </c>
      <c r="E23" s="29" t="s">
        <v>1</v>
      </c>
      <c r="F23" s="139" t="s">
        <v>1</v>
      </c>
      <c r="G23" s="142">
        <v>40973</v>
      </c>
      <c r="H23" s="161"/>
      <c r="I23" s="161"/>
      <c r="P23" s="26"/>
    </row>
    <row r="24" spans="2:16">
      <c r="B24" s="281" t="s">
        <v>183</v>
      </c>
      <c r="C24" s="38" t="s">
        <v>186</v>
      </c>
      <c r="D24" s="29" t="s">
        <v>107</v>
      </c>
      <c r="E24" s="29" t="s">
        <v>1</v>
      </c>
      <c r="F24" s="139" t="s">
        <v>1</v>
      </c>
      <c r="G24" s="142">
        <v>40968</v>
      </c>
      <c r="H24" s="161"/>
      <c r="I24" s="161"/>
      <c r="P24" s="26"/>
    </row>
    <row r="25" spans="2:16">
      <c r="B25" s="281" t="s">
        <v>184</v>
      </c>
      <c r="C25" s="38" t="s">
        <v>188</v>
      </c>
      <c r="D25" s="29" t="s">
        <v>107</v>
      </c>
      <c r="E25" s="29" t="s">
        <v>1</v>
      </c>
      <c r="F25" s="139" t="s">
        <v>1</v>
      </c>
      <c r="G25" s="142">
        <v>39406</v>
      </c>
      <c r="H25" s="161"/>
      <c r="I25" s="161"/>
      <c r="P25" s="26"/>
    </row>
    <row r="26" spans="2:16">
      <c r="B26" s="281" t="s">
        <v>202</v>
      </c>
      <c r="C26" s="38" t="s">
        <v>203</v>
      </c>
      <c r="D26" s="29" t="s">
        <v>107</v>
      </c>
      <c r="E26" s="29" t="s">
        <v>1</v>
      </c>
      <c r="F26" s="139" t="s">
        <v>1</v>
      </c>
      <c r="G26" s="142">
        <v>37408</v>
      </c>
      <c r="H26" s="161"/>
      <c r="I26" s="161"/>
      <c r="P26" s="26"/>
    </row>
    <row r="27" spans="2:16">
      <c r="B27" s="281" t="s">
        <v>204</v>
      </c>
      <c r="C27" s="38" t="s">
        <v>205</v>
      </c>
      <c r="D27" s="29" t="s">
        <v>107</v>
      </c>
      <c r="E27" s="29" t="s">
        <v>1</v>
      </c>
      <c r="F27" s="139" t="s">
        <v>1</v>
      </c>
      <c r="G27" s="142">
        <v>37256</v>
      </c>
      <c r="H27" s="161"/>
      <c r="I27" s="161"/>
      <c r="P27" s="26"/>
    </row>
    <row r="28" spans="2:16">
      <c r="B28" s="281" t="s">
        <v>206</v>
      </c>
      <c r="C28" s="38" t="s">
        <v>207</v>
      </c>
      <c r="D28" s="29" t="s">
        <v>107</v>
      </c>
      <c r="E28" s="29" t="s">
        <v>1</v>
      </c>
      <c r="F28" s="139" t="s">
        <v>1</v>
      </c>
      <c r="G28" s="142">
        <v>37257</v>
      </c>
      <c r="H28" s="161"/>
      <c r="I28" s="161"/>
      <c r="P28" s="26"/>
    </row>
    <row r="29" spans="2:16">
      <c r="B29" s="281" t="s">
        <v>208</v>
      </c>
      <c r="C29" s="38" t="s">
        <v>201</v>
      </c>
      <c r="D29" s="29" t="s">
        <v>107</v>
      </c>
      <c r="E29" s="29" t="s">
        <v>1</v>
      </c>
      <c r="F29" s="139" t="s">
        <v>1</v>
      </c>
      <c r="G29" s="142">
        <v>41265</v>
      </c>
      <c r="H29" s="161"/>
      <c r="I29" s="161"/>
      <c r="P29" s="26"/>
    </row>
    <row r="30" spans="2:16">
      <c r="B30" s="281" t="s">
        <v>209</v>
      </c>
      <c r="C30" s="38" t="s">
        <v>210</v>
      </c>
      <c r="D30" s="29" t="s">
        <v>107</v>
      </c>
      <c r="E30" s="29" t="s">
        <v>1</v>
      </c>
      <c r="F30" s="139" t="s">
        <v>1</v>
      </c>
      <c r="G30" s="142">
        <v>41254</v>
      </c>
      <c r="H30" s="161"/>
      <c r="I30" s="161"/>
      <c r="P30" s="26"/>
    </row>
    <row r="31" spans="2:16">
      <c r="B31" s="281" t="s">
        <v>211</v>
      </c>
      <c r="C31" s="38" t="s">
        <v>212</v>
      </c>
      <c r="D31" s="29" t="s">
        <v>107</v>
      </c>
      <c r="E31" s="29" t="s">
        <v>1</v>
      </c>
      <c r="F31" s="139" t="s">
        <v>1</v>
      </c>
      <c r="G31" s="142">
        <v>39569</v>
      </c>
      <c r="H31" s="161"/>
      <c r="I31" s="161"/>
      <c r="P31" s="26"/>
    </row>
    <row r="32" spans="2:16">
      <c r="B32" s="281" t="s">
        <v>213</v>
      </c>
      <c r="C32" s="38" t="s">
        <v>214</v>
      </c>
      <c r="D32" s="29" t="s">
        <v>107</v>
      </c>
      <c r="E32" s="29" t="s">
        <v>1</v>
      </c>
      <c r="F32" s="139" t="s">
        <v>1</v>
      </c>
      <c r="G32" s="142">
        <v>37239</v>
      </c>
      <c r="H32" s="161"/>
      <c r="I32" s="161"/>
      <c r="P32" s="26"/>
    </row>
    <row r="33" spans="1:16">
      <c r="B33" s="281" t="s">
        <v>215</v>
      </c>
      <c r="C33" s="38" t="s">
        <v>175</v>
      </c>
      <c r="D33" s="29" t="s">
        <v>108</v>
      </c>
      <c r="E33" s="29" t="s">
        <v>1</v>
      </c>
      <c r="F33" s="139" t="s">
        <v>1</v>
      </c>
      <c r="G33" s="311" t="s">
        <v>222</v>
      </c>
      <c r="H33" s="161"/>
      <c r="I33" s="161"/>
      <c r="P33" s="26"/>
    </row>
    <row r="34" spans="1:16">
      <c r="B34" s="281" t="s">
        <v>216</v>
      </c>
      <c r="C34" s="38" t="s">
        <v>175</v>
      </c>
      <c r="D34" s="29" t="s">
        <v>108</v>
      </c>
      <c r="E34" s="29" t="s">
        <v>1</v>
      </c>
      <c r="F34" s="139" t="s">
        <v>1</v>
      </c>
      <c r="G34" s="311" t="s">
        <v>222</v>
      </c>
      <c r="H34" s="161"/>
      <c r="I34" s="161"/>
      <c r="P34" s="26"/>
    </row>
    <row r="35" spans="1:16">
      <c r="B35" s="281" t="s">
        <v>217</v>
      </c>
      <c r="C35" s="38" t="s">
        <v>175</v>
      </c>
      <c r="D35" s="29" t="s">
        <v>108</v>
      </c>
      <c r="E35" s="29" t="s">
        <v>1</v>
      </c>
      <c r="F35" s="139" t="s">
        <v>1</v>
      </c>
      <c r="G35" s="311" t="s">
        <v>222</v>
      </c>
      <c r="H35" s="161"/>
      <c r="I35" s="161"/>
      <c r="P35" s="26"/>
    </row>
    <row r="36" spans="1:16">
      <c r="B36" s="281" t="s">
        <v>218</v>
      </c>
      <c r="C36" s="38" t="s">
        <v>175</v>
      </c>
      <c r="D36" s="29" t="s">
        <v>108</v>
      </c>
      <c r="E36" s="29" t="s">
        <v>1</v>
      </c>
      <c r="F36" s="139" t="s">
        <v>1</v>
      </c>
      <c r="G36" s="311" t="s">
        <v>222</v>
      </c>
      <c r="H36" s="161"/>
      <c r="I36" s="161"/>
      <c r="P36" s="26"/>
    </row>
    <row r="37" spans="1:16">
      <c r="B37" s="281" t="s">
        <v>219</v>
      </c>
      <c r="C37" s="38" t="s">
        <v>223</v>
      </c>
      <c r="D37" s="29" t="s">
        <v>108</v>
      </c>
      <c r="E37" s="29" t="s">
        <v>1</v>
      </c>
      <c r="F37" s="139" t="s">
        <v>1</v>
      </c>
      <c r="G37" s="142">
        <v>42580</v>
      </c>
      <c r="H37" s="161"/>
      <c r="I37" s="161"/>
      <c r="P37" s="26"/>
    </row>
    <row r="38" spans="1:16">
      <c r="B38" s="281" t="s">
        <v>220</v>
      </c>
      <c r="C38" s="38" t="s">
        <v>221</v>
      </c>
      <c r="D38" s="29" t="s">
        <v>108</v>
      </c>
      <c r="E38" s="29" t="s">
        <v>1</v>
      </c>
      <c r="F38" s="139" t="s">
        <v>1</v>
      </c>
      <c r="G38" s="142">
        <v>42368</v>
      </c>
      <c r="H38" s="161"/>
      <c r="I38" s="161"/>
      <c r="P38" s="26"/>
    </row>
    <row r="39" spans="1:16">
      <c r="B39" s="281" t="s">
        <v>225</v>
      </c>
      <c r="C39" s="38" t="s">
        <v>175</v>
      </c>
      <c r="D39" s="29" t="s">
        <v>175</v>
      </c>
      <c r="E39" s="29" t="s">
        <v>2</v>
      </c>
      <c r="F39" s="139" t="s">
        <v>2</v>
      </c>
      <c r="G39" s="142"/>
      <c r="H39" s="161"/>
      <c r="I39" s="161"/>
      <c r="P39" s="26"/>
    </row>
    <row r="40" spans="1:16">
      <c r="B40" s="310"/>
      <c r="C40" s="39"/>
      <c r="D40" s="30"/>
      <c r="E40" s="30" t="s">
        <v>2</v>
      </c>
      <c r="F40" s="140" t="s">
        <v>2</v>
      </c>
      <c r="G40" s="143"/>
      <c r="H40" s="161"/>
      <c r="I40" s="161"/>
      <c r="P40" s="26"/>
    </row>
    <row r="41" spans="1:16" ht="16.5" customHeight="1">
      <c r="B41" s="420" t="s">
        <v>182</v>
      </c>
      <c r="C41" s="420"/>
      <c r="D41" s="420"/>
      <c r="E41" s="420"/>
      <c r="F41" s="420"/>
      <c r="G41" s="420"/>
    </row>
    <row r="42" spans="1:16" ht="31.5" customHeight="1" thickBot="1">
      <c r="B42" s="421" t="s">
        <v>127</v>
      </c>
      <c r="C42" s="421"/>
      <c r="D42" s="421"/>
      <c r="E42" s="421"/>
      <c r="F42" s="421"/>
      <c r="G42" s="421"/>
      <c r="J42" s="236"/>
      <c r="K42" s="236"/>
      <c r="L42" s="236"/>
      <c r="M42" s="33"/>
      <c r="N42" s="33"/>
      <c r="O42" s="33"/>
    </row>
    <row r="43" spans="1:16">
      <c r="A43" s="8"/>
      <c r="B43" s="8"/>
      <c r="C43" s="8"/>
      <c r="D43" s="8"/>
      <c r="E43" s="8"/>
      <c r="F43" s="8"/>
      <c r="G43" s="8"/>
      <c r="H43" s="8"/>
      <c r="I43" s="8"/>
      <c r="J43" s="33"/>
      <c r="K43" s="33"/>
      <c r="L43" s="33"/>
      <c r="M43" s="33"/>
      <c r="N43" s="33"/>
      <c r="O43" s="33"/>
    </row>
    <row r="44" spans="1:16">
      <c r="M44" s="33"/>
      <c r="N44" s="33"/>
      <c r="O44" s="33"/>
    </row>
    <row r="45" spans="1:16" ht="21">
      <c r="A45" s="14" t="s">
        <v>4</v>
      </c>
      <c r="C45" s="46" t="str">
        <f>B2</f>
        <v>Goodnoe Hills</v>
      </c>
      <c r="D45" s="47"/>
      <c r="E45" s="24"/>
      <c r="F45" s="24"/>
      <c r="M45" s="33"/>
      <c r="N45" s="33"/>
      <c r="O45" s="33"/>
    </row>
    <row r="46" spans="1:16">
      <c r="M46" s="33"/>
      <c r="N46" s="33"/>
      <c r="O46" s="33"/>
    </row>
    <row r="47" spans="1:16" ht="18.75">
      <c r="A47" s="9" t="s">
        <v>21</v>
      </c>
      <c r="D47" s="2">
        <f>'Facility Detail'!$B$1752</f>
        <v>2011</v>
      </c>
      <c r="E47" s="2">
        <f t="shared" ref="E47:L47" si="0">D47+1</f>
        <v>2012</v>
      </c>
      <c r="F47" s="2">
        <f t="shared" si="0"/>
        <v>2013</v>
      </c>
      <c r="G47" s="2">
        <f t="shared" si="0"/>
        <v>2014</v>
      </c>
      <c r="H47" s="2">
        <f t="shared" si="0"/>
        <v>2015</v>
      </c>
      <c r="I47" s="2">
        <f t="shared" si="0"/>
        <v>2016</v>
      </c>
      <c r="J47" s="2">
        <f t="shared" si="0"/>
        <v>2017</v>
      </c>
      <c r="K47" s="2">
        <f t="shared" si="0"/>
        <v>2018</v>
      </c>
      <c r="L47" s="2">
        <f t="shared" si="0"/>
        <v>2019</v>
      </c>
      <c r="M47" s="26"/>
      <c r="N47" s="233"/>
      <c r="O47" s="33"/>
    </row>
    <row r="48" spans="1:16">
      <c r="B48" s="88" t="str">
        <f>"Total MWh Produced / Purchased from " &amp; C45</f>
        <v>Total MWh Produced / Purchased from Goodnoe Hills</v>
      </c>
      <c r="C48" s="80"/>
      <c r="D48" s="98">
        <v>239431</v>
      </c>
      <c r="E48" s="99">
        <v>221156</v>
      </c>
      <c r="F48" s="99">
        <v>227258</v>
      </c>
      <c r="G48" s="99">
        <v>216762</v>
      </c>
      <c r="H48" s="99">
        <v>186746</v>
      </c>
      <c r="I48" s="99">
        <v>223899</v>
      </c>
      <c r="J48" s="322">
        <v>191971</v>
      </c>
      <c r="K48" s="391"/>
      <c r="L48" s="163"/>
      <c r="M48" s="25"/>
      <c r="N48" s="25"/>
      <c r="O48" s="33"/>
    </row>
    <row r="49" spans="1:15">
      <c r="B49" s="88" t="s">
        <v>25</v>
      </c>
      <c r="C49" s="80"/>
      <c r="D49" s="271">
        <v>1</v>
      </c>
      <c r="E49" s="272">
        <v>1</v>
      </c>
      <c r="F49" s="273">
        <v>1</v>
      </c>
      <c r="G49" s="272">
        <v>1</v>
      </c>
      <c r="H49" s="272">
        <v>1</v>
      </c>
      <c r="I49" s="272">
        <v>1</v>
      </c>
      <c r="J49" s="272">
        <v>1</v>
      </c>
      <c r="K49" s="272">
        <v>1</v>
      </c>
      <c r="L49" s="278">
        <v>1</v>
      </c>
      <c r="M49" s="25"/>
      <c r="N49" s="25"/>
      <c r="O49" s="33"/>
    </row>
    <row r="50" spans="1:15">
      <c r="B50" s="88" t="s">
        <v>20</v>
      </c>
      <c r="C50" s="80"/>
      <c r="D50" s="274">
        <v>7.8921000000000005E-2</v>
      </c>
      <c r="E50" s="275">
        <v>7.9619999999999996E-2</v>
      </c>
      <c r="F50" s="275">
        <v>7.8747999999999999E-2</v>
      </c>
      <c r="G50" s="275">
        <v>8.0235000000000001E-2</v>
      </c>
      <c r="H50" s="275">
        <v>8.0535999999999996E-2</v>
      </c>
      <c r="I50" s="275">
        <v>8.1698151927344531E-2</v>
      </c>
      <c r="J50" s="275">
        <v>8.0833713568703974E-2</v>
      </c>
      <c r="K50" s="275">
        <v>7.9769759999999995E-2</v>
      </c>
      <c r="L50" s="320"/>
      <c r="M50" s="25"/>
      <c r="N50" s="25"/>
      <c r="O50" s="33"/>
    </row>
    <row r="51" spans="1:15">
      <c r="B51" s="85" t="s">
        <v>22</v>
      </c>
      <c r="C51" s="86"/>
      <c r="D51" s="277">
        <f>ROUND(D48 * D49 * D50,0)</f>
        <v>18896</v>
      </c>
      <c r="E51" s="277">
        <f t="shared" ref="E51:G51" si="1">ROUND(E48 * E49 * E50,0)</f>
        <v>17608</v>
      </c>
      <c r="F51" s="277">
        <f t="shared" si="1"/>
        <v>17896</v>
      </c>
      <c r="G51" s="277">
        <f t="shared" si="1"/>
        <v>17392</v>
      </c>
      <c r="H51" s="277">
        <v>15039</v>
      </c>
      <c r="I51" s="277">
        <v>18292</v>
      </c>
      <c r="J51" s="321">
        <v>15514</v>
      </c>
      <c r="K51" s="393"/>
      <c r="L51" s="277">
        <f t="shared" ref="L51" si="2">L48 * L49 * L50</f>
        <v>0</v>
      </c>
      <c r="M51" s="25"/>
      <c r="N51" s="25"/>
      <c r="O51" s="33"/>
    </row>
    <row r="52" spans="1:15">
      <c r="B52" s="24"/>
      <c r="C52" s="33"/>
      <c r="D52" s="40"/>
      <c r="E52" s="40"/>
      <c r="F52" s="40"/>
      <c r="G52" s="25"/>
      <c r="H52" s="25"/>
      <c r="I52" s="25"/>
      <c r="J52" s="25"/>
      <c r="K52" s="25"/>
      <c r="L52" s="25"/>
      <c r="M52" s="25"/>
      <c r="N52" s="25"/>
      <c r="O52" s="33"/>
    </row>
    <row r="53" spans="1:15" ht="18.75">
      <c r="A53" s="48" t="s">
        <v>119</v>
      </c>
      <c r="C53" s="33"/>
      <c r="D53" s="2">
        <f t="shared" ref="D53:J53" si="3">D47</f>
        <v>2011</v>
      </c>
      <c r="E53" s="2">
        <f t="shared" si="3"/>
        <v>2012</v>
      </c>
      <c r="F53" s="2">
        <f t="shared" si="3"/>
        <v>2013</v>
      </c>
      <c r="G53" s="2">
        <f t="shared" si="3"/>
        <v>2014</v>
      </c>
      <c r="H53" s="2">
        <f t="shared" si="3"/>
        <v>2015</v>
      </c>
      <c r="I53" s="2">
        <f t="shared" si="3"/>
        <v>2016</v>
      </c>
      <c r="J53" s="2">
        <f t="shared" si="3"/>
        <v>2017</v>
      </c>
      <c r="K53" s="2">
        <f t="shared" ref="K53" si="4">K47</f>
        <v>2018</v>
      </c>
      <c r="L53" s="2"/>
      <c r="M53" s="25"/>
      <c r="N53" s="25"/>
      <c r="O53" s="33"/>
    </row>
    <row r="54" spans="1:15">
      <c r="B54" s="88" t="s">
        <v>10</v>
      </c>
      <c r="C54" s="80"/>
      <c r="D54" s="57">
        <f>IF( $E2 = "Eligible", D51 * 'Facility Detail'!$B$1749, 0 )</f>
        <v>0</v>
      </c>
      <c r="E54" s="11">
        <f>IF( $E2 = "Eligible", E51 * 'Facility Detail'!$B$1749, 0 )</f>
        <v>0</v>
      </c>
      <c r="F54" s="11">
        <f>IF( $E2 = "Eligible", F51 * 'Facility Detail'!$B$1749, 0 )</f>
        <v>0</v>
      </c>
      <c r="G54" s="11">
        <f>IF( $E2 = "Eligible", G51 * 'Facility Detail'!$B$1749, 0 )</f>
        <v>0</v>
      </c>
      <c r="H54" s="11">
        <f>IF( $E2 = "Eligible", H51 * 'Facility Detail'!$B$1749, 0 )</f>
        <v>0</v>
      </c>
      <c r="I54" s="11">
        <f>IF( $E2 = "Eligible", I51 * 'Facility Detail'!$B$1749, 0 )</f>
        <v>0</v>
      </c>
      <c r="J54" s="11">
        <f>IF( $E2 = "Eligible", J51 * 'Facility Detail'!$B$1749, 0 )</f>
        <v>0</v>
      </c>
      <c r="K54" s="11">
        <f>IF( $E2 = "Eligible", K51 * 'Facility Detail'!$B$1749, 0 )</f>
        <v>0</v>
      </c>
      <c r="L54" s="12">
        <f>IF( $E2 = "Eligible", L51 * 'Facility Detail'!$B$1749, 0 )</f>
        <v>0</v>
      </c>
      <c r="M54" s="25"/>
      <c r="N54" s="25"/>
      <c r="O54" s="33"/>
    </row>
    <row r="55" spans="1:15">
      <c r="B55" s="88" t="s">
        <v>6</v>
      </c>
      <c r="C55" s="80"/>
      <c r="D55" s="58">
        <f t="shared" ref="D55:J55" si="5">IF( $F2 = "Eligible", D51, 0 )</f>
        <v>0</v>
      </c>
      <c r="E55" s="59">
        <f t="shared" si="5"/>
        <v>0</v>
      </c>
      <c r="F55" s="59">
        <f t="shared" si="5"/>
        <v>0</v>
      </c>
      <c r="G55" s="59">
        <f t="shared" si="5"/>
        <v>0</v>
      </c>
      <c r="H55" s="59">
        <f t="shared" si="5"/>
        <v>0</v>
      </c>
      <c r="I55" s="59">
        <f t="shared" si="5"/>
        <v>0</v>
      </c>
      <c r="J55" s="59">
        <f t="shared" si="5"/>
        <v>0</v>
      </c>
      <c r="K55" s="59">
        <f t="shared" ref="K55:L55" si="6">IF( $F2 = "Eligible", K51, 0 )</f>
        <v>0</v>
      </c>
      <c r="L55" s="60">
        <f t="shared" si="6"/>
        <v>0</v>
      </c>
      <c r="M55" s="25"/>
      <c r="N55" s="25"/>
      <c r="O55" s="33"/>
    </row>
    <row r="56" spans="1:15">
      <c r="B56" s="87" t="s">
        <v>121</v>
      </c>
      <c r="C56" s="86"/>
      <c r="D56" s="43">
        <f t="shared" ref="D56:I56" si="7">SUM(D54:D55)</f>
        <v>0</v>
      </c>
      <c r="E56" s="44">
        <f t="shared" si="7"/>
        <v>0</v>
      </c>
      <c r="F56" s="44">
        <f t="shared" si="7"/>
        <v>0</v>
      </c>
      <c r="G56" s="44">
        <f t="shared" si="7"/>
        <v>0</v>
      </c>
      <c r="H56" s="44">
        <f t="shared" si="7"/>
        <v>0</v>
      </c>
      <c r="I56" s="44">
        <f t="shared" si="7"/>
        <v>0</v>
      </c>
      <c r="J56" s="44">
        <f t="shared" ref="J56:L56" si="8">SUM(J54:J55)</f>
        <v>0</v>
      </c>
      <c r="K56" s="44">
        <f t="shared" si="8"/>
        <v>0</v>
      </c>
      <c r="L56" s="44">
        <f t="shared" si="8"/>
        <v>0</v>
      </c>
      <c r="M56" s="25"/>
      <c r="N56" s="25"/>
      <c r="O56" s="33"/>
    </row>
    <row r="57" spans="1:15">
      <c r="B57" s="33"/>
      <c r="C57" s="33"/>
      <c r="D57" s="42"/>
      <c r="E57" s="34"/>
      <c r="F57" s="34"/>
      <c r="G57" s="25"/>
      <c r="H57" s="25"/>
      <c r="I57" s="25"/>
      <c r="J57" s="25"/>
      <c r="K57" s="25"/>
      <c r="L57" s="25"/>
      <c r="M57" s="25"/>
      <c r="N57" s="25"/>
      <c r="O57" s="33"/>
    </row>
    <row r="58" spans="1:15" ht="18.75">
      <c r="A58" s="45" t="s">
        <v>30</v>
      </c>
      <c r="C58" s="33"/>
      <c r="D58" s="2">
        <f t="shared" ref="D58:J58" si="9">D47</f>
        <v>2011</v>
      </c>
      <c r="E58" s="2">
        <f t="shared" si="9"/>
        <v>2012</v>
      </c>
      <c r="F58" s="2">
        <f t="shared" si="9"/>
        <v>2013</v>
      </c>
      <c r="G58" s="2">
        <f t="shared" si="9"/>
        <v>2014</v>
      </c>
      <c r="H58" s="2">
        <f t="shared" si="9"/>
        <v>2015</v>
      </c>
      <c r="I58" s="195">
        <f t="shared" si="9"/>
        <v>2016</v>
      </c>
      <c r="J58" s="195">
        <f t="shared" si="9"/>
        <v>2017</v>
      </c>
      <c r="K58" s="195">
        <f t="shared" ref="K58" si="10">K47</f>
        <v>2018</v>
      </c>
      <c r="L58" s="195"/>
      <c r="M58" s="25"/>
      <c r="N58" s="25"/>
      <c r="O58" s="33"/>
    </row>
    <row r="59" spans="1:15">
      <c r="B59" s="88" t="s">
        <v>47</v>
      </c>
      <c r="C59" s="33"/>
      <c r="D59" s="98"/>
      <c r="E59" s="99"/>
      <c r="F59" s="99"/>
      <c r="G59" s="99"/>
      <c r="H59" s="99"/>
      <c r="I59" s="99"/>
      <c r="J59" s="99"/>
      <c r="K59" s="99"/>
      <c r="L59" s="100"/>
      <c r="M59" s="25"/>
      <c r="N59" s="25"/>
      <c r="O59" s="33"/>
    </row>
    <row r="60" spans="1:15">
      <c r="B60" s="89" t="s">
        <v>23</v>
      </c>
      <c r="C60" s="205"/>
      <c r="D60" s="101"/>
      <c r="E60" s="102"/>
      <c r="F60" s="102"/>
      <c r="G60" s="102"/>
      <c r="H60" s="102"/>
      <c r="I60" s="102"/>
      <c r="J60" s="102"/>
      <c r="K60" s="102"/>
      <c r="L60" s="103"/>
      <c r="M60" s="25"/>
      <c r="N60" s="25"/>
      <c r="O60" s="33"/>
    </row>
    <row r="61" spans="1:15">
      <c r="B61" s="104" t="s">
        <v>89</v>
      </c>
      <c r="C61" s="205"/>
      <c r="D61" s="65"/>
      <c r="E61" s="66"/>
      <c r="F61" s="66"/>
      <c r="G61" s="66"/>
      <c r="H61" s="66"/>
      <c r="I61" s="66"/>
      <c r="J61" s="66"/>
      <c r="K61" s="66"/>
      <c r="L61" s="67"/>
      <c r="M61" s="25"/>
      <c r="N61" s="25"/>
      <c r="O61" s="33"/>
    </row>
    <row r="62" spans="1:15">
      <c r="B62" s="36" t="s">
        <v>90</v>
      </c>
      <c r="D62" s="7">
        <f t="shared" ref="D62:J62" si="11">SUM(D59:D61)</f>
        <v>0</v>
      </c>
      <c r="E62" s="7">
        <f t="shared" si="11"/>
        <v>0</v>
      </c>
      <c r="F62" s="7">
        <f t="shared" si="11"/>
        <v>0</v>
      </c>
      <c r="G62" s="7">
        <f t="shared" si="11"/>
        <v>0</v>
      </c>
      <c r="H62" s="7">
        <f t="shared" si="11"/>
        <v>0</v>
      </c>
      <c r="I62" s="214">
        <f t="shared" si="11"/>
        <v>0</v>
      </c>
      <c r="J62" s="214">
        <f t="shared" si="11"/>
        <v>0</v>
      </c>
      <c r="K62" s="214">
        <f t="shared" ref="K62:L62" si="12">SUM(K59:K61)</f>
        <v>0</v>
      </c>
      <c r="L62" s="214">
        <f t="shared" si="12"/>
        <v>0</v>
      </c>
      <c r="M62" s="31"/>
      <c r="N62" s="31"/>
      <c r="O62" s="33"/>
    </row>
    <row r="63" spans="1:15">
      <c r="B63" s="6"/>
      <c r="D63" s="7"/>
      <c r="E63" s="7"/>
      <c r="F63" s="7"/>
      <c r="G63" s="31"/>
      <c r="H63" s="31"/>
      <c r="I63" s="31"/>
      <c r="J63" s="31"/>
      <c r="K63" s="31"/>
      <c r="L63" s="31"/>
      <c r="M63" s="31"/>
      <c r="N63" s="31"/>
      <c r="O63" s="33"/>
    </row>
    <row r="64" spans="1:15" ht="18.75">
      <c r="A64" s="9" t="s">
        <v>100</v>
      </c>
      <c r="D64" s="196">
        <f>'Facility Detail'!$B$1752</f>
        <v>2011</v>
      </c>
      <c r="E64" s="196">
        <f t="shared" ref="E64:K64" si="13">D64+1</f>
        <v>2012</v>
      </c>
      <c r="F64" s="196">
        <f t="shared" si="13"/>
        <v>2013</v>
      </c>
      <c r="G64" s="196">
        <f t="shared" si="13"/>
        <v>2014</v>
      </c>
      <c r="H64" s="196">
        <f t="shared" si="13"/>
        <v>2015</v>
      </c>
      <c r="I64" s="196">
        <f t="shared" si="13"/>
        <v>2016</v>
      </c>
      <c r="J64" s="196">
        <f t="shared" si="13"/>
        <v>2017</v>
      </c>
      <c r="K64" s="196">
        <f t="shared" si="13"/>
        <v>2018</v>
      </c>
      <c r="L64" s="195"/>
      <c r="M64" s="31"/>
      <c r="N64" s="31"/>
      <c r="O64" s="33"/>
    </row>
    <row r="65" spans="2:15">
      <c r="B65" s="88" t="str">
        <f xml:space="preserve"> 'Facility Detail'!$B$1752 &amp; " Surplus Applied to " &amp; ( 'Facility Detail'!$B$1752 + 1 )</f>
        <v>2011 Surplus Applied to 2012</v>
      </c>
      <c r="C65" s="33"/>
      <c r="D65" s="3">
        <f>D51</f>
        <v>18896</v>
      </c>
      <c r="E65" s="68">
        <f>D65</f>
        <v>18896</v>
      </c>
      <c r="F65" s="152"/>
      <c r="G65" s="152"/>
      <c r="H65" s="152"/>
      <c r="I65" s="152"/>
      <c r="J65" s="152"/>
      <c r="K65" s="152"/>
      <c r="L65" s="69"/>
      <c r="M65" s="31"/>
      <c r="N65" s="31"/>
      <c r="O65" s="33"/>
    </row>
    <row r="66" spans="2:15">
      <c r="B66" s="88" t="str">
        <f xml:space="preserve"> ( 'Facility Detail'!$B$1752 + 1 ) &amp; " Surplus Applied to " &amp; ( 'Facility Detail'!$B$1752 )</f>
        <v>2012 Surplus Applied to 2011</v>
      </c>
      <c r="C66" s="33"/>
      <c r="D66" s="189">
        <f>E66</f>
        <v>0</v>
      </c>
      <c r="E66" s="10"/>
      <c r="F66" s="83"/>
      <c r="G66" s="83"/>
      <c r="H66" s="83"/>
      <c r="I66" s="83"/>
      <c r="J66" s="83"/>
      <c r="K66" s="83"/>
      <c r="L66" s="190"/>
      <c r="M66" s="31"/>
      <c r="N66" s="31"/>
      <c r="O66" s="33"/>
    </row>
    <row r="67" spans="2:15">
      <c r="B67" s="88" t="str">
        <f xml:space="preserve"> ( 'Facility Detail'!$B$1752 + 1 ) &amp; " Surplus Applied to " &amp; ( 'Facility Detail'!$B$1752 + 2 )</f>
        <v>2012 Surplus Applied to 2013</v>
      </c>
      <c r="C67" s="33"/>
      <c r="D67" s="70"/>
      <c r="E67" s="10">
        <f>E51</f>
        <v>17608</v>
      </c>
      <c r="F67" s="79">
        <f>E67</f>
        <v>17608</v>
      </c>
      <c r="G67" s="83"/>
      <c r="H67" s="83"/>
      <c r="I67" s="83"/>
      <c r="J67" s="83"/>
      <c r="K67" s="83"/>
      <c r="L67" s="190"/>
      <c r="M67" s="31"/>
      <c r="N67" s="31"/>
      <c r="O67" s="33"/>
    </row>
    <row r="68" spans="2:15">
      <c r="B68" s="88" t="str">
        <f xml:space="preserve"> ( 'Facility Detail'!$B$1752 + 2 ) &amp; " Surplus Applied to " &amp; ( 'Facility Detail'!$B$1752 + 1 )</f>
        <v>2013 Surplus Applied to 2012</v>
      </c>
      <c r="C68" s="33"/>
      <c r="D68" s="70"/>
      <c r="E68" s="79">
        <f>F68</f>
        <v>0</v>
      </c>
      <c r="F68" s="188"/>
      <c r="G68" s="83"/>
      <c r="H68" s="83"/>
      <c r="I68" s="83"/>
      <c r="J68" s="83"/>
      <c r="K68" s="83"/>
      <c r="L68" s="190"/>
      <c r="M68" s="31"/>
      <c r="N68" s="31"/>
      <c r="O68" s="33"/>
    </row>
    <row r="69" spans="2:15">
      <c r="B69" s="88" t="str">
        <f xml:space="preserve"> ( 'Facility Detail'!$B$1752 + 2 ) &amp; " Surplus Applied to " &amp; ( 'Facility Detail'!$B$1752 + 3 )</f>
        <v>2013 Surplus Applied to 2014</v>
      </c>
      <c r="C69" s="33"/>
      <c r="D69" s="70"/>
      <c r="E69" s="172"/>
      <c r="F69" s="10">
        <f>F51</f>
        <v>17896</v>
      </c>
      <c r="G69" s="173">
        <f>F69</f>
        <v>17896</v>
      </c>
      <c r="H69" s="83"/>
      <c r="I69" s="83"/>
      <c r="J69" s="83"/>
      <c r="K69" s="83"/>
      <c r="L69" s="190"/>
      <c r="M69" s="31"/>
      <c r="N69" s="31"/>
      <c r="O69" s="33"/>
    </row>
    <row r="70" spans="2:15">
      <c r="B70" s="88" t="str">
        <f xml:space="preserve"> ( 'Facility Detail'!$B$1752 + 3 ) &amp; " Surplus Applied to " &amp; ( 'Facility Detail'!$B$1752 + 2 )</f>
        <v>2014 Surplus Applied to 2013</v>
      </c>
      <c r="C70" s="33"/>
      <c r="D70" s="70"/>
      <c r="E70" s="172"/>
      <c r="F70" s="79">
        <f>G70</f>
        <v>0</v>
      </c>
      <c r="G70" s="10"/>
      <c r="H70" s="83"/>
      <c r="I70" s="83"/>
      <c r="J70" s="83"/>
      <c r="K70" s="83"/>
      <c r="L70" s="190"/>
      <c r="M70" s="31"/>
      <c r="N70" s="31"/>
      <c r="O70" s="33"/>
    </row>
    <row r="71" spans="2:15">
      <c r="B71" s="88" t="str">
        <f xml:space="preserve"> ( 'Facility Detail'!$B$1752 + 3 ) &amp; " Surplus Applied to " &amp; ( 'Facility Detail'!$B$1752 + 4 )</f>
        <v>2014 Surplus Applied to 2015</v>
      </c>
      <c r="C71" s="33"/>
      <c r="D71" s="70"/>
      <c r="E71" s="172"/>
      <c r="F71" s="172"/>
      <c r="G71" s="10">
        <f>G51-6158</f>
        <v>11234</v>
      </c>
      <c r="H71" s="173">
        <f>G71</f>
        <v>11234</v>
      </c>
      <c r="I71" s="172"/>
      <c r="J71" s="83"/>
      <c r="K71" s="83"/>
      <c r="L71" s="176"/>
      <c r="M71" s="31"/>
      <c r="N71" s="31"/>
      <c r="O71" s="33"/>
    </row>
    <row r="72" spans="2:15">
      <c r="B72" s="88" t="str">
        <f xml:space="preserve"> ( 'Facility Detail'!$B$1752 + 4 ) &amp; " Surplus Applied to " &amp; ( 'Facility Detail'!$B$1752 + 3 )</f>
        <v>2015 Surplus Applied to 2014</v>
      </c>
      <c r="C72" s="33"/>
      <c r="D72" s="70"/>
      <c r="E72" s="172"/>
      <c r="F72" s="172"/>
      <c r="G72" s="79">
        <f>H72</f>
        <v>0</v>
      </c>
      <c r="H72" s="10"/>
      <c r="I72" s="172"/>
      <c r="J72" s="83"/>
      <c r="K72" s="83"/>
      <c r="L72" s="176"/>
      <c r="M72" s="31"/>
      <c r="N72" s="31"/>
      <c r="O72" s="33"/>
    </row>
    <row r="73" spans="2:15">
      <c r="B73" s="88" t="str">
        <f xml:space="preserve"> ( 'Facility Detail'!$B$1752 + 4 ) &amp; " Surplus Applied to " &amp; ( 'Facility Detail'!$B$1752 + 5 )</f>
        <v>2015 Surplus Applied to 2016</v>
      </c>
      <c r="C73" s="33"/>
      <c r="D73" s="70"/>
      <c r="E73" s="172"/>
      <c r="F73" s="172"/>
      <c r="G73" s="172"/>
      <c r="H73" s="10">
        <v>5383</v>
      </c>
      <c r="I73" s="173">
        <f>H73</f>
        <v>5383</v>
      </c>
      <c r="J73" s="83"/>
      <c r="K73" s="83"/>
      <c r="L73" s="176"/>
      <c r="M73" s="31"/>
      <c r="N73" s="31"/>
      <c r="O73" s="33"/>
    </row>
    <row r="74" spans="2:15">
      <c r="B74" s="88" t="str">
        <f xml:space="preserve"> ( 'Facility Detail'!$B$1752 + 5 ) &amp; " Surplus Applied to " &amp; ( 'Facility Detail'!$B$1752 + 4 )</f>
        <v>2016 Surplus Applied to 2015</v>
      </c>
      <c r="C74" s="33"/>
      <c r="D74" s="70"/>
      <c r="E74" s="172"/>
      <c r="F74" s="172"/>
      <c r="G74" s="172"/>
      <c r="H74" s="79">
        <f>I74</f>
        <v>0</v>
      </c>
      <c r="I74" s="10"/>
      <c r="J74" s="83"/>
      <c r="K74" s="83"/>
      <c r="L74" s="176"/>
      <c r="M74" s="31"/>
      <c r="N74" s="31"/>
      <c r="O74" s="33"/>
    </row>
    <row r="75" spans="2:15">
      <c r="B75" s="88" t="str">
        <f xml:space="preserve"> ( 'Facility Detail'!$B$1752 + 5 ) &amp; " Surplus Applied to " &amp; ( 'Facility Detail'!$B$1752 + 6 )</f>
        <v>2016 Surplus Applied to 2017</v>
      </c>
      <c r="C75" s="33"/>
      <c r="D75" s="70"/>
      <c r="E75" s="172"/>
      <c r="F75" s="172"/>
      <c r="G75" s="172"/>
      <c r="H75" s="172"/>
      <c r="I75" s="268">
        <v>0</v>
      </c>
      <c r="J75" s="174">
        <f>I75</f>
        <v>0</v>
      </c>
      <c r="K75" s="83"/>
      <c r="L75" s="176"/>
      <c r="M75" s="31"/>
      <c r="N75" s="31"/>
      <c r="O75" s="33"/>
    </row>
    <row r="76" spans="2:15">
      <c r="B76" s="88" t="s">
        <v>191</v>
      </c>
      <c r="C76" s="33"/>
      <c r="D76" s="70"/>
      <c r="E76" s="172"/>
      <c r="F76" s="172"/>
      <c r="G76" s="172"/>
      <c r="H76" s="172"/>
      <c r="I76" s="269">
        <f>J76</f>
        <v>0</v>
      </c>
      <c r="J76" s="175"/>
      <c r="K76" s="83"/>
      <c r="L76" s="176"/>
      <c r="M76" s="31"/>
      <c r="N76" s="31"/>
      <c r="O76" s="33"/>
    </row>
    <row r="77" spans="2:15">
      <c r="B77" s="88" t="s">
        <v>192</v>
      </c>
      <c r="C77" s="33"/>
      <c r="D77" s="70"/>
      <c r="E77" s="172"/>
      <c r="F77" s="172"/>
      <c r="G77" s="172"/>
      <c r="H77" s="172"/>
      <c r="I77" s="172"/>
      <c r="J77" s="175">
        <v>0</v>
      </c>
      <c r="K77" s="174">
        <f>J77</f>
        <v>0</v>
      </c>
      <c r="L77" s="176"/>
      <c r="M77" s="31"/>
      <c r="N77" s="31"/>
      <c r="O77" s="33"/>
    </row>
    <row r="78" spans="2:15">
      <c r="B78" s="88" t="s">
        <v>226</v>
      </c>
      <c r="C78" s="33"/>
      <c r="D78" s="70"/>
      <c r="E78" s="172"/>
      <c r="F78" s="172"/>
      <c r="G78" s="172"/>
      <c r="H78" s="172"/>
      <c r="I78" s="172"/>
      <c r="J78" s="336"/>
      <c r="K78" s="175"/>
      <c r="L78" s="176"/>
      <c r="M78" s="31"/>
      <c r="N78" s="31"/>
      <c r="O78" s="33"/>
    </row>
    <row r="79" spans="2:15">
      <c r="B79" s="88" t="s">
        <v>227</v>
      </c>
      <c r="C79" s="33"/>
      <c r="D79" s="71"/>
      <c r="E79" s="154"/>
      <c r="F79" s="154"/>
      <c r="G79" s="154"/>
      <c r="H79" s="154"/>
      <c r="I79" s="154"/>
      <c r="J79" s="154"/>
      <c r="K79" s="177"/>
      <c r="L79" s="332">
        <f>K79</f>
        <v>0</v>
      </c>
      <c r="M79" s="31"/>
      <c r="N79" s="31"/>
      <c r="O79" s="33"/>
    </row>
    <row r="80" spans="2:15">
      <c r="B80" s="36" t="s">
        <v>17</v>
      </c>
      <c r="D80" s="214">
        <f xml:space="preserve"> D66 - D65</f>
        <v>-18896</v>
      </c>
      <c r="E80" s="214">
        <f xml:space="preserve"> E65 + E68 - E67 - E66</f>
        <v>1288</v>
      </c>
      <c r="F80" s="214">
        <f>F67 - F68 - F69</f>
        <v>-288</v>
      </c>
      <c r="G80" s="214">
        <f>G69-G70-G71</f>
        <v>6662</v>
      </c>
      <c r="H80" s="214">
        <f>H71-H72-H73</f>
        <v>5851</v>
      </c>
      <c r="I80" s="214">
        <f>I73-I74-I75</f>
        <v>5383</v>
      </c>
      <c r="J80" s="214">
        <f t="shared" ref="J80:L80" si="14">J73-J74-J75</f>
        <v>0</v>
      </c>
      <c r="K80" s="214">
        <f t="shared" si="14"/>
        <v>0</v>
      </c>
      <c r="L80" s="214">
        <f t="shared" si="14"/>
        <v>0</v>
      </c>
      <c r="M80" s="31"/>
      <c r="N80" s="31"/>
      <c r="O80" s="33"/>
    </row>
    <row r="81" spans="1:15">
      <c r="B81" s="6"/>
      <c r="D81" s="7"/>
      <c r="E81" s="7"/>
      <c r="F81" s="7"/>
      <c r="G81" s="7"/>
      <c r="H81" s="7"/>
      <c r="I81" s="7"/>
      <c r="J81" s="7"/>
      <c r="K81" s="7"/>
      <c r="L81" s="7"/>
      <c r="M81" s="31"/>
      <c r="N81" s="31"/>
      <c r="O81" s="33"/>
    </row>
    <row r="82" spans="1:15">
      <c r="B82" s="85" t="s">
        <v>12</v>
      </c>
      <c r="C82" s="80"/>
      <c r="D82" s="111"/>
      <c r="E82" s="112"/>
      <c r="F82" s="112"/>
      <c r="G82" s="112"/>
      <c r="H82" s="112"/>
      <c r="I82" s="112"/>
      <c r="J82" s="112"/>
      <c r="K82" s="112"/>
      <c r="L82" s="113"/>
      <c r="M82" s="31"/>
      <c r="N82" s="31"/>
      <c r="O82" s="33"/>
    </row>
    <row r="83" spans="1:15">
      <c r="B83" s="6"/>
      <c r="D83" s="7"/>
      <c r="E83" s="7"/>
      <c r="F83" s="7"/>
      <c r="G83" s="7"/>
      <c r="H83" s="7"/>
      <c r="I83" s="7"/>
      <c r="J83" s="7"/>
      <c r="K83" s="7"/>
      <c r="L83" s="7"/>
      <c r="M83" s="31"/>
      <c r="N83" s="31"/>
      <c r="O83" s="33"/>
    </row>
    <row r="84" spans="1:15" ht="18.75">
      <c r="A84" s="45" t="s">
        <v>26</v>
      </c>
      <c r="C84" s="80"/>
      <c r="D84" s="49">
        <f t="shared" ref="D84:J84" si="15" xml:space="preserve"> D51 + D56 - D62 + D80 + D82</f>
        <v>0</v>
      </c>
      <c r="E84" s="50">
        <f t="shared" si="15"/>
        <v>18896</v>
      </c>
      <c r="F84" s="50">
        <f t="shared" si="15"/>
        <v>17608</v>
      </c>
      <c r="G84" s="50">
        <f t="shared" si="15"/>
        <v>24054</v>
      </c>
      <c r="H84" s="50">
        <f t="shared" si="15"/>
        <v>20890</v>
      </c>
      <c r="I84" s="50">
        <f t="shared" si="15"/>
        <v>23675</v>
      </c>
      <c r="J84" s="50">
        <f t="shared" si="15"/>
        <v>15514</v>
      </c>
      <c r="K84" s="387"/>
      <c r="L84" s="167">
        <f t="shared" ref="L84" si="16" xml:space="preserve"> L51 + L56 - L62 + L80 + L82</f>
        <v>0</v>
      </c>
      <c r="M84" s="31"/>
      <c r="N84" s="31"/>
      <c r="O84" s="33"/>
    </row>
    <row r="85" spans="1:15">
      <c r="B85" s="6"/>
      <c r="D85" s="7"/>
      <c r="E85" s="7"/>
      <c r="F85" s="7"/>
      <c r="G85" s="31"/>
      <c r="H85" s="31"/>
      <c r="I85" s="31"/>
      <c r="J85" s="31"/>
      <c r="K85" s="31"/>
      <c r="L85" s="31"/>
      <c r="M85" s="31"/>
      <c r="N85" s="31"/>
      <c r="O85" s="33"/>
    </row>
    <row r="86" spans="1:15" ht="15.75" thickBot="1">
      <c r="M86" s="33"/>
      <c r="N86" s="33"/>
      <c r="O86" s="33"/>
    </row>
    <row r="87" spans="1:15">
      <c r="A87" s="8"/>
      <c r="B87" s="8"/>
      <c r="C87" s="8"/>
      <c r="D87" s="8"/>
      <c r="E87" s="8"/>
      <c r="F87" s="8"/>
      <c r="G87" s="8"/>
      <c r="H87" s="8"/>
      <c r="I87" s="8"/>
      <c r="J87" s="8"/>
      <c r="K87" s="8"/>
      <c r="L87" s="8"/>
      <c r="M87" s="33"/>
      <c r="N87" s="33"/>
      <c r="O87" s="33"/>
    </row>
    <row r="88" spans="1:15">
      <c r="B88" s="33"/>
      <c r="C88" s="33"/>
      <c r="D88" s="33"/>
      <c r="E88" s="33"/>
      <c r="F88" s="33"/>
      <c r="G88" s="33"/>
      <c r="H88" s="33"/>
      <c r="I88" s="33"/>
      <c r="J88" s="33"/>
      <c r="K88" s="33"/>
      <c r="L88" s="33"/>
      <c r="M88" s="33"/>
      <c r="N88" s="33"/>
      <c r="O88" s="33"/>
    </row>
    <row r="89" spans="1:15" ht="21">
      <c r="A89" s="14" t="s">
        <v>4</v>
      </c>
      <c r="B89" s="14"/>
      <c r="C89" s="46" t="str">
        <f>B3</f>
        <v>Leaning Juniper</v>
      </c>
      <c r="D89" s="47"/>
      <c r="E89" s="24"/>
      <c r="F89" s="24"/>
      <c r="M89" s="33"/>
      <c r="N89" s="33"/>
      <c r="O89" s="33"/>
    </row>
    <row r="90" spans="1:15">
      <c r="M90" s="33"/>
      <c r="N90" s="33"/>
      <c r="O90" s="33"/>
    </row>
    <row r="91" spans="1:15" ht="18.75">
      <c r="A91" s="9" t="s">
        <v>21</v>
      </c>
      <c r="B91" s="9"/>
      <c r="D91" s="2">
        <f>'Facility Detail'!$B$1752</f>
        <v>2011</v>
      </c>
      <c r="E91" s="2">
        <f t="shared" ref="E91:K91" si="17">D91+1</f>
        <v>2012</v>
      </c>
      <c r="F91" s="2">
        <f t="shared" si="17"/>
        <v>2013</v>
      </c>
      <c r="G91" s="2">
        <f t="shared" si="17"/>
        <v>2014</v>
      </c>
      <c r="H91" s="2">
        <f t="shared" si="17"/>
        <v>2015</v>
      </c>
      <c r="I91" s="2">
        <f t="shared" si="17"/>
        <v>2016</v>
      </c>
      <c r="J91" s="2">
        <f t="shared" si="17"/>
        <v>2017</v>
      </c>
      <c r="K91" s="2">
        <f t="shared" si="17"/>
        <v>2018</v>
      </c>
      <c r="L91" s="2">
        <v>2019</v>
      </c>
      <c r="M91" s="26"/>
      <c r="N91" s="26"/>
      <c r="O91" s="33"/>
    </row>
    <row r="92" spans="1:15">
      <c r="B92" s="88" t="str">
        <f>"Total MWh Produced / Purchased from " &amp; C89</f>
        <v>Total MWh Produced / Purchased from Leaning Juniper</v>
      </c>
      <c r="C92" s="80"/>
      <c r="D92" s="3">
        <v>234789</v>
      </c>
      <c r="E92" s="4">
        <v>190905</v>
      </c>
      <c r="F92" s="4">
        <v>206164</v>
      </c>
      <c r="G92" s="4">
        <v>215245</v>
      </c>
      <c r="H92" s="206">
        <v>188567</v>
      </c>
      <c r="I92" s="99">
        <v>202605</v>
      </c>
      <c r="J92" s="99">
        <v>155685</v>
      </c>
      <c r="K92" s="391"/>
      <c r="L92" s="163"/>
      <c r="M92" s="25"/>
      <c r="N92" s="25"/>
      <c r="O92" s="33"/>
    </row>
    <row r="93" spans="1:15">
      <c r="B93" s="88" t="s">
        <v>25</v>
      </c>
      <c r="C93" s="80"/>
      <c r="D93" s="62">
        <v>1</v>
      </c>
      <c r="E93" s="63">
        <v>1</v>
      </c>
      <c r="F93" s="63">
        <v>1</v>
      </c>
      <c r="G93" s="63">
        <v>1</v>
      </c>
      <c r="H93" s="63">
        <v>1</v>
      </c>
      <c r="I93" s="272">
        <v>1</v>
      </c>
      <c r="J93" s="272">
        <v>1</v>
      </c>
      <c r="K93" s="272">
        <v>1</v>
      </c>
      <c r="L93" s="278">
        <v>1</v>
      </c>
      <c r="M93" s="25"/>
      <c r="N93" s="25"/>
      <c r="O93" s="33"/>
    </row>
    <row r="94" spans="1:15">
      <c r="B94" s="88" t="s">
        <v>20</v>
      </c>
      <c r="C94" s="80"/>
      <c r="D94" s="54">
        <v>7.8921000000000005E-2</v>
      </c>
      <c r="E94" s="55">
        <v>7.9619999999999996E-2</v>
      </c>
      <c r="F94" s="55">
        <v>7.8747999999999999E-2</v>
      </c>
      <c r="G94" s="55">
        <v>8.0235000000000001E-2</v>
      </c>
      <c r="H94" s="55">
        <v>8.0535999999999996E-2</v>
      </c>
      <c r="I94" s="275">
        <v>8.1698151927344531E-2</v>
      </c>
      <c r="J94" s="275">
        <v>8.0833713568703974E-2</v>
      </c>
      <c r="K94" s="275">
        <v>7.9769759999999995E-2</v>
      </c>
      <c r="L94" s="320"/>
      <c r="M94" s="25"/>
      <c r="N94" s="25"/>
      <c r="O94" s="33"/>
    </row>
    <row r="95" spans="1:15">
      <c r="B95" s="85" t="s">
        <v>22</v>
      </c>
      <c r="C95" s="86"/>
      <c r="D95" s="41">
        <f xml:space="preserve"> ROUND(D92 * D93 * D94,0)</f>
        <v>18530</v>
      </c>
      <c r="E95" s="41">
        <f t="shared" ref="E95:G95" si="18" xml:space="preserve"> ROUND(E92 * E93 * E94,0)</f>
        <v>15200</v>
      </c>
      <c r="F95" s="41">
        <f t="shared" si="18"/>
        <v>16235</v>
      </c>
      <c r="G95" s="41">
        <f t="shared" si="18"/>
        <v>17270</v>
      </c>
      <c r="H95" s="41">
        <v>15187</v>
      </c>
      <c r="I95" s="41">
        <v>16552</v>
      </c>
      <c r="J95" s="41">
        <v>12585</v>
      </c>
      <c r="K95" s="380"/>
      <c r="L95" s="41">
        <f t="shared" ref="L95" si="19" xml:space="preserve"> ROUND(L92 * L93 * L94,0)</f>
        <v>0</v>
      </c>
      <c r="M95" s="25"/>
      <c r="N95" s="25"/>
      <c r="O95" s="33"/>
    </row>
    <row r="96" spans="1:15">
      <c r="B96" s="24"/>
      <c r="C96" s="33"/>
      <c r="D96" s="40"/>
      <c r="E96" s="40"/>
      <c r="F96" s="40"/>
      <c r="G96" s="25"/>
      <c r="H96" s="25"/>
      <c r="I96" s="25"/>
      <c r="J96" s="25"/>
      <c r="K96" s="25"/>
      <c r="L96" s="25"/>
      <c r="M96" s="25"/>
      <c r="N96" s="25"/>
      <c r="O96" s="33"/>
    </row>
    <row r="97" spans="1:15" ht="18.75">
      <c r="A97" s="48" t="s">
        <v>119</v>
      </c>
      <c r="C97" s="33"/>
      <c r="D97" s="2">
        <f>'Facility Detail'!$B$1752</f>
        <v>2011</v>
      </c>
      <c r="E97" s="2">
        <f>D97+1</f>
        <v>2012</v>
      </c>
      <c r="F97" s="2">
        <f>E97+1</f>
        <v>2013</v>
      </c>
      <c r="G97" s="2">
        <f>G91</f>
        <v>2014</v>
      </c>
      <c r="H97" s="2">
        <f>H91</f>
        <v>2015</v>
      </c>
      <c r="I97" s="2">
        <f>I91</f>
        <v>2016</v>
      </c>
      <c r="J97" s="2">
        <f>J91</f>
        <v>2017</v>
      </c>
      <c r="K97" s="2">
        <f t="shared" ref="K97" si="20">K91</f>
        <v>2018</v>
      </c>
      <c r="L97" s="2">
        <v>2019</v>
      </c>
      <c r="M97" s="25"/>
      <c r="N97" s="25"/>
      <c r="O97" s="33"/>
    </row>
    <row r="98" spans="1:15">
      <c r="B98" s="88" t="s">
        <v>10</v>
      </c>
      <c r="C98" s="80"/>
      <c r="D98" s="279">
        <f>IF( $E3 = "Eligible",D95 * 'Facility Detail'!$B$1749, 0 )</f>
        <v>0</v>
      </c>
      <c r="E98" s="11">
        <f>IF( $E3 = "Eligible",E95 * 'Facility Detail'!$B$1749, 0 )</f>
        <v>0</v>
      </c>
      <c r="F98" s="11">
        <f>IF( $E3 = "Eligible",F95 * 'Facility Detail'!$B$1749, 0 )</f>
        <v>0</v>
      </c>
      <c r="G98" s="11">
        <f>IF( $E3 = "Eligible",G95 * 'Facility Detail'!$B$1749, 0 )</f>
        <v>0</v>
      </c>
      <c r="H98" s="11">
        <f>IF( $E3 = "Eligible",H95 * 'Facility Detail'!$B$1749, 0 )</f>
        <v>0</v>
      </c>
      <c r="I98" s="11">
        <f>IF( $E3 = "Eligible",I95 * 'Facility Detail'!$B$1749, 0 )</f>
        <v>0</v>
      </c>
      <c r="J98" s="11">
        <f>IF( $E3 = "Eligible",J95 * 'Facility Detail'!$B$1749, 0 )</f>
        <v>0</v>
      </c>
      <c r="K98" s="11">
        <f>IF( $E3 = "Eligible",K95 * 'Facility Detail'!$B$1749, 0 )</f>
        <v>0</v>
      </c>
      <c r="L98" s="12">
        <f>IF( $E3 = "Eligible",L95 * 'Facility Detail'!$B$1749, 0 )</f>
        <v>0</v>
      </c>
      <c r="M98" s="25"/>
      <c r="N98" s="25"/>
      <c r="O98" s="33"/>
    </row>
    <row r="99" spans="1:15">
      <c r="B99" s="88" t="s">
        <v>6</v>
      </c>
      <c r="C99" s="80"/>
      <c r="D99" s="58">
        <f t="shared" ref="D99:J99" si="21">IF( $F3 = "Eligible", D95, 0 )</f>
        <v>0</v>
      </c>
      <c r="E99" s="59">
        <f t="shared" si="21"/>
        <v>0</v>
      </c>
      <c r="F99" s="59">
        <f t="shared" si="21"/>
        <v>0</v>
      </c>
      <c r="G99" s="59">
        <f t="shared" si="21"/>
        <v>0</v>
      </c>
      <c r="H99" s="59">
        <f t="shared" si="21"/>
        <v>0</v>
      </c>
      <c r="I99" s="59">
        <f t="shared" si="21"/>
        <v>0</v>
      </c>
      <c r="J99" s="59">
        <f t="shared" si="21"/>
        <v>0</v>
      </c>
      <c r="K99" s="59">
        <f t="shared" ref="K99:L99" si="22">IF( $F3 = "Eligible", K95, 0 )</f>
        <v>0</v>
      </c>
      <c r="L99" s="60">
        <f t="shared" si="22"/>
        <v>0</v>
      </c>
      <c r="M99" s="25"/>
      <c r="N99" s="25"/>
      <c r="O99" s="33"/>
    </row>
    <row r="100" spans="1:15">
      <c r="B100" s="87" t="s">
        <v>121</v>
      </c>
      <c r="C100" s="86"/>
      <c r="D100" s="43">
        <f t="shared" ref="D100:I100" si="23">SUM(D98:D99)</f>
        <v>0</v>
      </c>
      <c r="E100" s="44">
        <f t="shared" si="23"/>
        <v>0</v>
      </c>
      <c r="F100" s="44">
        <f t="shared" si="23"/>
        <v>0</v>
      </c>
      <c r="G100" s="44">
        <f t="shared" si="23"/>
        <v>0</v>
      </c>
      <c r="H100" s="44">
        <f t="shared" si="23"/>
        <v>0</v>
      </c>
      <c r="I100" s="44">
        <f t="shared" si="23"/>
        <v>0</v>
      </c>
      <c r="J100" s="44">
        <f t="shared" ref="J100" si="24">SUM(J98:J99)</f>
        <v>0</v>
      </c>
      <c r="K100" s="44">
        <f t="shared" ref="K100:L100" si="25">SUM(K98:K99)</f>
        <v>0</v>
      </c>
      <c r="L100" s="44">
        <f t="shared" si="25"/>
        <v>0</v>
      </c>
      <c r="M100" s="25"/>
      <c r="N100" s="25"/>
      <c r="O100" s="33"/>
    </row>
    <row r="101" spans="1:15">
      <c r="B101" s="33"/>
      <c r="C101" s="33"/>
      <c r="D101" s="42"/>
      <c r="E101" s="34"/>
      <c r="F101" s="34"/>
      <c r="G101" s="25"/>
      <c r="H101" s="25"/>
      <c r="I101" s="25"/>
      <c r="J101" s="25"/>
      <c r="K101" s="25"/>
      <c r="L101" s="25"/>
      <c r="M101" s="25"/>
      <c r="N101" s="25"/>
      <c r="O101" s="33"/>
    </row>
    <row r="102" spans="1:15" ht="18.75">
      <c r="A102" s="45" t="s">
        <v>30</v>
      </c>
      <c r="C102" s="33"/>
      <c r="D102" s="2">
        <f>'Facility Detail'!$B$1752</f>
        <v>2011</v>
      </c>
      <c r="E102" s="2">
        <f>D102+1</f>
        <v>2012</v>
      </c>
      <c r="F102" s="2">
        <f>E102+1</f>
        <v>2013</v>
      </c>
      <c r="G102" s="2">
        <f>G91</f>
        <v>2014</v>
      </c>
      <c r="H102" s="2">
        <f>H91</f>
        <v>2015</v>
      </c>
      <c r="I102" s="2">
        <f>I91</f>
        <v>2016</v>
      </c>
      <c r="J102" s="2">
        <f>J91</f>
        <v>2017</v>
      </c>
      <c r="K102" s="2">
        <f t="shared" ref="K102" si="26">K91</f>
        <v>2018</v>
      </c>
      <c r="L102" s="2">
        <v>2019</v>
      </c>
      <c r="M102" s="25"/>
      <c r="N102" s="25"/>
      <c r="O102" s="33"/>
    </row>
    <row r="103" spans="1:15">
      <c r="B103" s="88" t="s">
        <v>47</v>
      </c>
      <c r="C103" s="80"/>
      <c r="D103" s="98"/>
      <c r="E103" s="99"/>
      <c r="F103" s="99"/>
      <c r="G103" s="99"/>
      <c r="H103" s="99"/>
      <c r="I103" s="99"/>
      <c r="J103" s="99"/>
      <c r="K103" s="99"/>
      <c r="L103" s="100"/>
      <c r="M103" s="25"/>
      <c r="N103" s="25"/>
      <c r="O103" s="33"/>
    </row>
    <row r="104" spans="1:15">
      <c r="B104" s="89" t="s">
        <v>23</v>
      </c>
      <c r="C104" s="207"/>
      <c r="D104" s="101"/>
      <c r="E104" s="102"/>
      <c r="F104" s="102"/>
      <c r="G104" s="102"/>
      <c r="H104" s="102"/>
      <c r="I104" s="102"/>
      <c r="J104" s="102"/>
      <c r="K104" s="102"/>
      <c r="L104" s="103"/>
      <c r="M104" s="25"/>
      <c r="N104" s="25"/>
      <c r="O104" s="33"/>
    </row>
    <row r="105" spans="1:15">
      <c r="B105" s="104" t="s">
        <v>89</v>
      </c>
      <c r="C105" s="205"/>
      <c r="D105" s="65"/>
      <c r="E105" s="66"/>
      <c r="F105" s="66"/>
      <c r="G105" s="66"/>
      <c r="H105" s="66"/>
      <c r="I105" s="66"/>
      <c r="J105" s="66"/>
      <c r="K105" s="66"/>
      <c r="L105" s="67"/>
      <c r="M105" s="25"/>
      <c r="N105" s="25"/>
      <c r="O105" s="33"/>
    </row>
    <row r="106" spans="1:15">
      <c r="B106" s="36" t="s">
        <v>90</v>
      </c>
      <c r="D106" s="7">
        <f t="shared" ref="D106:J106" si="27">SUM(D103:D105)</f>
        <v>0</v>
      </c>
      <c r="E106" s="7">
        <f t="shared" si="27"/>
        <v>0</v>
      </c>
      <c r="F106" s="7">
        <f t="shared" si="27"/>
        <v>0</v>
      </c>
      <c r="G106" s="7">
        <f t="shared" si="27"/>
        <v>0</v>
      </c>
      <c r="H106" s="7">
        <f t="shared" si="27"/>
        <v>0</v>
      </c>
      <c r="I106" s="7">
        <f t="shared" si="27"/>
        <v>0</v>
      </c>
      <c r="J106" s="7">
        <f t="shared" si="27"/>
        <v>0</v>
      </c>
      <c r="K106" s="7">
        <f t="shared" ref="K106:L106" si="28">SUM(K103:K105)</f>
        <v>0</v>
      </c>
      <c r="L106" s="7">
        <f t="shared" si="28"/>
        <v>0</v>
      </c>
      <c r="M106" s="31"/>
      <c r="N106" s="31"/>
      <c r="O106" s="33"/>
    </row>
    <row r="107" spans="1:15">
      <c r="B107" s="6"/>
      <c r="D107" s="7"/>
      <c r="E107" s="7"/>
      <c r="F107" s="7"/>
      <c r="G107" s="31"/>
      <c r="H107" s="31"/>
      <c r="I107" s="31"/>
      <c r="J107" s="31"/>
      <c r="K107" s="31"/>
      <c r="L107" s="31"/>
      <c r="M107" s="31"/>
      <c r="N107" s="31"/>
      <c r="O107" s="33"/>
    </row>
    <row r="108" spans="1:15" ht="18.75">
      <c r="A108" s="9" t="s">
        <v>100</v>
      </c>
      <c r="D108" s="2">
        <f>'Facility Detail'!$B$1752</f>
        <v>2011</v>
      </c>
      <c r="E108" s="2">
        <f t="shared" ref="E108:K108" si="29">D108+1</f>
        <v>2012</v>
      </c>
      <c r="F108" s="2">
        <f t="shared" si="29"/>
        <v>2013</v>
      </c>
      <c r="G108" s="2">
        <f t="shared" si="29"/>
        <v>2014</v>
      </c>
      <c r="H108" s="2">
        <f t="shared" si="29"/>
        <v>2015</v>
      </c>
      <c r="I108" s="2">
        <f t="shared" si="29"/>
        <v>2016</v>
      </c>
      <c r="J108" s="2">
        <f t="shared" si="29"/>
        <v>2017</v>
      </c>
      <c r="K108" s="2">
        <f t="shared" si="29"/>
        <v>2018</v>
      </c>
      <c r="L108" s="2">
        <v>2019</v>
      </c>
      <c r="M108" s="31"/>
      <c r="N108" s="31"/>
      <c r="O108" s="33"/>
    </row>
    <row r="109" spans="1:15">
      <c r="B109" s="88" t="str">
        <f xml:space="preserve"> 'Facility Detail'!$B$1752 &amp; " Surplus Applied to " &amp; ( 'Facility Detail'!$B$1752 + 1 )</f>
        <v>2011 Surplus Applied to 2012</v>
      </c>
      <c r="C109" s="33"/>
      <c r="D109" s="3">
        <v>18530</v>
      </c>
      <c r="E109" s="68">
        <f>D109</f>
        <v>18530</v>
      </c>
      <c r="F109" s="152"/>
      <c r="G109" s="152"/>
      <c r="H109" s="152"/>
      <c r="I109" s="152"/>
      <c r="J109" s="152"/>
      <c r="K109" s="152"/>
      <c r="L109" s="69"/>
      <c r="M109" s="31"/>
      <c r="N109" s="31"/>
      <c r="O109" s="33"/>
    </row>
    <row r="110" spans="1:15">
      <c r="B110" s="88" t="str">
        <f xml:space="preserve"> ( 'Facility Detail'!$B$1752 + 1 ) &amp; " Surplus Applied to " &amp; ( 'Facility Detail'!$B$1752 )</f>
        <v>2012 Surplus Applied to 2011</v>
      </c>
      <c r="C110" s="33"/>
      <c r="D110" s="189">
        <f>E110</f>
        <v>0</v>
      </c>
      <c r="E110" s="10"/>
      <c r="F110" s="83"/>
      <c r="G110" s="83"/>
      <c r="H110" s="83"/>
      <c r="I110" s="83"/>
      <c r="J110" s="83"/>
      <c r="K110" s="83"/>
      <c r="L110" s="190"/>
      <c r="M110" s="31"/>
      <c r="N110" s="31"/>
      <c r="O110" s="33"/>
    </row>
    <row r="111" spans="1:15">
      <c r="B111" s="88" t="str">
        <f xml:space="preserve"> ( 'Facility Detail'!$B$1752 + 1 ) &amp; " Surplus Applied to " &amp; ( 'Facility Detail'!$B$1752 + 2 )</f>
        <v>2012 Surplus Applied to 2013</v>
      </c>
      <c r="C111" s="33"/>
      <c r="D111" s="70"/>
      <c r="E111" s="10">
        <f>E95</f>
        <v>15200</v>
      </c>
      <c r="F111" s="79">
        <f>E111</f>
        <v>15200</v>
      </c>
      <c r="G111" s="83"/>
      <c r="H111" s="83"/>
      <c r="I111" s="83"/>
      <c r="J111" s="83"/>
      <c r="K111" s="83"/>
      <c r="L111" s="190"/>
      <c r="M111" s="31"/>
      <c r="N111" s="31"/>
      <c r="O111" s="33"/>
    </row>
    <row r="112" spans="1:15">
      <c r="B112" s="88" t="str">
        <f xml:space="preserve"> ( 'Facility Detail'!$B$1752 + 2 ) &amp; " Surplus Applied to " &amp; ( 'Facility Detail'!$B$1752 + 1 )</f>
        <v>2013 Surplus Applied to 2012</v>
      </c>
      <c r="C112" s="33"/>
      <c r="D112" s="70"/>
      <c r="E112" s="79">
        <f>F112</f>
        <v>0</v>
      </c>
      <c r="F112" s="188"/>
      <c r="G112" s="83"/>
      <c r="H112" s="83"/>
      <c r="I112" s="83"/>
      <c r="J112" s="83"/>
      <c r="K112" s="83"/>
      <c r="L112" s="190"/>
      <c r="M112" s="31"/>
      <c r="N112" s="31"/>
      <c r="O112" s="33"/>
    </row>
    <row r="113" spans="1:15">
      <c r="B113" s="88" t="str">
        <f xml:space="preserve"> ( 'Facility Detail'!$B$1752 + 2 ) &amp; " Surplus Applied to " &amp; ( 'Facility Detail'!$B$1752 + 3 )</f>
        <v>2013 Surplus Applied to 2014</v>
      </c>
      <c r="C113" s="33"/>
      <c r="D113" s="70"/>
      <c r="E113" s="172"/>
      <c r="F113" s="10">
        <f>F95</f>
        <v>16235</v>
      </c>
      <c r="G113" s="173">
        <f>F113</f>
        <v>16235</v>
      </c>
      <c r="H113" s="83"/>
      <c r="I113" s="83"/>
      <c r="J113" s="83"/>
      <c r="K113" s="83"/>
      <c r="L113" s="190"/>
      <c r="M113" s="31"/>
      <c r="N113" s="31"/>
      <c r="O113" s="33"/>
    </row>
    <row r="114" spans="1:15">
      <c r="B114" s="88" t="str">
        <f xml:space="preserve"> ( 'Facility Detail'!$B$1752 + 3 ) &amp; " Surplus Applied to " &amp; ( 'Facility Detail'!$B$1752 + 2 )</f>
        <v>2014 Surplus Applied to 2013</v>
      </c>
      <c r="C114" s="33"/>
      <c r="D114" s="70"/>
      <c r="E114" s="172"/>
      <c r="F114" s="79">
        <f>G114</f>
        <v>0</v>
      </c>
      <c r="G114" s="10"/>
      <c r="H114" s="83"/>
      <c r="I114" s="83"/>
      <c r="J114" s="83"/>
      <c r="K114" s="83"/>
      <c r="L114" s="190"/>
      <c r="M114" s="31"/>
      <c r="N114" s="31"/>
      <c r="O114" s="33"/>
    </row>
    <row r="115" spans="1:15">
      <c r="B115" s="88" t="str">
        <f xml:space="preserve"> ( 'Facility Detail'!$B$1752 + 3 ) &amp; " Surplus Applied to " &amp; ( 'Facility Detail'!$B$1752 + 4 )</f>
        <v>2014 Surplus Applied to 2015</v>
      </c>
      <c r="C115" s="33"/>
      <c r="D115" s="70"/>
      <c r="E115" s="172"/>
      <c r="F115" s="172"/>
      <c r="G115" s="10">
        <f>G95</f>
        <v>17270</v>
      </c>
      <c r="H115" s="173">
        <f>G115</f>
        <v>17270</v>
      </c>
      <c r="I115" s="172"/>
      <c r="J115" s="172"/>
      <c r="K115" s="172"/>
      <c r="L115" s="176"/>
      <c r="M115" s="31"/>
      <c r="N115" s="31"/>
      <c r="O115" s="33"/>
    </row>
    <row r="116" spans="1:15">
      <c r="B116" s="88" t="str">
        <f xml:space="preserve"> ( 'Facility Detail'!$B$1752 + 4 ) &amp; " Surplus Applied to " &amp; ( 'Facility Detail'!$B$1752 + 3 )</f>
        <v>2015 Surplus Applied to 2014</v>
      </c>
      <c r="C116" s="33"/>
      <c r="D116" s="70"/>
      <c r="E116" s="172"/>
      <c r="F116" s="172"/>
      <c r="G116" s="79"/>
      <c r="H116" s="10"/>
      <c r="I116" s="172"/>
      <c r="J116" s="172"/>
      <c r="K116" s="172"/>
      <c r="L116" s="176"/>
      <c r="M116" s="31"/>
      <c r="N116" s="31"/>
      <c r="O116" s="33"/>
    </row>
    <row r="117" spans="1:15">
      <c r="B117" s="88" t="str">
        <f xml:space="preserve"> ( 'Facility Detail'!$B$1752 + 4 ) &amp; " Surplus Applied to " &amp; ( 'Facility Detail'!$B$1752 + 5 )</f>
        <v>2015 Surplus Applied to 2016</v>
      </c>
      <c r="C117" s="33"/>
      <c r="D117" s="70"/>
      <c r="E117" s="172"/>
      <c r="F117" s="172"/>
      <c r="G117" s="172"/>
      <c r="H117" s="10">
        <f>H95</f>
        <v>15187</v>
      </c>
      <c r="I117" s="173">
        <f>H117</f>
        <v>15187</v>
      </c>
      <c r="J117" s="172"/>
      <c r="K117" s="172"/>
      <c r="L117" s="176"/>
      <c r="M117" s="31"/>
      <c r="N117" s="31"/>
      <c r="O117" s="33"/>
    </row>
    <row r="118" spans="1:15">
      <c r="B118" s="88" t="str">
        <f xml:space="preserve"> ( 'Facility Detail'!$B$1752 + 5 ) &amp; " Surplus Applied to " &amp; ( 'Facility Detail'!$B$1752 + 4 )</f>
        <v>2016 Surplus Applied to 2015</v>
      </c>
      <c r="C118" s="33"/>
      <c r="D118" s="70"/>
      <c r="E118" s="172"/>
      <c r="F118" s="172"/>
      <c r="G118" s="172"/>
      <c r="H118" s="79"/>
      <c r="I118" s="175"/>
      <c r="J118" s="172"/>
      <c r="K118" s="172"/>
      <c r="L118" s="176"/>
      <c r="M118" s="31"/>
      <c r="N118" s="31"/>
      <c r="O118" s="33"/>
    </row>
    <row r="119" spans="1:15">
      <c r="B119" s="88" t="str">
        <f xml:space="preserve"> ( 'Facility Detail'!$B$1752 + 5 ) &amp; " Surplus Applied to " &amp; ( 'Facility Detail'!$B$1752 + 6 )</f>
        <v>2016 Surplus Applied to 2017</v>
      </c>
      <c r="C119" s="33"/>
      <c r="D119" s="70"/>
      <c r="E119" s="172"/>
      <c r="F119" s="172"/>
      <c r="G119" s="172"/>
      <c r="H119" s="172"/>
      <c r="I119" s="175">
        <v>0</v>
      </c>
      <c r="J119" s="174">
        <f>I119</f>
        <v>0</v>
      </c>
      <c r="K119" s="172"/>
      <c r="L119" s="176"/>
      <c r="M119" s="31"/>
      <c r="N119" s="31"/>
      <c r="O119" s="33"/>
    </row>
    <row r="120" spans="1:15">
      <c r="B120" s="88" t="s">
        <v>191</v>
      </c>
      <c r="C120" s="33"/>
      <c r="D120" s="70"/>
      <c r="E120" s="172"/>
      <c r="F120" s="172"/>
      <c r="G120" s="172"/>
      <c r="H120" s="172"/>
      <c r="I120" s="269">
        <f>J120</f>
        <v>0</v>
      </c>
      <c r="J120" s="175"/>
      <c r="K120" s="83"/>
      <c r="L120" s="190"/>
      <c r="M120" s="31"/>
      <c r="N120" s="31"/>
      <c r="O120" s="33"/>
    </row>
    <row r="121" spans="1:15">
      <c r="B121" s="88" t="s">
        <v>192</v>
      </c>
      <c r="C121" s="33"/>
      <c r="D121" s="70"/>
      <c r="E121" s="172"/>
      <c r="F121" s="172"/>
      <c r="G121" s="172"/>
      <c r="H121" s="172"/>
      <c r="I121" s="172"/>
      <c r="J121" s="175">
        <v>0</v>
      </c>
      <c r="K121" s="174">
        <f>J121</f>
        <v>0</v>
      </c>
      <c r="L121" s="176"/>
      <c r="M121" s="31"/>
      <c r="N121" s="31"/>
      <c r="O121" s="33"/>
    </row>
    <row r="122" spans="1:15">
      <c r="B122" s="88" t="s">
        <v>226</v>
      </c>
      <c r="C122" s="33"/>
      <c r="D122" s="70"/>
      <c r="E122" s="172"/>
      <c r="F122" s="172"/>
      <c r="G122" s="172"/>
      <c r="H122" s="172"/>
      <c r="I122" s="172"/>
      <c r="J122" s="174"/>
      <c r="K122" s="175"/>
      <c r="L122" s="176"/>
      <c r="M122" s="31"/>
      <c r="N122" s="31"/>
      <c r="O122" s="33"/>
    </row>
    <row r="123" spans="1:15">
      <c r="B123" s="88" t="s">
        <v>227</v>
      </c>
      <c r="C123" s="33"/>
      <c r="D123" s="71"/>
      <c r="E123" s="154"/>
      <c r="F123" s="154"/>
      <c r="G123" s="154"/>
      <c r="H123" s="154"/>
      <c r="I123" s="154"/>
      <c r="J123" s="154"/>
      <c r="K123" s="331"/>
      <c r="L123" s="351"/>
      <c r="M123" s="31"/>
      <c r="N123" s="31"/>
      <c r="O123" s="33"/>
    </row>
    <row r="124" spans="1:15">
      <c r="B124" s="36" t="s">
        <v>17</v>
      </c>
      <c r="D124" s="7">
        <f xml:space="preserve"> D110 - D109</f>
        <v>-18530</v>
      </c>
      <c r="E124" s="7">
        <f xml:space="preserve"> E109 + E112 - E111 - E110</f>
        <v>3330</v>
      </c>
      <c r="F124" s="7">
        <f>F111 - F112 -F113</f>
        <v>-1035</v>
      </c>
      <c r="G124" s="7">
        <f>G113-G114-G115</f>
        <v>-1035</v>
      </c>
      <c r="H124" s="7">
        <f>H115-H116-H117</f>
        <v>2083</v>
      </c>
      <c r="I124" s="7">
        <f>I117-I118-I119</f>
        <v>15187</v>
      </c>
      <c r="J124" s="7">
        <f>J119-J120-J121</f>
        <v>0</v>
      </c>
      <c r="K124" s="7">
        <f>K121</f>
        <v>0</v>
      </c>
      <c r="L124" s="7">
        <f>L121</f>
        <v>0</v>
      </c>
      <c r="M124" s="31"/>
      <c r="N124" s="31"/>
      <c r="O124" s="33"/>
    </row>
    <row r="125" spans="1:15">
      <c r="B125" s="6"/>
      <c r="D125" s="7"/>
      <c r="E125" s="7"/>
      <c r="F125" s="7"/>
      <c r="G125" s="7"/>
      <c r="H125" s="7"/>
      <c r="I125" s="7"/>
      <c r="J125" s="7"/>
      <c r="K125" s="7"/>
      <c r="L125" s="7"/>
      <c r="M125" s="31"/>
      <c r="N125" s="31"/>
      <c r="O125" s="33"/>
    </row>
    <row r="126" spans="1:15">
      <c r="B126" s="85" t="s">
        <v>12</v>
      </c>
      <c r="C126" s="80"/>
      <c r="D126" s="111"/>
      <c r="E126" s="112"/>
      <c r="F126" s="112"/>
      <c r="G126" s="112"/>
      <c r="H126" s="112"/>
      <c r="I126" s="112"/>
      <c r="J126" s="112"/>
      <c r="K126" s="112"/>
      <c r="L126" s="113"/>
      <c r="M126" s="31"/>
      <c r="N126" s="31"/>
      <c r="O126" s="33"/>
    </row>
    <row r="127" spans="1:15">
      <c r="B127" s="6"/>
      <c r="D127" s="7"/>
      <c r="E127" s="7"/>
      <c r="F127" s="7"/>
      <c r="G127" s="7"/>
      <c r="H127" s="7"/>
      <c r="I127" s="7"/>
      <c r="J127" s="7"/>
      <c r="K127" s="7"/>
      <c r="L127" s="7"/>
      <c r="M127" s="31"/>
      <c r="N127" s="31"/>
      <c r="O127" s="33"/>
    </row>
    <row r="128" spans="1:15" ht="18.75">
      <c r="A128" s="45" t="s">
        <v>26</v>
      </c>
      <c r="C128" s="80"/>
      <c r="D128" s="49">
        <f t="shared" ref="D128:L128" si="30" xml:space="preserve"> D95 + D100 - D106 + D124 + D126</f>
        <v>0</v>
      </c>
      <c r="E128" s="50">
        <f t="shared" si="30"/>
        <v>18530</v>
      </c>
      <c r="F128" s="50">
        <f t="shared" si="30"/>
        <v>15200</v>
      </c>
      <c r="G128" s="50">
        <f t="shared" si="30"/>
        <v>16235</v>
      </c>
      <c r="H128" s="183">
        <f t="shared" si="30"/>
        <v>17270</v>
      </c>
      <c r="I128" s="50">
        <f t="shared" si="30"/>
        <v>31739</v>
      </c>
      <c r="J128" s="50">
        <f t="shared" si="30"/>
        <v>12585</v>
      </c>
      <c r="K128" s="387"/>
      <c r="L128" s="51">
        <f t="shared" si="30"/>
        <v>0</v>
      </c>
      <c r="M128" s="31"/>
      <c r="N128" s="31"/>
      <c r="O128" s="33"/>
    </row>
    <row r="129" spans="1:15">
      <c r="B129" s="6"/>
      <c r="D129" s="7"/>
      <c r="E129" s="7"/>
      <c r="F129" s="7"/>
      <c r="G129" s="31"/>
      <c r="H129" s="31"/>
      <c r="I129" s="31"/>
      <c r="J129" s="31"/>
      <c r="K129" s="31"/>
      <c r="L129" s="31"/>
      <c r="M129" s="31"/>
      <c r="N129" s="31"/>
      <c r="O129" s="33"/>
    </row>
    <row r="130" spans="1:15" ht="15.75" thickBot="1">
      <c r="M130" s="33"/>
      <c r="N130" s="33"/>
      <c r="O130" s="33"/>
    </row>
    <row r="131" spans="1:15">
      <c r="A131" s="8"/>
      <c r="B131" s="8"/>
      <c r="C131" s="8"/>
      <c r="D131" s="8"/>
      <c r="E131" s="8"/>
      <c r="F131" s="8"/>
      <c r="G131" s="8"/>
      <c r="H131" s="8"/>
      <c r="I131" s="8"/>
      <c r="J131" s="8"/>
      <c r="K131" s="8"/>
      <c r="L131" s="8"/>
      <c r="M131" s="33"/>
      <c r="N131" s="33"/>
      <c r="O131" s="33"/>
    </row>
    <row r="132" spans="1:15">
      <c r="B132" s="33"/>
      <c r="C132" s="33"/>
      <c r="D132" s="33"/>
      <c r="E132" s="33"/>
      <c r="F132" s="33"/>
      <c r="G132" s="33"/>
      <c r="H132" s="33"/>
      <c r="I132" s="33"/>
      <c r="J132" s="33"/>
      <c r="K132" s="33"/>
      <c r="L132" s="33"/>
      <c r="M132" s="33"/>
      <c r="N132" s="33"/>
      <c r="O132" s="33"/>
    </row>
    <row r="133" spans="1:15" ht="21">
      <c r="A133" s="14" t="s">
        <v>4</v>
      </c>
      <c r="B133" s="14"/>
      <c r="C133" s="46" t="str">
        <f>B4</f>
        <v>Marengo I</v>
      </c>
      <c r="D133" s="47"/>
      <c r="E133" s="24"/>
      <c r="F133" s="24"/>
      <c r="M133" s="33"/>
      <c r="N133" s="33"/>
      <c r="O133" s="33"/>
    </row>
    <row r="134" spans="1:15">
      <c r="M134" s="33"/>
      <c r="N134" s="33"/>
      <c r="O134" s="33"/>
    </row>
    <row r="135" spans="1:15" ht="18.75">
      <c r="A135" s="9" t="s">
        <v>21</v>
      </c>
      <c r="B135" s="9"/>
      <c r="D135" s="2">
        <f>'Facility Detail'!$B$1752</f>
        <v>2011</v>
      </c>
      <c r="E135" s="2">
        <f t="shared" ref="E135:K135" si="31">D135+1</f>
        <v>2012</v>
      </c>
      <c r="F135" s="2">
        <f t="shared" si="31"/>
        <v>2013</v>
      </c>
      <c r="G135" s="2">
        <f t="shared" si="31"/>
        <v>2014</v>
      </c>
      <c r="H135" s="2">
        <f t="shared" si="31"/>
        <v>2015</v>
      </c>
      <c r="I135" s="2">
        <f t="shared" si="31"/>
        <v>2016</v>
      </c>
      <c r="J135" s="2">
        <f t="shared" si="31"/>
        <v>2017</v>
      </c>
      <c r="K135" s="2">
        <f t="shared" si="31"/>
        <v>2018</v>
      </c>
      <c r="L135" s="2">
        <v>2019</v>
      </c>
      <c r="M135" s="26"/>
      <c r="N135" s="26"/>
      <c r="O135" s="33"/>
    </row>
    <row r="136" spans="1:15">
      <c r="B136" s="88" t="str">
        <f>"Total MWh Produced / Purchased from " &amp; C133</f>
        <v>Total MWh Produced / Purchased from Marengo I</v>
      </c>
      <c r="C136" s="80"/>
      <c r="D136" s="3">
        <v>403408</v>
      </c>
      <c r="E136" s="4">
        <v>358669</v>
      </c>
      <c r="F136" s="4">
        <v>331240</v>
      </c>
      <c r="G136" s="4">
        <v>367390</v>
      </c>
      <c r="H136" s="4">
        <v>298771</v>
      </c>
      <c r="I136" s="99">
        <v>356053</v>
      </c>
      <c r="J136" s="322">
        <v>315543</v>
      </c>
      <c r="K136" s="391"/>
      <c r="L136" s="334"/>
      <c r="M136" s="25"/>
      <c r="N136" s="25"/>
      <c r="O136" s="33"/>
    </row>
    <row r="137" spans="1:15">
      <c r="B137" s="88" t="s">
        <v>25</v>
      </c>
      <c r="C137" s="80"/>
      <c r="D137" s="62">
        <v>1</v>
      </c>
      <c r="E137" s="63">
        <v>1</v>
      </c>
      <c r="F137" s="63">
        <v>1</v>
      </c>
      <c r="G137" s="63">
        <v>1</v>
      </c>
      <c r="H137" s="63">
        <v>1</v>
      </c>
      <c r="I137" s="272">
        <v>1</v>
      </c>
      <c r="J137" s="272">
        <v>1</v>
      </c>
      <c r="K137" s="272">
        <v>1</v>
      </c>
      <c r="L137" s="278"/>
      <c r="M137" s="25"/>
      <c r="N137" s="25"/>
      <c r="O137" s="33"/>
    </row>
    <row r="138" spans="1:15">
      <c r="B138" s="88" t="s">
        <v>20</v>
      </c>
      <c r="C138" s="80"/>
      <c r="D138" s="54">
        <v>7.8921000000000005E-2</v>
      </c>
      <c r="E138" s="55">
        <v>7.9619999999999996E-2</v>
      </c>
      <c r="F138" s="55">
        <v>7.8747999999999999E-2</v>
      </c>
      <c r="G138" s="55">
        <v>8.0235000000000001E-2</v>
      </c>
      <c r="H138" s="55">
        <v>8.0535999999999996E-2</v>
      </c>
      <c r="I138" s="275">
        <v>8.1698151927344531E-2</v>
      </c>
      <c r="J138" s="275">
        <v>8.0833713568703974E-2</v>
      </c>
      <c r="K138" s="275">
        <v>7.9769759999999995E-2</v>
      </c>
      <c r="L138" s="335"/>
      <c r="M138" s="25"/>
      <c r="N138" s="25"/>
      <c r="O138" s="33"/>
    </row>
    <row r="139" spans="1:15">
      <c r="B139" s="85" t="s">
        <v>22</v>
      </c>
      <c r="C139" s="86"/>
      <c r="D139" s="41">
        <f xml:space="preserve"> ROUND(D136 * D137 * D138,0)</f>
        <v>31837</v>
      </c>
      <c r="E139" s="41">
        <f t="shared" ref="E139:H139" si="32" xml:space="preserve"> ROUND(E136 * E137 * E138,)</f>
        <v>28557</v>
      </c>
      <c r="F139" s="41">
        <f t="shared" si="32"/>
        <v>26084</v>
      </c>
      <c r="G139" s="41">
        <f t="shared" si="32"/>
        <v>29478</v>
      </c>
      <c r="H139" s="41">
        <f t="shared" si="32"/>
        <v>24062</v>
      </c>
      <c r="I139" s="333">
        <v>29087</v>
      </c>
      <c r="J139" s="333">
        <v>25507</v>
      </c>
      <c r="K139" s="380"/>
      <c r="L139" s="333">
        <f t="shared" ref="L139" si="33" xml:space="preserve"> ROUND(L136 * L137 * L138,)</f>
        <v>0</v>
      </c>
      <c r="M139" s="25"/>
      <c r="N139" s="25"/>
      <c r="O139" s="33"/>
    </row>
    <row r="140" spans="1:15">
      <c r="B140" s="24"/>
      <c r="C140" s="33"/>
      <c r="D140" s="40"/>
      <c r="E140" s="40"/>
      <c r="F140" s="40"/>
      <c r="G140" s="25"/>
      <c r="H140" s="25"/>
      <c r="I140" s="25"/>
      <c r="J140" s="25"/>
      <c r="K140" s="25"/>
      <c r="L140" s="25"/>
      <c r="M140" s="25"/>
      <c r="N140" s="25"/>
      <c r="O140" s="33"/>
    </row>
    <row r="141" spans="1:15" ht="18.75">
      <c r="A141" s="48" t="s">
        <v>119</v>
      </c>
      <c r="C141" s="33"/>
      <c r="D141" s="2">
        <f>'Facility Detail'!$B$1752</f>
        <v>2011</v>
      </c>
      <c r="E141" s="2">
        <f>D141+1</f>
        <v>2012</v>
      </c>
      <c r="F141" s="2">
        <f>E141+1</f>
        <v>2013</v>
      </c>
      <c r="G141" s="2">
        <f>G135</f>
        <v>2014</v>
      </c>
      <c r="H141" s="2">
        <f>H135</f>
        <v>2015</v>
      </c>
      <c r="I141" s="2">
        <f>I135</f>
        <v>2016</v>
      </c>
      <c r="J141" s="2">
        <f>J135</f>
        <v>2017</v>
      </c>
      <c r="K141" s="2">
        <f>K135</f>
        <v>2018</v>
      </c>
      <c r="L141" s="2">
        <v>2019</v>
      </c>
      <c r="M141" s="25"/>
      <c r="N141" s="25"/>
      <c r="O141" s="33"/>
    </row>
    <row r="142" spans="1:15">
      <c r="B142" s="88" t="s">
        <v>10</v>
      </c>
      <c r="C142" s="80"/>
      <c r="D142" s="57">
        <f>IF( $E4 = "Eligible", D139 * 'Facility Detail'!$B$1749, 0 )</f>
        <v>0</v>
      </c>
      <c r="E142" s="11">
        <f>IF( $E4 = "Eligible", E139 * 'Facility Detail'!$B$1749, 0 )</f>
        <v>0</v>
      </c>
      <c r="F142" s="11">
        <f>IF( $E4 = "Eligible", F139 * 'Facility Detail'!$B$1749, 0 )</f>
        <v>0</v>
      </c>
      <c r="G142" s="11">
        <f>IF( $E4 = "Eligible", G139 * 'Facility Detail'!$B$1749, 0 )</f>
        <v>0</v>
      </c>
      <c r="H142" s="11">
        <f>IF( $E4 = "Eligible", H139 * 'Facility Detail'!$B$1749, 0 )</f>
        <v>0</v>
      </c>
      <c r="I142" s="11">
        <f>IF( $E4 = "Eligible", I139 * 'Facility Detail'!$B$1749, 0 )</f>
        <v>0</v>
      </c>
      <c r="J142" s="11">
        <f>IF( $E4 = "Eligible", J139 * 'Facility Detail'!$B$1749, 0 )</f>
        <v>0</v>
      </c>
      <c r="K142" s="11">
        <f>IF( $E4 = "Eligible", K139 * 'Facility Detail'!$B$1749, 0 )</f>
        <v>0</v>
      </c>
      <c r="L142" s="12">
        <f>IF( $E4 = "Eligible", L139 * 'Facility Detail'!$B$1749, 0 )</f>
        <v>0</v>
      </c>
      <c r="M142" s="25"/>
      <c r="N142" s="25"/>
      <c r="O142" s="33"/>
    </row>
    <row r="143" spans="1:15">
      <c r="B143" s="88" t="s">
        <v>6</v>
      </c>
      <c r="C143" s="80"/>
      <c r="D143" s="58">
        <f t="shared" ref="D143:J143" si="34">IF( $F4 = "Eligible", D139, 0 )</f>
        <v>0</v>
      </c>
      <c r="E143" s="59">
        <f t="shared" si="34"/>
        <v>0</v>
      </c>
      <c r="F143" s="59">
        <f t="shared" si="34"/>
        <v>0</v>
      </c>
      <c r="G143" s="59">
        <f t="shared" si="34"/>
        <v>0</v>
      </c>
      <c r="H143" s="59">
        <f t="shared" si="34"/>
        <v>0</v>
      </c>
      <c r="I143" s="59">
        <f t="shared" si="34"/>
        <v>0</v>
      </c>
      <c r="J143" s="59">
        <f t="shared" si="34"/>
        <v>0</v>
      </c>
      <c r="K143" s="59">
        <f t="shared" ref="K143:L143" si="35">IF( $F4 = "Eligible", K139, 0 )</f>
        <v>0</v>
      </c>
      <c r="L143" s="60">
        <f t="shared" si="35"/>
        <v>0</v>
      </c>
      <c r="M143" s="25"/>
      <c r="N143" s="25"/>
      <c r="O143" s="33"/>
    </row>
    <row r="144" spans="1:15">
      <c r="B144" s="87" t="s">
        <v>121</v>
      </c>
      <c r="C144" s="86"/>
      <c r="D144" s="43">
        <f t="shared" ref="D144:I144" si="36">SUM(D142:D143)</f>
        <v>0</v>
      </c>
      <c r="E144" s="44">
        <f t="shared" si="36"/>
        <v>0</v>
      </c>
      <c r="F144" s="44">
        <f t="shared" si="36"/>
        <v>0</v>
      </c>
      <c r="G144" s="44">
        <f t="shared" si="36"/>
        <v>0</v>
      </c>
      <c r="H144" s="44">
        <f t="shared" si="36"/>
        <v>0</v>
      </c>
      <c r="I144" s="44">
        <f t="shared" si="36"/>
        <v>0</v>
      </c>
      <c r="J144" s="44">
        <f t="shared" ref="J144" si="37">SUM(J142:J143)</f>
        <v>0</v>
      </c>
      <c r="K144" s="44">
        <f t="shared" ref="K144:L144" si="38">SUM(K142:K143)</f>
        <v>0</v>
      </c>
      <c r="L144" s="44">
        <f t="shared" si="38"/>
        <v>0</v>
      </c>
      <c r="M144" s="25"/>
      <c r="N144" s="25"/>
      <c r="O144" s="33"/>
    </row>
    <row r="145" spans="1:15">
      <c r="B145" s="33"/>
      <c r="C145" s="33"/>
      <c r="D145" s="42"/>
      <c r="E145" s="34"/>
      <c r="F145" s="34"/>
      <c r="G145" s="25"/>
      <c r="H145" s="25"/>
      <c r="I145" s="25"/>
      <c r="J145" s="25"/>
      <c r="K145" s="25"/>
      <c r="L145" s="25"/>
      <c r="M145" s="25"/>
      <c r="N145" s="25"/>
      <c r="O145" s="33"/>
    </row>
    <row r="146" spans="1:15" ht="18.75">
      <c r="A146" s="45" t="s">
        <v>30</v>
      </c>
      <c r="C146" s="33"/>
      <c r="D146" s="2">
        <f>'Facility Detail'!$B$1752</f>
        <v>2011</v>
      </c>
      <c r="E146" s="2">
        <f>D146+1</f>
        <v>2012</v>
      </c>
      <c r="F146" s="2">
        <f>E146+1</f>
        <v>2013</v>
      </c>
      <c r="G146" s="2">
        <f>G135</f>
        <v>2014</v>
      </c>
      <c r="H146" s="2">
        <f>H135</f>
        <v>2015</v>
      </c>
      <c r="I146" s="2">
        <f>I135</f>
        <v>2016</v>
      </c>
      <c r="J146" s="2">
        <f>J135</f>
        <v>2017</v>
      </c>
      <c r="K146" s="2">
        <f>K135</f>
        <v>2018</v>
      </c>
      <c r="L146" s="2"/>
      <c r="M146" s="25"/>
      <c r="N146" s="25"/>
      <c r="O146" s="33"/>
    </row>
    <row r="147" spans="1:15">
      <c r="B147" s="88" t="s">
        <v>47</v>
      </c>
      <c r="C147" s="80"/>
      <c r="D147" s="98"/>
      <c r="E147" s="99"/>
      <c r="F147" s="99"/>
      <c r="G147" s="99"/>
      <c r="H147" s="99"/>
      <c r="I147" s="99"/>
      <c r="J147" s="99"/>
      <c r="K147" s="99"/>
      <c r="L147" s="100"/>
      <c r="M147" s="25"/>
      <c r="N147" s="25"/>
      <c r="O147" s="33"/>
    </row>
    <row r="148" spans="1:15">
      <c r="B148" s="89" t="s">
        <v>23</v>
      </c>
      <c r="C148" s="207"/>
      <c r="D148" s="101"/>
      <c r="E148" s="102"/>
      <c r="F148" s="102"/>
      <c r="G148" s="102"/>
      <c r="H148" s="102"/>
      <c r="I148" s="102"/>
      <c r="J148" s="102"/>
      <c r="K148" s="102"/>
      <c r="L148" s="103"/>
      <c r="M148" s="25"/>
      <c r="N148" s="25"/>
      <c r="O148" s="33"/>
    </row>
    <row r="149" spans="1:15">
      <c r="B149" s="104" t="s">
        <v>89</v>
      </c>
      <c r="C149" s="205"/>
      <c r="D149" s="65"/>
      <c r="E149" s="66"/>
      <c r="F149" s="66"/>
      <c r="G149" s="66"/>
      <c r="H149" s="66"/>
      <c r="I149" s="66"/>
      <c r="J149" s="66"/>
      <c r="K149" s="66"/>
      <c r="L149" s="67"/>
      <c r="M149" s="25"/>
      <c r="N149" s="25"/>
      <c r="O149" s="33"/>
    </row>
    <row r="150" spans="1:15">
      <c r="B150" s="36" t="s">
        <v>90</v>
      </c>
      <c r="D150" s="7">
        <f t="shared" ref="D150:J150" si="39">SUM(D147:D149)</f>
        <v>0</v>
      </c>
      <c r="E150" s="7">
        <f t="shared" si="39"/>
        <v>0</v>
      </c>
      <c r="F150" s="7">
        <f t="shared" si="39"/>
        <v>0</v>
      </c>
      <c r="G150" s="7">
        <f t="shared" si="39"/>
        <v>0</v>
      </c>
      <c r="H150" s="7">
        <f t="shared" si="39"/>
        <v>0</v>
      </c>
      <c r="I150" s="7">
        <f t="shared" si="39"/>
        <v>0</v>
      </c>
      <c r="J150" s="7">
        <f t="shared" si="39"/>
        <v>0</v>
      </c>
      <c r="K150" s="7">
        <f t="shared" ref="K150:L150" si="40">SUM(K147:K149)</f>
        <v>0</v>
      </c>
      <c r="L150" s="7">
        <f t="shared" si="40"/>
        <v>0</v>
      </c>
      <c r="M150" s="31"/>
      <c r="N150" s="31"/>
      <c r="O150" s="33"/>
    </row>
    <row r="151" spans="1:15">
      <c r="B151" s="6"/>
      <c r="D151" s="7"/>
      <c r="E151" s="7"/>
      <c r="F151" s="7"/>
      <c r="G151" s="31"/>
      <c r="H151" s="31"/>
      <c r="I151" s="31"/>
      <c r="J151" s="31"/>
      <c r="K151" s="31"/>
      <c r="L151" s="31"/>
      <c r="M151" s="31"/>
      <c r="N151" s="31"/>
      <c r="O151" s="33"/>
    </row>
    <row r="152" spans="1:15" ht="18.75">
      <c r="A152" s="9" t="s">
        <v>100</v>
      </c>
      <c r="D152" s="196">
        <f>'Facility Detail'!$B$1752</f>
        <v>2011</v>
      </c>
      <c r="E152" s="196">
        <f t="shared" ref="E152:L152" si="41">D152+1</f>
        <v>2012</v>
      </c>
      <c r="F152" s="196">
        <f t="shared" si="41"/>
        <v>2013</v>
      </c>
      <c r="G152" s="196">
        <f t="shared" si="41"/>
        <v>2014</v>
      </c>
      <c r="H152" s="196">
        <f t="shared" si="41"/>
        <v>2015</v>
      </c>
      <c r="I152" s="196">
        <f t="shared" si="41"/>
        <v>2016</v>
      </c>
      <c r="J152" s="196">
        <f t="shared" si="41"/>
        <v>2017</v>
      </c>
      <c r="K152" s="196">
        <f t="shared" si="41"/>
        <v>2018</v>
      </c>
      <c r="L152" s="196">
        <f t="shared" si="41"/>
        <v>2019</v>
      </c>
      <c r="M152" s="31"/>
      <c r="N152" s="31"/>
      <c r="O152" s="33"/>
    </row>
    <row r="153" spans="1:15">
      <c r="B153" s="88" t="str">
        <f xml:space="preserve"> 'Facility Detail'!$B$1752 &amp; " Surplus Applied to " &amp; ( 'Facility Detail'!$B$1752 + 1 )</f>
        <v>2011 Surplus Applied to 2012</v>
      </c>
      <c r="C153" s="80"/>
      <c r="D153" s="3">
        <v>31837</v>
      </c>
      <c r="E153" s="68">
        <f>D153</f>
        <v>31837</v>
      </c>
      <c r="F153" s="152"/>
      <c r="G153" s="152"/>
      <c r="H153" s="152"/>
      <c r="I153" s="152"/>
      <c r="J153" s="152"/>
      <c r="K153" s="152"/>
      <c r="L153" s="69"/>
      <c r="M153" s="31"/>
      <c r="N153" s="31"/>
      <c r="O153" s="33"/>
    </row>
    <row r="154" spans="1:15">
      <c r="B154" s="88" t="str">
        <f xml:space="preserve"> ( 'Facility Detail'!$B$1752 + 1 ) &amp; " Surplus Applied to " &amp; ( 'Facility Detail'!$B$1752 )</f>
        <v>2012 Surplus Applied to 2011</v>
      </c>
      <c r="C154" s="80"/>
      <c r="D154" s="189">
        <f>E154</f>
        <v>0</v>
      </c>
      <c r="E154" s="10"/>
      <c r="F154" s="83"/>
      <c r="G154" s="83"/>
      <c r="H154" s="83"/>
      <c r="I154" s="83"/>
      <c r="J154" s="83"/>
      <c r="K154" s="83"/>
      <c r="L154" s="190"/>
      <c r="M154" s="31"/>
      <c r="N154" s="31"/>
      <c r="O154" s="33"/>
    </row>
    <row r="155" spans="1:15">
      <c r="B155" s="88" t="str">
        <f xml:space="preserve"> ( 'Facility Detail'!$B$1752 + 1 ) &amp; " Surplus Applied to " &amp; ( 'Facility Detail'!$B$1752 + 2 )</f>
        <v>2012 Surplus Applied to 2013</v>
      </c>
      <c r="C155" s="80"/>
      <c r="D155" s="70"/>
      <c r="E155" s="10">
        <f>E139</f>
        <v>28557</v>
      </c>
      <c r="F155" s="79">
        <f>E155</f>
        <v>28557</v>
      </c>
      <c r="G155" s="83"/>
      <c r="H155" s="83"/>
      <c r="I155" s="83"/>
      <c r="J155" s="83"/>
      <c r="K155" s="83"/>
      <c r="L155" s="190"/>
      <c r="M155" s="31"/>
      <c r="N155" s="31"/>
      <c r="O155" s="33"/>
    </row>
    <row r="156" spans="1:15">
      <c r="B156" s="88" t="str">
        <f xml:space="preserve"> ( 'Facility Detail'!$B$1752 + 2 ) &amp; " Surplus Applied to " &amp; ( 'Facility Detail'!$B$1752 + 1 )</f>
        <v>2013 Surplus Applied to 2012</v>
      </c>
      <c r="C156" s="80"/>
      <c r="D156" s="70"/>
      <c r="E156" s="79">
        <f>F156</f>
        <v>0</v>
      </c>
      <c r="F156" s="188"/>
      <c r="G156" s="83"/>
      <c r="H156" s="83"/>
      <c r="I156" s="83"/>
      <c r="J156" s="83"/>
      <c r="K156" s="83"/>
      <c r="L156" s="190"/>
      <c r="M156" s="31"/>
      <c r="N156" s="31"/>
      <c r="O156" s="33"/>
    </row>
    <row r="157" spans="1:15">
      <c r="B157" s="88" t="str">
        <f xml:space="preserve"> ( 'Facility Detail'!$B$1752 + 2 ) &amp; " Surplus Applied to " &amp; ( 'Facility Detail'!$B$1752 + 3 )</f>
        <v>2013 Surplus Applied to 2014</v>
      </c>
      <c r="C157" s="80"/>
      <c r="D157" s="70"/>
      <c r="E157" s="172"/>
      <c r="F157" s="10">
        <f>F139</f>
        <v>26084</v>
      </c>
      <c r="G157" s="173">
        <f>F157</f>
        <v>26084</v>
      </c>
      <c r="H157" s="83"/>
      <c r="I157" s="83"/>
      <c r="J157" s="83"/>
      <c r="K157" s="83"/>
      <c r="L157" s="190"/>
      <c r="M157" s="31"/>
      <c r="N157" s="31"/>
      <c r="O157" s="33"/>
    </row>
    <row r="158" spans="1:15">
      <c r="B158" s="88" t="str">
        <f xml:space="preserve"> ( 'Facility Detail'!$B$1752 + 3 ) &amp; " Surplus Applied to " &amp; ( 'Facility Detail'!$B$1752 + 2 )</f>
        <v>2014 Surplus Applied to 2013</v>
      </c>
      <c r="C158" s="80"/>
      <c r="D158" s="70"/>
      <c r="E158" s="172"/>
      <c r="F158" s="79">
        <f>G158</f>
        <v>0</v>
      </c>
      <c r="G158" s="10"/>
      <c r="H158" s="83"/>
      <c r="I158" s="83"/>
      <c r="J158" s="83" t="s">
        <v>193</v>
      </c>
      <c r="K158" s="83" t="s">
        <v>193</v>
      </c>
      <c r="L158" s="190"/>
      <c r="M158" s="31"/>
      <c r="N158" s="31"/>
      <c r="O158" s="33"/>
    </row>
    <row r="159" spans="1:15">
      <c r="B159" s="88" t="str">
        <f xml:space="preserve"> ( 'Facility Detail'!$B$1752 + 3 ) &amp; " Surplus Applied to " &amp; ( 'Facility Detail'!$B$1752 + 4 )</f>
        <v>2014 Surplus Applied to 2015</v>
      </c>
      <c r="C159" s="80"/>
      <c r="D159" s="70"/>
      <c r="E159" s="172"/>
      <c r="F159" s="172"/>
      <c r="G159" s="10">
        <f>G139</f>
        <v>29478</v>
      </c>
      <c r="H159" s="173">
        <f>G159</f>
        <v>29478</v>
      </c>
      <c r="I159" s="172"/>
      <c r="J159" s="172"/>
      <c r="K159" s="172"/>
      <c r="L159" s="176"/>
      <c r="M159" s="31"/>
      <c r="N159" s="31"/>
      <c r="O159" s="33"/>
    </row>
    <row r="160" spans="1:15">
      <c r="B160" s="88" t="str">
        <f xml:space="preserve"> ( 'Facility Detail'!$B$1752 + 4 ) &amp; " Surplus Applied to " &amp; ( 'Facility Detail'!$B$1752 + 3 )</f>
        <v>2015 Surplus Applied to 2014</v>
      </c>
      <c r="C160" s="80"/>
      <c r="D160" s="70"/>
      <c r="E160" s="172"/>
      <c r="F160" s="172"/>
      <c r="G160" s="174"/>
      <c r="H160" s="175"/>
      <c r="I160" s="172"/>
      <c r="J160" s="172"/>
      <c r="K160" s="172"/>
      <c r="L160" s="176"/>
      <c r="M160" s="31"/>
      <c r="N160" s="31"/>
      <c r="O160" s="33"/>
    </row>
    <row r="161" spans="1:15">
      <c r="B161" s="88" t="str">
        <f xml:space="preserve"> ( 'Facility Detail'!$B$1752 + 4 ) &amp; " Surplus Applied to " &amp; ( 'Facility Detail'!$B$1752 + 5 )</f>
        <v>2015 Surplus Applied to 2016</v>
      </c>
      <c r="C161" s="80"/>
      <c r="D161" s="70"/>
      <c r="E161" s="172"/>
      <c r="F161" s="172"/>
      <c r="G161" s="172"/>
      <c r="H161" s="175">
        <f>H139</f>
        <v>24062</v>
      </c>
      <c r="I161" s="173">
        <f>H161</f>
        <v>24062</v>
      </c>
      <c r="J161" s="83"/>
      <c r="K161" s="172"/>
      <c r="L161" s="176"/>
      <c r="M161" s="31"/>
      <c r="N161" s="31"/>
      <c r="O161" s="33"/>
    </row>
    <row r="162" spans="1:15">
      <c r="B162" s="88" t="str">
        <f xml:space="preserve"> ( 'Facility Detail'!$B$1752 + 5 ) &amp; " Surplus Applied to " &amp; ( 'Facility Detail'!$B$1752 + 4 )</f>
        <v>2016 Surplus Applied to 2015</v>
      </c>
      <c r="C162" s="80"/>
      <c r="D162" s="70"/>
      <c r="E162" s="172"/>
      <c r="F162" s="172"/>
      <c r="G162" s="172"/>
      <c r="H162" s="79"/>
      <c r="I162" s="175"/>
      <c r="J162" s="83"/>
      <c r="K162" s="172"/>
      <c r="L162" s="176"/>
      <c r="M162" s="31"/>
      <c r="N162" s="31"/>
      <c r="O162" s="33"/>
    </row>
    <row r="163" spans="1:15">
      <c r="B163" s="88" t="str">
        <f xml:space="preserve"> ( 'Facility Detail'!$B$1752 + 5 ) &amp; " Surplus Applied to " &amp; ( 'Facility Detail'!$B$1752 + 6 )</f>
        <v>2016 Surplus Applied to 2017</v>
      </c>
      <c r="C163" s="80"/>
      <c r="D163" s="70"/>
      <c r="E163" s="172"/>
      <c r="F163" s="172"/>
      <c r="G163" s="172"/>
      <c r="H163" s="172"/>
      <c r="I163" s="175">
        <v>0</v>
      </c>
      <c r="J163" s="174">
        <f>I163</f>
        <v>0</v>
      </c>
      <c r="K163" s="172"/>
      <c r="L163" s="176"/>
      <c r="M163" s="31"/>
      <c r="N163" s="31"/>
      <c r="O163" s="33"/>
    </row>
    <row r="164" spans="1:15">
      <c r="B164" s="88" t="s">
        <v>191</v>
      </c>
      <c r="C164" s="33"/>
      <c r="D164" s="70"/>
      <c r="E164" s="172"/>
      <c r="F164" s="172"/>
      <c r="G164" s="172"/>
      <c r="H164" s="172"/>
      <c r="I164" s="174">
        <v>0</v>
      </c>
      <c r="J164" s="175"/>
      <c r="K164" s="172"/>
      <c r="L164" s="190"/>
      <c r="M164" s="31"/>
      <c r="N164" s="31"/>
      <c r="O164" s="33"/>
    </row>
    <row r="165" spans="1:15">
      <c r="B165" s="88" t="s">
        <v>192</v>
      </c>
      <c r="C165" s="33"/>
      <c r="D165" s="70"/>
      <c r="E165" s="172"/>
      <c r="F165" s="172"/>
      <c r="G165" s="172"/>
      <c r="H165" s="172"/>
      <c r="I165" s="172"/>
      <c r="J165" s="175">
        <v>0</v>
      </c>
      <c r="K165" s="79"/>
      <c r="L165" s="176"/>
      <c r="M165" s="31"/>
      <c r="N165" s="31"/>
      <c r="O165" s="33"/>
    </row>
    <row r="166" spans="1:15">
      <c r="B166" s="88" t="s">
        <v>226</v>
      </c>
      <c r="C166" s="33"/>
      <c r="D166" s="70"/>
      <c r="E166" s="172"/>
      <c r="F166" s="172"/>
      <c r="G166" s="172"/>
      <c r="H166" s="172"/>
      <c r="I166" s="172"/>
      <c r="J166" s="174"/>
      <c r="K166" s="175"/>
      <c r="L166" s="176"/>
      <c r="M166" s="31"/>
      <c r="N166" s="31"/>
      <c r="O166" s="33"/>
    </row>
    <row r="167" spans="1:15">
      <c r="B167" s="88" t="s">
        <v>227</v>
      </c>
      <c r="C167" s="33"/>
      <c r="D167" s="71"/>
      <c r="E167" s="154"/>
      <c r="F167" s="154"/>
      <c r="G167" s="154"/>
      <c r="H167" s="154"/>
      <c r="I167" s="154"/>
      <c r="J167" s="154"/>
      <c r="K167" s="177"/>
      <c r="L167" s="332">
        <v>0</v>
      </c>
      <c r="M167" s="31"/>
      <c r="N167" s="31"/>
      <c r="O167" s="33"/>
    </row>
    <row r="168" spans="1:15">
      <c r="B168" s="36" t="s">
        <v>17</v>
      </c>
      <c r="D168" s="214">
        <f xml:space="preserve"> D154 - D153</f>
        <v>-31837</v>
      </c>
      <c r="E168" s="214">
        <f xml:space="preserve"> E153 + E156 - E155 - E154</f>
        <v>3280</v>
      </c>
      <c r="F168" s="214">
        <f>F155 - F156 -F157</f>
        <v>2473</v>
      </c>
      <c r="G168" s="214">
        <f>G157-G158-G159</f>
        <v>-3394</v>
      </c>
      <c r="H168" s="214">
        <f>H159-H160-H161</f>
        <v>5416</v>
      </c>
      <c r="I168" s="214">
        <f>I161-I162-I163</f>
        <v>24062</v>
      </c>
      <c r="J168" s="214">
        <f>J163-J164-J165</f>
        <v>0</v>
      </c>
      <c r="K168" s="214">
        <f>K165</f>
        <v>0</v>
      </c>
      <c r="L168" s="214"/>
      <c r="M168" s="31"/>
      <c r="N168" s="31"/>
      <c r="O168" s="33"/>
    </row>
    <row r="169" spans="1:15">
      <c r="B169" s="6"/>
      <c r="D169" s="7"/>
      <c r="E169" s="7"/>
      <c r="F169" s="7"/>
      <c r="G169" s="7"/>
      <c r="H169" s="7"/>
      <c r="I169" s="7"/>
      <c r="J169" s="7"/>
      <c r="K169" s="7"/>
      <c r="L169" s="7"/>
      <c r="M169" s="31"/>
      <c r="N169" s="31"/>
      <c r="O169" s="33"/>
    </row>
    <row r="170" spans="1:15">
      <c r="B170" s="85" t="s">
        <v>12</v>
      </c>
      <c r="C170" s="80"/>
      <c r="D170" s="111"/>
      <c r="E170" s="112"/>
      <c r="F170" s="112"/>
      <c r="G170" s="112"/>
      <c r="H170" s="184"/>
      <c r="I170" s="112"/>
      <c r="J170" s="112"/>
      <c r="K170" s="112"/>
      <c r="L170" s="113"/>
      <c r="M170" s="31"/>
      <c r="N170" s="31"/>
      <c r="O170" s="33"/>
    </row>
    <row r="171" spans="1:15">
      <c r="B171" s="6"/>
      <c r="D171" s="7"/>
      <c r="E171" s="7"/>
      <c r="F171" s="7"/>
      <c r="G171" s="7"/>
      <c r="H171" s="7"/>
      <c r="I171" s="7"/>
      <c r="J171" s="7"/>
      <c r="K171" s="7"/>
      <c r="L171" s="7"/>
      <c r="M171" s="31"/>
      <c r="N171" s="31"/>
      <c r="O171" s="33"/>
    </row>
    <row r="172" spans="1:15" ht="18.75">
      <c r="A172" s="45" t="s">
        <v>26</v>
      </c>
      <c r="C172" s="80"/>
      <c r="D172" s="49">
        <f t="shared" ref="D172:J172" si="42" xml:space="preserve"> D139 + D144 - D150 + D168 + D170</f>
        <v>0</v>
      </c>
      <c r="E172" s="50">
        <f t="shared" si="42"/>
        <v>31837</v>
      </c>
      <c r="F172" s="50">
        <f t="shared" si="42"/>
        <v>28557</v>
      </c>
      <c r="G172" s="50">
        <f t="shared" si="42"/>
        <v>26084</v>
      </c>
      <c r="H172" s="183">
        <f t="shared" si="42"/>
        <v>29478</v>
      </c>
      <c r="I172" s="186">
        <f t="shared" si="42"/>
        <v>53149</v>
      </c>
      <c r="J172" s="186">
        <f t="shared" si="42"/>
        <v>25507</v>
      </c>
      <c r="K172" s="390"/>
      <c r="L172" s="51">
        <f t="shared" ref="L172" si="43" xml:space="preserve"> L139 + L144 - L150 + L168 + L170</f>
        <v>0</v>
      </c>
      <c r="M172" s="31"/>
      <c r="N172" s="31"/>
      <c r="O172" s="33"/>
    </row>
    <row r="173" spans="1:15">
      <c r="B173" s="6"/>
      <c r="D173" s="7"/>
      <c r="E173" s="7"/>
      <c r="F173" s="7"/>
      <c r="G173" s="31"/>
      <c r="H173" s="31"/>
      <c r="I173" s="31"/>
      <c r="J173" s="31"/>
      <c r="K173" s="31"/>
      <c r="L173" s="31"/>
      <c r="M173" s="31"/>
      <c r="N173" s="31"/>
      <c r="O173" s="33"/>
    </row>
    <row r="174" spans="1:15" ht="15.75" thickBot="1">
      <c r="M174" s="33"/>
      <c r="N174" s="33"/>
      <c r="O174" s="33"/>
    </row>
    <row r="175" spans="1:15">
      <c r="A175" s="8"/>
      <c r="B175" s="8"/>
      <c r="C175" s="8"/>
      <c r="D175" s="8"/>
      <c r="E175" s="8"/>
      <c r="F175" s="8"/>
      <c r="G175" s="8"/>
      <c r="H175" s="8"/>
      <c r="I175" s="8"/>
      <c r="J175" s="8"/>
      <c r="K175" s="8"/>
      <c r="L175" s="8"/>
      <c r="M175" s="33"/>
      <c r="N175" s="33"/>
      <c r="O175" s="33"/>
    </row>
    <row r="176" spans="1:15">
      <c r="B176" s="33"/>
      <c r="C176" s="33"/>
      <c r="D176" s="33"/>
      <c r="E176" s="33"/>
      <c r="F176" s="33"/>
      <c r="G176" s="33"/>
      <c r="H176" s="33"/>
      <c r="I176" s="33"/>
      <c r="J176" s="33"/>
      <c r="K176" s="33"/>
      <c r="L176" s="33"/>
      <c r="M176" s="33"/>
      <c r="N176" s="33"/>
      <c r="O176" s="33"/>
    </row>
    <row r="177" spans="1:15" ht="21">
      <c r="A177" s="14" t="s">
        <v>4</v>
      </c>
      <c r="B177" s="14"/>
      <c r="C177" s="46" t="str">
        <f>B5</f>
        <v>Marengo II</v>
      </c>
      <c r="D177" s="47"/>
      <c r="E177" s="24"/>
      <c r="F177" s="24"/>
      <c r="M177" s="33"/>
      <c r="N177" s="33"/>
      <c r="O177" s="33"/>
    </row>
    <row r="178" spans="1:15">
      <c r="M178" s="33"/>
      <c r="N178" s="33"/>
      <c r="O178" s="33"/>
    </row>
    <row r="179" spans="1:15" ht="18.75">
      <c r="A179" s="9" t="s">
        <v>21</v>
      </c>
      <c r="B179" s="9"/>
      <c r="D179" s="2">
        <f>'Facility Detail'!$B$1752</f>
        <v>2011</v>
      </c>
      <c r="E179" s="2">
        <f t="shared" ref="E179:L179" si="44">D179+1</f>
        <v>2012</v>
      </c>
      <c r="F179" s="2">
        <f t="shared" si="44"/>
        <v>2013</v>
      </c>
      <c r="G179" s="2">
        <f t="shared" si="44"/>
        <v>2014</v>
      </c>
      <c r="H179" s="2">
        <f t="shared" si="44"/>
        <v>2015</v>
      </c>
      <c r="I179" s="2">
        <f t="shared" si="44"/>
        <v>2016</v>
      </c>
      <c r="J179" s="2">
        <f t="shared" si="44"/>
        <v>2017</v>
      </c>
      <c r="K179" s="2">
        <f t="shared" si="44"/>
        <v>2018</v>
      </c>
      <c r="L179" s="2">
        <f t="shared" si="44"/>
        <v>2019</v>
      </c>
      <c r="M179" s="26"/>
      <c r="N179" s="26"/>
      <c r="O179" s="33"/>
    </row>
    <row r="180" spans="1:15">
      <c r="B180" s="88" t="str">
        <f>"Total MWh Produced / Purchased from " &amp; C177</f>
        <v>Total MWh Produced / Purchased from Marengo II</v>
      </c>
      <c r="C180" s="80"/>
      <c r="D180" s="3">
        <v>194378</v>
      </c>
      <c r="E180" s="4">
        <v>177552</v>
      </c>
      <c r="F180" s="4">
        <v>154612</v>
      </c>
      <c r="G180" s="4">
        <v>174766</v>
      </c>
      <c r="H180" s="4">
        <v>137848</v>
      </c>
      <c r="I180" s="99">
        <v>170369</v>
      </c>
      <c r="J180" s="322">
        <v>153361</v>
      </c>
      <c r="K180" s="391"/>
      <c r="L180" s="334"/>
      <c r="M180" s="25"/>
      <c r="N180" s="25"/>
      <c r="O180" s="33"/>
    </row>
    <row r="181" spans="1:15">
      <c r="B181" s="88" t="s">
        <v>25</v>
      </c>
      <c r="C181" s="80"/>
      <c r="D181" s="62">
        <v>1</v>
      </c>
      <c r="E181" s="63">
        <v>1</v>
      </c>
      <c r="F181" s="63">
        <v>1</v>
      </c>
      <c r="G181" s="63">
        <v>1</v>
      </c>
      <c r="H181" s="63">
        <v>1</v>
      </c>
      <c r="I181" s="272">
        <v>1</v>
      </c>
      <c r="J181" s="272">
        <v>1</v>
      </c>
      <c r="K181" s="272">
        <v>1</v>
      </c>
      <c r="L181" s="278"/>
      <c r="M181" s="25"/>
      <c r="N181" s="25"/>
      <c r="O181" s="33"/>
    </row>
    <row r="182" spans="1:15">
      <c r="B182" s="88" t="s">
        <v>20</v>
      </c>
      <c r="C182" s="80"/>
      <c r="D182" s="54">
        <v>7.8921000000000005E-2</v>
      </c>
      <c r="E182" s="55">
        <v>7.9619999999999996E-2</v>
      </c>
      <c r="F182" s="55">
        <v>7.8747999999999999E-2</v>
      </c>
      <c r="G182" s="55">
        <v>8.0235000000000001E-2</v>
      </c>
      <c r="H182" s="55">
        <v>8.0535999999999996E-2</v>
      </c>
      <c r="I182" s="275">
        <v>8.1698151927344531E-2</v>
      </c>
      <c r="J182" s="275">
        <v>8.0833713568703974E-2</v>
      </c>
      <c r="K182" s="275">
        <v>7.9769759999999995E-2</v>
      </c>
      <c r="L182" s="335"/>
      <c r="M182" s="25"/>
      <c r="N182" s="25"/>
      <c r="O182" s="33"/>
    </row>
    <row r="183" spans="1:15">
      <c r="B183" s="85" t="s">
        <v>22</v>
      </c>
      <c r="C183" s="86"/>
      <c r="D183" s="41">
        <f xml:space="preserve"> ROUND(D180 * D181 * D182,0)</f>
        <v>15341</v>
      </c>
      <c r="E183" s="41">
        <f t="shared" ref="E183:H183" si="45" xml:space="preserve"> ROUND(E180 * E181 * E182,0)</f>
        <v>14137</v>
      </c>
      <c r="F183" s="41">
        <f t="shared" si="45"/>
        <v>12175</v>
      </c>
      <c r="G183" s="41">
        <f t="shared" si="45"/>
        <v>14022</v>
      </c>
      <c r="H183" s="41">
        <f t="shared" si="45"/>
        <v>11102</v>
      </c>
      <c r="I183" s="337">
        <v>13918</v>
      </c>
      <c r="J183" s="337">
        <v>12396</v>
      </c>
      <c r="K183" s="380"/>
      <c r="L183" s="337"/>
      <c r="M183" s="25"/>
      <c r="N183" s="25"/>
      <c r="O183" s="33"/>
    </row>
    <row r="184" spans="1:15">
      <c r="B184" s="24"/>
      <c r="C184" s="33"/>
      <c r="D184" s="40"/>
      <c r="E184" s="40"/>
      <c r="F184" s="40"/>
      <c r="G184" s="25"/>
      <c r="H184" s="25"/>
      <c r="I184" s="25"/>
      <c r="J184" s="25"/>
      <c r="K184" s="25"/>
      <c r="L184" s="25"/>
      <c r="M184" s="25"/>
      <c r="N184" s="25"/>
      <c r="O184" s="33"/>
    </row>
    <row r="185" spans="1:15" ht="18.75">
      <c r="A185" s="48" t="s">
        <v>119</v>
      </c>
      <c r="C185" s="33"/>
      <c r="D185" s="2">
        <f>'Facility Detail'!$B$1752</f>
        <v>2011</v>
      </c>
      <c r="E185" s="2">
        <f>D185+1</f>
        <v>2012</v>
      </c>
      <c r="F185" s="2">
        <f>E185+1</f>
        <v>2013</v>
      </c>
      <c r="G185" s="2">
        <f t="shared" ref="G185:L185" si="46">G179</f>
        <v>2014</v>
      </c>
      <c r="H185" s="2">
        <f t="shared" si="46"/>
        <v>2015</v>
      </c>
      <c r="I185" s="2">
        <f t="shared" si="46"/>
        <v>2016</v>
      </c>
      <c r="J185" s="2">
        <f t="shared" si="46"/>
        <v>2017</v>
      </c>
      <c r="K185" s="2">
        <f t="shared" si="46"/>
        <v>2018</v>
      </c>
      <c r="L185" s="2">
        <f t="shared" si="46"/>
        <v>2019</v>
      </c>
      <c r="M185" s="25"/>
      <c r="N185" s="25"/>
      <c r="O185" s="33"/>
    </row>
    <row r="186" spans="1:15">
      <c r="B186" s="88" t="s">
        <v>10</v>
      </c>
      <c r="C186" s="80"/>
      <c r="D186" s="57">
        <f>IF( $E5 = "Eligible",D183 * 'Facility Detail'!$B$1749, 0 )</f>
        <v>0</v>
      </c>
      <c r="E186" s="11">
        <f>IF( $E5 = "Eligible",E183 * 'Facility Detail'!$B$1749, 0 )</f>
        <v>0</v>
      </c>
      <c r="F186" s="11">
        <f>IF( $E5 = "Eligible",F183 * 'Facility Detail'!$B$1749, 0 )</f>
        <v>0</v>
      </c>
      <c r="G186" s="11">
        <f>IF( $E5 = "Eligible",G183 * 'Facility Detail'!$B$1749, 0 )</f>
        <v>0</v>
      </c>
      <c r="H186" s="11">
        <f>IF( $E5 = "Eligible",H183 * 'Facility Detail'!$B$1749, 0 )</f>
        <v>0</v>
      </c>
      <c r="I186" s="11">
        <f>IF( $E5 = "Eligible",I183 * 'Facility Detail'!$B$1749, 0 )</f>
        <v>0</v>
      </c>
      <c r="J186" s="11">
        <f>IF( $E5 = "Eligible",J183 * 'Facility Detail'!$B$1749, 0 )</f>
        <v>0</v>
      </c>
      <c r="K186" s="11">
        <f>IF( $E5 = "Eligible",K183 * 'Facility Detail'!$B$1749, 0 )</f>
        <v>0</v>
      </c>
      <c r="L186" s="12">
        <f>IF( $E5 = "Eligible",L183 * 'Facility Detail'!$B$1749, 0 )</f>
        <v>0</v>
      </c>
      <c r="M186" s="25"/>
      <c r="N186" s="25"/>
      <c r="O186" s="33"/>
    </row>
    <row r="187" spans="1:15">
      <c r="B187" s="88" t="s">
        <v>6</v>
      </c>
      <c r="C187" s="80"/>
      <c r="D187" s="58">
        <f t="shared" ref="D187:K187" si="47">IF( $F5 = "Eligible", D183, 0 )</f>
        <v>0</v>
      </c>
      <c r="E187" s="59">
        <f t="shared" si="47"/>
        <v>0</v>
      </c>
      <c r="F187" s="59">
        <f t="shared" si="47"/>
        <v>0</v>
      </c>
      <c r="G187" s="59">
        <f t="shared" si="47"/>
        <v>0</v>
      </c>
      <c r="H187" s="59">
        <f t="shared" si="47"/>
        <v>0</v>
      </c>
      <c r="I187" s="59">
        <f t="shared" si="47"/>
        <v>0</v>
      </c>
      <c r="J187" s="59">
        <f t="shared" si="47"/>
        <v>0</v>
      </c>
      <c r="K187" s="59">
        <f t="shared" si="47"/>
        <v>0</v>
      </c>
      <c r="L187" s="60">
        <f t="shared" ref="L187" si="48">IF( $F5 = "Eligible", L183, 0 )</f>
        <v>0</v>
      </c>
      <c r="M187" s="25"/>
      <c r="N187" s="25"/>
      <c r="O187" s="33"/>
    </row>
    <row r="188" spans="1:15">
      <c r="B188" s="87" t="s">
        <v>121</v>
      </c>
      <c r="C188" s="86"/>
      <c r="D188" s="43">
        <f t="shared" ref="D188:I188" si="49">SUM(D186:D187)</f>
        <v>0</v>
      </c>
      <c r="E188" s="44">
        <f t="shared" si="49"/>
        <v>0</v>
      </c>
      <c r="F188" s="44">
        <f t="shared" si="49"/>
        <v>0</v>
      </c>
      <c r="G188" s="44">
        <f t="shared" si="49"/>
        <v>0</v>
      </c>
      <c r="H188" s="44">
        <f t="shared" si="49"/>
        <v>0</v>
      </c>
      <c r="I188" s="44">
        <f t="shared" si="49"/>
        <v>0</v>
      </c>
      <c r="J188" s="44">
        <f t="shared" ref="J188:K188" si="50">SUM(J186:J187)</f>
        <v>0</v>
      </c>
      <c r="K188" s="44">
        <f t="shared" si="50"/>
        <v>0</v>
      </c>
      <c r="L188" s="44">
        <f t="shared" ref="L188" si="51">SUM(L186:L187)</f>
        <v>0</v>
      </c>
      <c r="M188" s="25"/>
      <c r="N188" s="25"/>
      <c r="O188" s="33"/>
    </row>
    <row r="189" spans="1:15">
      <c r="B189" s="33"/>
      <c r="C189" s="33"/>
      <c r="D189" s="42"/>
      <c r="E189" s="34"/>
      <c r="F189" s="34"/>
      <c r="G189" s="25"/>
      <c r="H189" s="25"/>
      <c r="I189" s="25"/>
      <c r="J189" s="25"/>
      <c r="K189" s="25"/>
      <c r="L189" s="25"/>
      <c r="M189" s="25"/>
      <c r="N189" s="25"/>
      <c r="O189" s="33"/>
    </row>
    <row r="190" spans="1:15" ht="18.75">
      <c r="A190" s="45" t="s">
        <v>30</v>
      </c>
      <c r="C190" s="33"/>
      <c r="D190" s="2">
        <f>'Facility Detail'!$B$1752</f>
        <v>2011</v>
      </c>
      <c r="E190" s="2">
        <f>D190+1</f>
        <v>2012</v>
      </c>
      <c r="F190" s="2">
        <f>E190+1</f>
        <v>2013</v>
      </c>
      <c r="G190" s="2">
        <f t="shared" ref="G190:L190" si="52">G179</f>
        <v>2014</v>
      </c>
      <c r="H190" s="2">
        <f t="shared" si="52"/>
        <v>2015</v>
      </c>
      <c r="I190" s="2">
        <f t="shared" si="52"/>
        <v>2016</v>
      </c>
      <c r="J190" s="2">
        <f t="shared" si="52"/>
        <v>2017</v>
      </c>
      <c r="K190" s="2">
        <f t="shared" si="52"/>
        <v>2018</v>
      </c>
      <c r="L190" s="2">
        <f t="shared" si="52"/>
        <v>2019</v>
      </c>
      <c r="M190" s="25"/>
      <c r="N190" s="25"/>
      <c r="O190" s="33"/>
    </row>
    <row r="191" spans="1:15">
      <c r="B191" s="88" t="s">
        <v>47</v>
      </c>
      <c r="C191" s="80"/>
      <c r="D191" s="98"/>
      <c r="E191" s="99"/>
      <c r="F191" s="99"/>
      <c r="G191" s="99"/>
      <c r="H191" s="180"/>
      <c r="I191" s="99"/>
      <c r="J191" s="99"/>
      <c r="K191" s="99"/>
      <c r="L191" s="100"/>
      <c r="M191" s="25"/>
      <c r="N191" s="25"/>
      <c r="O191" s="33"/>
    </row>
    <row r="192" spans="1:15">
      <c r="B192" s="89" t="s">
        <v>23</v>
      </c>
      <c r="C192" s="207"/>
      <c r="D192" s="101"/>
      <c r="E192" s="102"/>
      <c r="F192" s="102"/>
      <c r="G192" s="102"/>
      <c r="H192" s="181"/>
      <c r="I192" s="102"/>
      <c r="J192" s="102"/>
      <c r="K192" s="102"/>
      <c r="L192" s="103"/>
      <c r="M192" s="25"/>
      <c r="N192" s="25"/>
      <c r="O192" s="33"/>
    </row>
    <row r="193" spans="1:15">
      <c r="B193" s="104" t="s">
        <v>89</v>
      </c>
      <c r="C193" s="205"/>
      <c r="D193" s="65"/>
      <c r="E193" s="66"/>
      <c r="F193" s="66"/>
      <c r="G193" s="66"/>
      <c r="H193" s="182"/>
      <c r="I193" s="66"/>
      <c r="J193" s="66"/>
      <c r="K193" s="66"/>
      <c r="L193" s="67"/>
      <c r="M193" s="25"/>
      <c r="N193" s="25"/>
      <c r="O193" s="33"/>
    </row>
    <row r="194" spans="1:15">
      <c r="B194" s="36" t="s">
        <v>90</v>
      </c>
      <c r="D194" s="7">
        <f t="shared" ref="D194:J194" si="53">SUM(D191:D193)</f>
        <v>0</v>
      </c>
      <c r="E194" s="7">
        <f t="shared" si="53"/>
        <v>0</v>
      </c>
      <c r="F194" s="7">
        <f t="shared" si="53"/>
        <v>0</v>
      </c>
      <c r="G194" s="7">
        <f t="shared" si="53"/>
        <v>0</v>
      </c>
      <c r="H194" s="44">
        <f t="shared" si="53"/>
        <v>0</v>
      </c>
      <c r="I194" s="44">
        <f t="shared" si="53"/>
        <v>0</v>
      </c>
      <c r="J194" s="7">
        <f t="shared" si="53"/>
        <v>0</v>
      </c>
      <c r="K194" s="7">
        <f t="shared" ref="K194:L194" si="54">SUM(K191:K193)</f>
        <v>0</v>
      </c>
      <c r="L194" s="7">
        <f t="shared" si="54"/>
        <v>0</v>
      </c>
      <c r="M194" s="31"/>
      <c r="N194" s="31"/>
      <c r="O194" s="33"/>
    </row>
    <row r="195" spans="1:15">
      <c r="B195" s="6"/>
      <c r="D195" s="7"/>
      <c r="E195" s="7"/>
      <c r="F195" s="7"/>
      <c r="G195" s="31"/>
      <c r="H195" s="31"/>
      <c r="I195" s="31"/>
      <c r="J195" s="31"/>
      <c r="K195" s="31"/>
      <c r="L195" s="31"/>
      <c r="M195" s="31"/>
      <c r="N195" s="31"/>
      <c r="O195" s="33"/>
    </row>
    <row r="196" spans="1:15" ht="18.75">
      <c r="A196" s="9" t="s">
        <v>100</v>
      </c>
      <c r="D196" s="196">
        <f>'Facility Detail'!$B$1752</f>
        <v>2011</v>
      </c>
      <c r="E196" s="196">
        <f t="shared" ref="E196:L196" si="55">D196+1</f>
        <v>2012</v>
      </c>
      <c r="F196" s="196">
        <f t="shared" si="55"/>
        <v>2013</v>
      </c>
      <c r="G196" s="196">
        <f t="shared" si="55"/>
        <v>2014</v>
      </c>
      <c r="H196" s="196">
        <f t="shared" si="55"/>
        <v>2015</v>
      </c>
      <c r="I196" s="196">
        <f t="shared" si="55"/>
        <v>2016</v>
      </c>
      <c r="J196" s="196">
        <f t="shared" si="55"/>
        <v>2017</v>
      </c>
      <c r="K196" s="196">
        <f t="shared" si="55"/>
        <v>2018</v>
      </c>
      <c r="L196" s="196">
        <f t="shared" si="55"/>
        <v>2019</v>
      </c>
      <c r="M196" s="31"/>
      <c r="N196" s="31"/>
      <c r="O196" s="33"/>
    </row>
    <row r="197" spans="1:15">
      <c r="B197" s="88" t="str">
        <f xml:space="preserve"> 'Facility Detail'!$B$1752 &amp; " Surplus Applied to " &amp; ( 'Facility Detail'!$B$1752 + 1 )</f>
        <v>2011 Surplus Applied to 2012</v>
      </c>
      <c r="C197" s="80"/>
      <c r="D197" s="3">
        <f>D183</f>
        <v>15341</v>
      </c>
      <c r="E197" s="68">
        <f>D197</f>
        <v>15341</v>
      </c>
      <c r="F197" s="152"/>
      <c r="G197" s="152"/>
      <c r="H197" s="152"/>
      <c r="I197" s="152"/>
      <c r="J197" s="152"/>
      <c r="K197" s="152"/>
      <c r="L197" s="69"/>
      <c r="M197" s="31"/>
      <c r="N197" s="31"/>
      <c r="O197" s="33"/>
    </row>
    <row r="198" spans="1:15">
      <c r="B198" s="88" t="str">
        <f xml:space="preserve"> ( 'Facility Detail'!$B$1752 + 1 ) &amp; " Surplus Applied to " &amp; ( 'Facility Detail'!$B$1752 )</f>
        <v>2012 Surplus Applied to 2011</v>
      </c>
      <c r="C198" s="80"/>
      <c r="D198" s="189">
        <f>E198</f>
        <v>0</v>
      </c>
      <c r="E198" s="10"/>
      <c r="F198" s="83"/>
      <c r="G198" s="83"/>
      <c r="H198" s="83"/>
      <c r="I198" s="83"/>
      <c r="J198" s="83"/>
      <c r="K198" s="83"/>
      <c r="L198" s="190"/>
      <c r="M198" s="31"/>
      <c r="N198" s="31"/>
      <c r="O198" s="33"/>
    </row>
    <row r="199" spans="1:15">
      <c r="B199" s="88" t="str">
        <f xml:space="preserve"> ( 'Facility Detail'!$B$1752 + 1 ) &amp; " Surplus Applied to " &amp; ( 'Facility Detail'!$B$1752 + 2 )</f>
        <v>2012 Surplus Applied to 2013</v>
      </c>
      <c r="C199" s="80"/>
      <c r="D199" s="70"/>
      <c r="E199" s="10">
        <f>E183</f>
        <v>14137</v>
      </c>
      <c r="F199" s="79">
        <f>E199</f>
        <v>14137</v>
      </c>
      <c r="G199" s="83"/>
      <c r="H199" s="83"/>
      <c r="I199" s="83"/>
      <c r="J199" s="83"/>
      <c r="K199" s="83"/>
      <c r="L199" s="190"/>
      <c r="M199" s="31"/>
      <c r="N199" s="31"/>
      <c r="O199" s="33"/>
    </row>
    <row r="200" spans="1:15">
      <c r="B200" s="88" t="str">
        <f xml:space="preserve"> ( 'Facility Detail'!$B$1752 + 2 ) &amp; " Surplus Applied to " &amp; ( 'Facility Detail'!$B$1752 + 1 )</f>
        <v>2013 Surplus Applied to 2012</v>
      </c>
      <c r="C200" s="80"/>
      <c r="D200" s="70"/>
      <c r="E200" s="79">
        <f>F200</f>
        <v>0</v>
      </c>
      <c r="F200" s="188"/>
      <c r="G200" s="83"/>
      <c r="H200" s="83"/>
      <c r="I200" s="83"/>
      <c r="J200" s="83"/>
      <c r="K200" s="83"/>
      <c r="L200" s="190"/>
      <c r="M200" s="31"/>
      <c r="N200" s="31"/>
      <c r="O200" s="33"/>
    </row>
    <row r="201" spans="1:15">
      <c r="B201" s="88" t="str">
        <f xml:space="preserve"> ( 'Facility Detail'!$B$1752 + 2 ) &amp; " Surplus Applied to " &amp; ( 'Facility Detail'!$B$1752 + 3 )</f>
        <v>2013 Surplus Applied to 2014</v>
      </c>
      <c r="C201" s="80"/>
      <c r="D201" s="70"/>
      <c r="E201" s="172"/>
      <c r="F201" s="10">
        <f>F183</f>
        <v>12175</v>
      </c>
      <c r="G201" s="173">
        <f>F201</f>
        <v>12175</v>
      </c>
      <c r="H201" s="83"/>
      <c r="I201" s="83"/>
      <c r="J201" s="83"/>
      <c r="K201" s="83"/>
      <c r="L201" s="190"/>
      <c r="M201" s="31"/>
      <c r="N201" s="31"/>
      <c r="O201" s="33"/>
    </row>
    <row r="202" spans="1:15">
      <c r="B202" s="88" t="str">
        <f xml:space="preserve"> ( 'Facility Detail'!$B$1752 + 3 ) &amp; " Surplus Applied to " &amp; ( 'Facility Detail'!$B$1752 + 2 )</f>
        <v>2014 Surplus Applied to 2013</v>
      </c>
      <c r="C202" s="80"/>
      <c r="D202" s="70"/>
      <c r="E202" s="172"/>
      <c r="F202" s="79">
        <f>G202</f>
        <v>0</v>
      </c>
      <c r="G202" s="10"/>
      <c r="H202" s="83"/>
      <c r="I202" s="83"/>
      <c r="J202" s="83" t="s">
        <v>193</v>
      </c>
      <c r="K202" s="83" t="s">
        <v>193</v>
      </c>
      <c r="L202" s="190" t="s">
        <v>193</v>
      </c>
      <c r="M202" s="31"/>
      <c r="N202" s="31"/>
      <c r="O202" s="33"/>
    </row>
    <row r="203" spans="1:15">
      <c r="B203" s="88" t="str">
        <f xml:space="preserve"> ( 'Facility Detail'!$B$1752 + 3 ) &amp; " Surplus Applied to " &amp; ( 'Facility Detail'!$B$1752 + 4 )</f>
        <v>2014 Surplus Applied to 2015</v>
      </c>
      <c r="C203" s="80"/>
      <c r="D203" s="70"/>
      <c r="E203" s="172"/>
      <c r="F203" s="172"/>
      <c r="G203" s="10">
        <f>G183</f>
        <v>14022</v>
      </c>
      <c r="H203" s="173">
        <f>G203</f>
        <v>14022</v>
      </c>
      <c r="I203" s="172"/>
      <c r="J203" s="172"/>
      <c r="K203" s="172"/>
      <c r="L203" s="176"/>
      <c r="M203" s="31"/>
      <c r="N203" s="31"/>
      <c r="O203" s="33"/>
    </row>
    <row r="204" spans="1:15">
      <c r="B204" s="88" t="str">
        <f xml:space="preserve"> ( 'Facility Detail'!$B$1752 + 4 ) &amp; " Surplus Applied to " &amp; ( 'Facility Detail'!$B$1752 + 3 )</f>
        <v>2015 Surplus Applied to 2014</v>
      </c>
      <c r="C204" s="80"/>
      <c r="D204" s="70"/>
      <c r="E204" s="172"/>
      <c r="F204" s="172"/>
      <c r="G204" s="174"/>
      <c r="H204" s="175"/>
      <c r="I204" s="172"/>
      <c r="J204" s="172"/>
      <c r="K204" s="172"/>
      <c r="L204" s="176"/>
      <c r="M204" s="31"/>
      <c r="N204" s="31"/>
      <c r="O204" s="33"/>
    </row>
    <row r="205" spans="1:15">
      <c r="B205" s="88" t="str">
        <f xml:space="preserve"> ( 'Facility Detail'!$B$1752 + 4 ) &amp; " Surplus Applied to " &amp; ( 'Facility Detail'!$B$1752 + 5 )</f>
        <v>2015 Surplus Applied to 2016</v>
      </c>
      <c r="C205" s="80"/>
      <c r="D205" s="70"/>
      <c r="E205" s="172"/>
      <c r="F205" s="172"/>
      <c r="G205" s="172"/>
      <c r="H205" s="175">
        <f>H183</f>
        <v>11102</v>
      </c>
      <c r="I205" s="173">
        <f>H205</f>
        <v>11102</v>
      </c>
      <c r="J205" s="83"/>
      <c r="K205" s="83"/>
      <c r="L205" s="190"/>
      <c r="M205" s="31"/>
      <c r="N205" s="31"/>
      <c r="O205" s="33"/>
    </row>
    <row r="206" spans="1:15">
      <c r="B206" s="88" t="str">
        <f xml:space="preserve"> ( 'Facility Detail'!$B$1752 + 5 ) &amp; " Surplus Applied to " &amp; ( 'Facility Detail'!$B$1752 + 4 )</f>
        <v>2016 Surplus Applied to 2015</v>
      </c>
      <c r="C206" s="80"/>
      <c r="D206" s="70"/>
      <c r="E206" s="172"/>
      <c r="F206" s="172"/>
      <c r="G206" s="172"/>
      <c r="H206" s="79"/>
      <c r="I206" s="175"/>
      <c r="J206" s="83"/>
      <c r="K206" s="83"/>
      <c r="L206" s="190"/>
      <c r="M206" s="31"/>
      <c r="N206" s="31"/>
      <c r="O206" s="33"/>
    </row>
    <row r="207" spans="1:15">
      <c r="B207" s="88" t="str">
        <f xml:space="preserve"> ( 'Facility Detail'!$B$1752 + 5 ) &amp; " Surplus Applied to " &amp; ( 'Facility Detail'!$B$1752 + 6 )</f>
        <v>2016 Surplus Applied to 2017</v>
      </c>
      <c r="C207" s="80"/>
      <c r="D207" s="70"/>
      <c r="E207" s="172"/>
      <c r="F207" s="172"/>
      <c r="G207" s="172"/>
      <c r="H207" s="172"/>
      <c r="I207" s="175">
        <v>0</v>
      </c>
      <c r="J207" s="174">
        <f>I207</f>
        <v>0</v>
      </c>
      <c r="K207" s="83"/>
      <c r="L207" s="338"/>
      <c r="M207" s="31"/>
      <c r="N207" s="31"/>
      <c r="O207" s="33"/>
    </row>
    <row r="208" spans="1:15">
      <c r="B208" s="88" t="s">
        <v>191</v>
      </c>
      <c r="C208" s="33"/>
      <c r="D208" s="70"/>
      <c r="E208" s="172"/>
      <c r="F208" s="172"/>
      <c r="G208" s="172"/>
      <c r="H208" s="172"/>
      <c r="I208" s="174">
        <v>0</v>
      </c>
      <c r="J208" s="175"/>
      <c r="K208" s="172"/>
      <c r="L208" s="190"/>
      <c r="M208" s="31"/>
      <c r="N208" s="31"/>
      <c r="O208" s="33"/>
    </row>
    <row r="209" spans="1:15">
      <c r="B209" s="88" t="s">
        <v>192</v>
      </c>
      <c r="C209" s="33"/>
      <c r="D209" s="70"/>
      <c r="E209" s="172"/>
      <c r="F209" s="172"/>
      <c r="G209" s="172"/>
      <c r="H209" s="172"/>
      <c r="I209" s="172"/>
      <c r="J209" s="175">
        <v>0</v>
      </c>
      <c r="K209" s="79">
        <v>0</v>
      </c>
      <c r="L209" s="176"/>
      <c r="M209" s="31"/>
      <c r="N209" s="31"/>
      <c r="O209" s="33"/>
    </row>
    <row r="210" spans="1:15">
      <c r="B210" s="88" t="s">
        <v>226</v>
      </c>
      <c r="C210" s="33"/>
      <c r="D210" s="70"/>
      <c r="E210" s="172"/>
      <c r="F210" s="172"/>
      <c r="G210" s="172"/>
      <c r="H210" s="172"/>
      <c r="I210" s="172"/>
      <c r="J210" s="174"/>
      <c r="K210" s="175"/>
      <c r="L210" s="176"/>
      <c r="M210" s="31"/>
      <c r="N210" s="31"/>
      <c r="O210" s="33"/>
    </row>
    <row r="211" spans="1:15">
      <c r="B211" s="88" t="s">
        <v>227</v>
      </c>
      <c r="C211" s="33"/>
      <c r="D211" s="71"/>
      <c r="E211" s="154"/>
      <c r="F211" s="154"/>
      <c r="G211" s="154"/>
      <c r="H211" s="154"/>
      <c r="I211" s="154"/>
      <c r="J211" s="154"/>
      <c r="K211" s="177">
        <v>0</v>
      </c>
      <c r="L211" s="332">
        <v>0</v>
      </c>
      <c r="M211" s="31"/>
      <c r="N211" s="31"/>
      <c r="O211" s="33"/>
    </row>
    <row r="212" spans="1:15">
      <c r="B212" s="36" t="s">
        <v>17</v>
      </c>
      <c r="D212" s="214">
        <f xml:space="preserve"> D198 - D197</f>
        <v>-15341</v>
      </c>
      <c r="E212" s="214">
        <f xml:space="preserve"> E197 + E200 - E199 - E198</f>
        <v>1204</v>
      </c>
      <c r="F212" s="214">
        <f>F199 - F200 -F201</f>
        <v>1962</v>
      </c>
      <c r="G212" s="214">
        <f>G201-G202-G203</f>
        <v>-1847</v>
      </c>
      <c r="H212" s="214">
        <f>H203-H204-H205</f>
        <v>2920</v>
      </c>
      <c r="I212" s="214">
        <f>I205-I206-I207</f>
        <v>11102</v>
      </c>
      <c r="J212" s="214">
        <f>J207-J208-J209</f>
        <v>0</v>
      </c>
      <c r="K212" s="214">
        <f>K209</f>
        <v>0</v>
      </c>
      <c r="L212" s="214">
        <f>L209</f>
        <v>0</v>
      </c>
      <c r="M212" s="31"/>
      <c r="N212" s="31"/>
      <c r="O212" s="33"/>
    </row>
    <row r="213" spans="1:15">
      <c r="B213" s="6"/>
      <c r="D213" s="7"/>
      <c r="E213" s="7"/>
      <c r="F213" s="7"/>
      <c r="G213" s="7"/>
      <c r="H213" s="7"/>
      <c r="I213" s="7"/>
      <c r="J213" s="7"/>
      <c r="K213" s="7"/>
      <c r="L213" s="7"/>
      <c r="M213" s="31"/>
      <c r="N213" s="31"/>
      <c r="O213" s="33"/>
    </row>
    <row r="214" spans="1:15">
      <c r="B214" s="85" t="s">
        <v>12</v>
      </c>
      <c r="C214" s="80"/>
      <c r="D214" s="111"/>
      <c r="E214" s="112"/>
      <c r="F214" s="112"/>
      <c r="G214" s="112"/>
      <c r="H214" s="184"/>
      <c r="I214" s="185"/>
      <c r="J214" s="185"/>
      <c r="K214" s="185"/>
      <c r="L214" s="113"/>
      <c r="M214" s="31"/>
      <c r="N214" s="31"/>
      <c r="O214" s="33"/>
    </row>
    <row r="215" spans="1:15">
      <c r="B215" s="6"/>
      <c r="D215" s="7"/>
      <c r="E215" s="7"/>
      <c r="F215" s="7"/>
      <c r="G215" s="7"/>
      <c r="H215" s="7"/>
      <c r="I215" s="7"/>
      <c r="J215" s="7"/>
      <c r="K215" s="7"/>
      <c r="L215" s="7"/>
      <c r="M215" s="31"/>
      <c r="N215" s="31"/>
      <c r="O215" s="33"/>
    </row>
    <row r="216" spans="1:15" ht="18.75">
      <c r="A216" s="45" t="s">
        <v>26</v>
      </c>
      <c r="C216" s="80"/>
      <c r="D216" s="49">
        <f t="shared" ref="D216:J216" si="56" xml:space="preserve"> D183 + D188 - D194 + D212 + D214</f>
        <v>0</v>
      </c>
      <c r="E216" s="50">
        <f t="shared" si="56"/>
        <v>15341</v>
      </c>
      <c r="F216" s="50">
        <f t="shared" si="56"/>
        <v>14137</v>
      </c>
      <c r="G216" s="50">
        <f t="shared" si="56"/>
        <v>12175</v>
      </c>
      <c r="H216" s="183">
        <f t="shared" si="56"/>
        <v>14022</v>
      </c>
      <c r="I216" s="186">
        <f t="shared" si="56"/>
        <v>25020</v>
      </c>
      <c r="J216" s="186">
        <f t="shared" si="56"/>
        <v>12396</v>
      </c>
      <c r="K216" s="390"/>
      <c r="L216" s="51">
        <f t="shared" ref="L216" si="57" xml:space="preserve"> L183 + L188 - L194 + L212 + L214</f>
        <v>0</v>
      </c>
      <c r="M216" s="31"/>
      <c r="N216" s="31"/>
      <c r="O216" s="33"/>
    </row>
    <row r="217" spans="1:15">
      <c r="B217" s="6"/>
      <c r="D217" s="7"/>
      <c r="E217" s="7"/>
      <c r="F217" s="7"/>
      <c r="G217" s="31"/>
      <c r="H217" s="31"/>
      <c r="I217" s="31"/>
      <c r="J217" s="31"/>
      <c r="K217" s="31"/>
      <c r="L217" s="31"/>
      <c r="M217" s="31"/>
      <c r="N217" s="31"/>
      <c r="O217" s="33"/>
    </row>
    <row r="218" spans="1:15" ht="15.75" thickBot="1">
      <c r="M218" s="33"/>
      <c r="N218" s="33"/>
      <c r="O218" s="33"/>
    </row>
    <row r="219" spans="1:15" ht="15" customHeight="1">
      <c r="A219" s="8"/>
      <c r="B219" s="8"/>
      <c r="C219" s="8"/>
      <c r="D219" s="8"/>
      <c r="E219" s="8"/>
      <c r="F219" s="8"/>
      <c r="G219" s="8"/>
      <c r="H219" s="8"/>
      <c r="I219" s="8"/>
      <c r="J219" s="8"/>
      <c r="K219" s="8"/>
      <c r="L219" s="8"/>
      <c r="M219" s="33"/>
      <c r="N219" s="33"/>
      <c r="O219" s="33"/>
    </row>
    <row r="220" spans="1:15" ht="15" customHeight="1">
      <c r="B220" s="33"/>
      <c r="C220" s="33"/>
      <c r="D220" s="33"/>
      <c r="E220" s="33"/>
      <c r="F220" s="33"/>
      <c r="G220" s="33"/>
      <c r="H220" s="33"/>
      <c r="I220" s="33"/>
      <c r="J220" s="33"/>
      <c r="K220" s="33"/>
      <c r="L220" s="33"/>
      <c r="M220" s="33"/>
      <c r="N220" s="33"/>
      <c r="O220" s="33"/>
    </row>
    <row r="221" spans="1:15" ht="21" customHeight="1">
      <c r="A221" s="14" t="s">
        <v>4</v>
      </c>
      <c r="B221" s="14"/>
      <c r="C221" s="46" t="str">
        <f>B6</f>
        <v>Bennett Creek Windfarm - REC Only</v>
      </c>
      <c r="D221" s="47"/>
      <c r="E221" s="24"/>
      <c r="F221" s="24"/>
      <c r="M221" s="33"/>
      <c r="N221" s="33"/>
      <c r="O221" s="33"/>
    </row>
    <row r="222" spans="1:15" ht="15" customHeight="1">
      <c r="M222" s="33"/>
      <c r="N222" s="33"/>
      <c r="O222" s="33"/>
    </row>
    <row r="223" spans="1:15" ht="18.75" customHeight="1">
      <c r="A223" s="9" t="s">
        <v>21</v>
      </c>
      <c r="B223" s="9"/>
      <c r="D223" s="2">
        <f>'Facility Detail'!$B$1752</f>
        <v>2011</v>
      </c>
      <c r="E223" s="2">
        <f t="shared" ref="E223:L223" si="58">D223+1</f>
        <v>2012</v>
      </c>
      <c r="F223" s="2">
        <f t="shared" si="58"/>
        <v>2013</v>
      </c>
      <c r="G223" s="2">
        <f t="shared" si="58"/>
        <v>2014</v>
      </c>
      <c r="H223" s="2">
        <f t="shared" si="58"/>
        <v>2015</v>
      </c>
      <c r="I223" s="2">
        <f t="shared" si="58"/>
        <v>2016</v>
      </c>
      <c r="J223" s="2">
        <f t="shared" si="58"/>
        <v>2017</v>
      </c>
      <c r="K223" s="2">
        <f t="shared" si="58"/>
        <v>2018</v>
      </c>
      <c r="L223" s="2">
        <f t="shared" si="58"/>
        <v>2019</v>
      </c>
      <c r="M223" s="26"/>
      <c r="N223" s="26"/>
      <c r="O223" s="33"/>
    </row>
    <row r="224" spans="1:15" ht="15" customHeight="1">
      <c r="B224" s="88" t="str">
        <f>"Total MWh Produced / Purchased from " &amp; C221</f>
        <v>Total MWh Produced / Purchased from Bennett Creek Windfarm - REC Only</v>
      </c>
      <c r="C224" s="80"/>
      <c r="D224" s="3">
        <v>12259</v>
      </c>
      <c r="E224" s="4"/>
      <c r="F224" s="4"/>
      <c r="G224" s="4"/>
      <c r="H224" s="4">
        <v>8656</v>
      </c>
      <c r="I224" s="339">
        <v>11174</v>
      </c>
      <c r="J224" s="381"/>
      <c r="K224" s="99"/>
      <c r="L224" s="100"/>
      <c r="M224" s="25"/>
      <c r="N224" s="25"/>
      <c r="O224" s="33"/>
    </row>
    <row r="225" spans="1:15" ht="15" customHeight="1">
      <c r="B225" s="88" t="s">
        <v>25</v>
      </c>
      <c r="C225" s="80"/>
      <c r="D225" s="62">
        <v>1</v>
      </c>
      <c r="E225" s="63"/>
      <c r="F225" s="63"/>
      <c r="G225" s="63"/>
      <c r="H225" s="63">
        <v>1</v>
      </c>
      <c r="I225" s="63">
        <v>1</v>
      </c>
      <c r="J225" s="63">
        <v>1</v>
      </c>
      <c r="K225" s="272"/>
      <c r="L225" s="278"/>
      <c r="M225" s="25"/>
      <c r="N225" s="25"/>
      <c r="O225" s="33"/>
    </row>
    <row r="226" spans="1:15" ht="15" customHeight="1">
      <c r="B226" s="88" t="s">
        <v>20</v>
      </c>
      <c r="C226" s="80"/>
      <c r="D226" s="54">
        <v>1</v>
      </c>
      <c r="E226" s="55"/>
      <c r="F226" s="55"/>
      <c r="G226" s="55"/>
      <c r="H226" s="55">
        <v>1</v>
      </c>
      <c r="I226" s="55">
        <v>1</v>
      </c>
      <c r="J226" s="55">
        <v>1</v>
      </c>
      <c r="K226" s="275"/>
      <c r="L226" s="335"/>
      <c r="M226" s="25"/>
      <c r="N226" s="25"/>
      <c r="O226" s="33"/>
    </row>
    <row r="227" spans="1:15" ht="15" customHeight="1">
      <c r="B227" s="85" t="s">
        <v>22</v>
      </c>
      <c r="C227" s="86"/>
      <c r="D227" s="41">
        <f xml:space="preserve"> ROUND(D224 * D225 * D226,0)</f>
        <v>12259</v>
      </c>
      <c r="E227" s="41">
        <f xml:space="preserve"> E224 * E225 * E226</f>
        <v>0</v>
      </c>
      <c r="F227" s="41">
        <f xml:space="preserve"> F224 * F225 * F226</f>
        <v>0</v>
      </c>
      <c r="G227" s="41">
        <f>G224 * G225 * G226</f>
        <v>0</v>
      </c>
      <c r="H227" s="41">
        <f>H224 * H225 * H226</f>
        <v>8656</v>
      </c>
      <c r="I227" s="337">
        <f>I224 * I225 * I226</f>
        <v>11174</v>
      </c>
      <c r="J227" s="380"/>
      <c r="K227" s="41">
        <f t="shared" ref="K227:L227" si="59">K224 * K225 * K226</f>
        <v>0</v>
      </c>
      <c r="L227" s="41">
        <f t="shared" si="59"/>
        <v>0</v>
      </c>
      <c r="M227" s="25"/>
      <c r="N227" s="25"/>
      <c r="O227" s="33"/>
    </row>
    <row r="228" spans="1:15" ht="15" customHeight="1">
      <c r="B228" s="24"/>
      <c r="C228" s="33"/>
      <c r="D228" s="40"/>
      <c r="E228" s="40"/>
      <c r="F228" s="40"/>
      <c r="G228" s="25"/>
      <c r="H228" s="25"/>
      <c r="I228" s="25"/>
      <c r="J228" s="25"/>
      <c r="K228" s="25"/>
      <c r="L228" s="25"/>
      <c r="M228" s="25"/>
      <c r="N228" s="25"/>
      <c r="O228" s="33"/>
    </row>
    <row r="229" spans="1:15" ht="18.75" customHeight="1">
      <c r="A229" s="48" t="s">
        <v>119</v>
      </c>
      <c r="C229" s="33"/>
      <c r="D229" s="2">
        <f>'Facility Detail'!$B$1752</f>
        <v>2011</v>
      </c>
      <c r="E229" s="2">
        <f>D229+1</f>
        <v>2012</v>
      </c>
      <c r="F229" s="2">
        <f>E229+1</f>
        <v>2013</v>
      </c>
      <c r="G229" s="2">
        <f>G223</f>
        <v>2014</v>
      </c>
      <c r="H229" s="2">
        <f>H223</f>
        <v>2015</v>
      </c>
      <c r="I229" s="2">
        <f>I223</f>
        <v>2016</v>
      </c>
      <c r="J229" s="2">
        <f>J223</f>
        <v>2017</v>
      </c>
      <c r="K229" s="2">
        <f t="shared" ref="K229:L229" si="60">K223</f>
        <v>2018</v>
      </c>
      <c r="L229" s="2">
        <f t="shared" si="60"/>
        <v>2019</v>
      </c>
      <c r="M229" s="25"/>
      <c r="N229" s="25"/>
      <c r="O229" s="33"/>
    </row>
    <row r="230" spans="1:15" ht="15" customHeight="1">
      <c r="B230" s="88" t="s">
        <v>10</v>
      </c>
      <c r="C230" s="80"/>
      <c r="D230" s="57">
        <f>IF( $E6 = "Eligible", D227 * 'Facility Detail'!$B$1749, 0 )</f>
        <v>0</v>
      </c>
      <c r="E230" s="11">
        <f>IF( $E6 = "Eligible", E227 * 'Facility Detail'!$B$1749, 0 )</f>
        <v>0</v>
      </c>
      <c r="F230" s="11">
        <f>IF( $E6 = "Eligible", F227 * 'Facility Detail'!$B$1749, 0 )</f>
        <v>0</v>
      </c>
      <c r="G230" s="11">
        <f>IF( $E6 = "Eligible", G227 * 'Facility Detail'!$B$1749, 0 )</f>
        <v>0</v>
      </c>
      <c r="H230" s="11">
        <f>IF( $E6 = "Eligible", H227 * 'Facility Detail'!$B$1749, 0 )</f>
        <v>0</v>
      </c>
      <c r="I230" s="11">
        <f>IF( $E6 = "Eligible", I227 * 'Facility Detail'!$B$1749, 0 )</f>
        <v>0</v>
      </c>
      <c r="J230" s="11">
        <f>IF( $E6 = "Eligible", J227 * 'Facility Detail'!$B$1749, 0 )</f>
        <v>0</v>
      </c>
      <c r="K230" s="11">
        <f>IF( $E6 = "Eligible", K227 * 'Facility Detail'!$B$1749, 0 )</f>
        <v>0</v>
      </c>
      <c r="L230" s="12">
        <f>IF( $E6 = "Eligible", L227 * 'Facility Detail'!$B$1749, 0 )</f>
        <v>0</v>
      </c>
      <c r="M230" s="25"/>
      <c r="N230" s="25"/>
      <c r="O230" s="33"/>
    </row>
    <row r="231" spans="1:15" ht="15" customHeight="1">
      <c r="B231" s="88" t="s">
        <v>6</v>
      </c>
      <c r="C231" s="80"/>
      <c r="D231" s="58">
        <f t="shared" ref="D231:J231" si="61">IF( $F6 = "Eligible", D227, 0 )</f>
        <v>0</v>
      </c>
      <c r="E231" s="59">
        <f t="shared" si="61"/>
        <v>0</v>
      </c>
      <c r="F231" s="59">
        <f t="shared" si="61"/>
        <v>0</v>
      </c>
      <c r="G231" s="59">
        <f t="shared" si="61"/>
        <v>0</v>
      </c>
      <c r="H231" s="59">
        <f t="shared" si="61"/>
        <v>0</v>
      </c>
      <c r="I231" s="59">
        <f t="shared" si="61"/>
        <v>0</v>
      </c>
      <c r="J231" s="59">
        <f t="shared" si="61"/>
        <v>0</v>
      </c>
      <c r="K231" s="59">
        <f t="shared" ref="K231:L231" si="62">IF( $F6 = "Eligible", K227, 0 )</f>
        <v>0</v>
      </c>
      <c r="L231" s="60">
        <f t="shared" si="62"/>
        <v>0</v>
      </c>
      <c r="M231" s="25"/>
      <c r="N231" s="25"/>
      <c r="O231" s="33"/>
    </row>
    <row r="232" spans="1:15" ht="15" customHeight="1">
      <c r="B232" s="87" t="s">
        <v>121</v>
      </c>
      <c r="C232" s="86"/>
      <c r="D232" s="43">
        <f t="shared" ref="D232:I232" si="63">SUM(D230:D231)</f>
        <v>0</v>
      </c>
      <c r="E232" s="44">
        <f t="shared" si="63"/>
        <v>0</v>
      </c>
      <c r="F232" s="44">
        <f t="shared" si="63"/>
        <v>0</v>
      </c>
      <c r="G232" s="44">
        <f t="shared" si="63"/>
        <v>0</v>
      </c>
      <c r="H232" s="44">
        <f t="shared" si="63"/>
        <v>0</v>
      </c>
      <c r="I232" s="44">
        <f t="shared" si="63"/>
        <v>0</v>
      </c>
      <c r="J232" s="44">
        <f t="shared" ref="J232" si="64">SUM(J230:J231)</f>
        <v>0</v>
      </c>
      <c r="K232" s="44">
        <f t="shared" ref="K232:L232" si="65">SUM(K230:K231)</f>
        <v>0</v>
      </c>
      <c r="L232" s="44">
        <f t="shared" si="65"/>
        <v>0</v>
      </c>
      <c r="M232" s="25"/>
      <c r="N232" s="25"/>
      <c r="O232" s="33"/>
    </row>
    <row r="233" spans="1:15" ht="15" customHeight="1">
      <c r="B233" s="33"/>
      <c r="C233" s="33"/>
      <c r="D233" s="42"/>
      <c r="E233" s="34"/>
      <c r="F233" s="34"/>
      <c r="G233" s="25"/>
      <c r="H233" s="25"/>
      <c r="I233" s="25"/>
      <c r="J233" s="25"/>
      <c r="K233" s="25"/>
      <c r="L233" s="25"/>
      <c r="M233" s="25"/>
      <c r="N233" s="25"/>
      <c r="O233" s="33"/>
    </row>
    <row r="234" spans="1:15" ht="18.75" customHeight="1">
      <c r="A234" s="45" t="s">
        <v>30</v>
      </c>
      <c r="C234" s="33"/>
      <c r="D234" s="2">
        <f>'Facility Detail'!$B$1752</f>
        <v>2011</v>
      </c>
      <c r="E234" s="2">
        <f>D234+1</f>
        <v>2012</v>
      </c>
      <c r="F234" s="2">
        <f>E234+1</f>
        <v>2013</v>
      </c>
      <c r="G234" s="2">
        <f>G223</f>
        <v>2014</v>
      </c>
      <c r="H234" s="2">
        <f>H223</f>
        <v>2015</v>
      </c>
      <c r="I234" s="2">
        <f>I223</f>
        <v>2016</v>
      </c>
      <c r="J234" s="2">
        <f>J223</f>
        <v>2017</v>
      </c>
      <c r="K234" s="2">
        <f t="shared" ref="K234:L234" si="66">K223</f>
        <v>2018</v>
      </c>
      <c r="L234" s="2">
        <f t="shared" si="66"/>
        <v>2019</v>
      </c>
      <c r="M234" s="25"/>
      <c r="N234" s="25"/>
      <c r="O234" s="33"/>
    </row>
    <row r="235" spans="1:15" ht="15" customHeight="1">
      <c r="B235" s="88" t="s">
        <v>47</v>
      </c>
      <c r="C235" s="80"/>
      <c r="D235" s="98"/>
      <c r="E235" s="99"/>
      <c r="F235" s="99"/>
      <c r="G235" s="99"/>
      <c r="H235" s="99"/>
      <c r="I235" s="99"/>
      <c r="J235" s="99"/>
      <c r="K235" s="99"/>
      <c r="L235" s="100"/>
      <c r="M235" s="25"/>
      <c r="N235" s="25"/>
      <c r="O235" s="33"/>
    </row>
    <row r="236" spans="1:15" ht="15" customHeight="1">
      <c r="B236" s="89" t="s">
        <v>23</v>
      </c>
      <c r="C236" s="207"/>
      <c r="D236" s="101"/>
      <c r="E236" s="102"/>
      <c r="F236" s="102"/>
      <c r="G236" s="102"/>
      <c r="H236" s="102"/>
      <c r="I236" s="102"/>
      <c r="J236" s="102"/>
      <c r="K236" s="102"/>
      <c r="L236" s="103"/>
      <c r="M236" s="25"/>
      <c r="N236" s="25"/>
      <c r="O236" s="33"/>
    </row>
    <row r="237" spans="1:15" ht="15" customHeight="1">
      <c r="B237" s="104" t="s">
        <v>89</v>
      </c>
      <c r="C237" s="205"/>
      <c r="D237" s="65"/>
      <c r="E237" s="66"/>
      <c r="F237" s="66"/>
      <c r="G237" s="66"/>
      <c r="H237" s="66"/>
      <c r="I237" s="66"/>
      <c r="J237" s="66"/>
      <c r="K237" s="66"/>
      <c r="L237" s="67"/>
      <c r="M237" s="25"/>
      <c r="N237" s="25"/>
      <c r="O237" s="33"/>
    </row>
    <row r="238" spans="1:15" ht="15" customHeight="1">
      <c r="B238" s="36" t="s">
        <v>90</v>
      </c>
      <c r="D238" s="7">
        <f t="shared" ref="D238:I238" si="67">SUM(D235:D237)</f>
        <v>0</v>
      </c>
      <c r="E238" s="7">
        <f t="shared" si="67"/>
        <v>0</v>
      </c>
      <c r="F238" s="7">
        <f t="shared" si="67"/>
        <v>0</v>
      </c>
      <c r="G238" s="7">
        <f t="shared" si="67"/>
        <v>0</v>
      </c>
      <c r="H238" s="7">
        <f t="shared" si="67"/>
        <v>0</v>
      </c>
      <c r="I238" s="7">
        <f t="shared" si="67"/>
        <v>0</v>
      </c>
      <c r="J238" s="7">
        <f t="shared" ref="J238:L238" si="68">SUM(J235:J237)</f>
        <v>0</v>
      </c>
      <c r="K238" s="7">
        <f t="shared" si="68"/>
        <v>0</v>
      </c>
      <c r="L238" s="7">
        <f t="shared" si="68"/>
        <v>0</v>
      </c>
      <c r="M238" s="31"/>
      <c r="N238" s="31"/>
      <c r="O238" s="33"/>
    </row>
    <row r="239" spans="1:15" ht="15" customHeight="1">
      <c r="B239" s="6"/>
      <c r="D239" s="7"/>
      <c r="E239" s="7"/>
      <c r="F239" s="7"/>
      <c r="G239" s="31"/>
      <c r="H239" s="31"/>
      <c r="I239" s="31"/>
      <c r="J239" s="31"/>
      <c r="K239" s="31"/>
      <c r="L239" s="31"/>
      <c r="M239" s="31"/>
      <c r="N239" s="31"/>
      <c r="O239" s="33"/>
    </row>
    <row r="240" spans="1:15" ht="18.75" customHeight="1">
      <c r="A240" s="9" t="s">
        <v>100</v>
      </c>
      <c r="D240" s="2">
        <f>'Facility Detail'!$B$1752</f>
        <v>2011</v>
      </c>
      <c r="E240" s="2">
        <f t="shared" ref="E240:K240" si="69">D240+1</f>
        <v>2012</v>
      </c>
      <c r="F240" s="2">
        <f t="shared" si="69"/>
        <v>2013</v>
      </c>
      <c r="G240" s="2">
        <f t="shared" si="69"/>
        <v>2014</v>
      </c>
      <c r="H240" s="2">
        <f t="shared" si="69"/>
        <v>2015</v>
      </c>
      <c r="I240" s="2">
        <f t="shared" si="69"/>
        <v>2016</v>
      </c>
      <c r="J240" s="2">
        <f t="shared" si="69"/>
        <v>2017</v>
      </c>
      <c r="K240" s="2">
        <f t="shared" si="69"/>
        <v>2018</v>
      </c>
      <c r="L240" s="2"/>
      <c r="M240" s="31"/>
      <c r="N240" s="31"/>
      <c r="O240" s="33"/>
    </row>
    <row r="241" spans="2:15" ht="15" customHeight="1">
      <c r="B241" s="88" t="str">
        <f xml:space="preserve"> 'Facility Detail'!$B$1752 &amp; " Surplus Applied to " &amp; ( 'Facility Detail'!$B$1752 + 1 )</f>
        <v>2011 Surplus Applied to 2012</v>
      </c>
      <c r="C241" s="33"/>
      <c r="D241" s="3">
        <f>D227</f>
        <v>12259</v>
      </c>
      <c r="E241" s="68">
        <f>D241</f>
        <v>12259</v>
      </c>
      <c r="F241" s="152"/>
      <c r="G241" s="152"/>
      <c r="H241" s="152"/>
      <c r="I241" s="152"/>
      <c r="J241" s="152"/>
      <c r="K241" s="152"/>
      <c r="L241" s="69"/>
      <c r="M241" s="31"/>
      <c r="N241" s="31"/>
      <c r="O241" s="33"/>
    </row>
    <row r="242" spans="2:15" ht="15" customHeight="1">
      <c r="B242" s="88" t="str">
        <f xml:space="preserve"> ( 'Facility Detail'!$B$1752 + 1 ) &amp; " Surplus Applied to " &amp; ( 'Facility Detail'!$B$1752 )</f>
        <v>2012 Surplus Applied to 2011</v>
      </c>
      <c r="C242" s="33"/>
      <c r="D242" s="53">
        <f>E242</f>
        <v>0</v>
      </c>
      <c r="E242" s="61"/>
      <c r="F242" s="153"/>
      <c r="G242" s="153"/>
      <c r="H242" s="153"/>
      <c r="I242" s="153"/>
      <c r="J242" s="83"/>
      <c r="K242" s="83"/>
      <c r="L242" s="190"/>
      <c r="M242" s="31"/>
      <c r="N242" s="31"/>
      <c r="O242" s="33"/>
    </row>
    <row r="243" spans="2:15" ht="15" customHeight="1">
      <c r="B243" s="88" t="str">
        <f xml:space="preserve"> ( 'Facility Detail'!$B$1752 + 1 ) &amp; " Surplus Applied to " &amp; ( 'Facility Detail'!$B$1752 + 2 )</f>
        <v>2012 Surplus Applied to 2013</v>
      </c>
      <c r="C243" s="33"/>
      <c r="D243" s="70"/>
      <c r="E243" s="10">
        <f>E227</f>
        <v>0</v>
      </c>
      <c r="F243" s="79">
        <f>E243</f>
        <v>0</v>
      </c>
      <c r="G243" s="153"/>
      <c r="H243" s="153"/>
      <c r="I243" s="153"/>
      <c r="J243" s="83"/>
      <c r="K243" s="83"/>
      <c r="L243" s="190"/>
      <c r="M243" s="31"/>
      <c r="N243" s="31"/>
      <c r="O243" s="33"/>
    </row>
    <row r="244" spans="2:15" ht="15" customHeight="1">
      <c r="B244" s="88" t="str">
        <f xml:space="preserve"> ( 'Facility Detail'!$B$1752 + 2 ) &amp; " Surplus Applied to " &amp; ( 'Facility Detail'!$B$1752 + 1 )</f>
        <v>2013 Surplus Applied to 2012</v>
      </c>
      <c r="C244" s="33"/>
      <c r="D244" s="70"/>
      <c r="E244" s="79">
        <f>F244</f>
        <v>0</v>
      </c>
      <c r="F244" s="160"/>
      <c r="G244" s="153"/>
      <c r="H244" s="153"/>
      <c r="I244" s="153"/>
      <c r="J244" s="83"/>
      <c r="K244" s="83"/>
      <c r="L244" s="190"/>
      <c r="M244" s="31"/>
      <c r="N244" s="31"/>
      <c r="O244" s="33"/>
    </row>
    <row r="245" spans="2:15" ht="15" customHeight="1">
      <c r="B245" s="88" t="str">
        <f xml:space="preserve"> ( 'Facility Detail'!$B$1752 + 2 ) &amp; " Surplus Applied to " &amp; ( 'Facility Detail'!$B$1752 + 3 )</f>
        <v>2013 Surplus Applied to 2014</v>
      </c>
      <c r="C245" s="33"/>
      <c r="D245" s="168"/>
      <c r="E245" s="170"/>
      <c r="F245" s="61">
        <f>F227</f>
        <v>0</v>
      </c>
      <c r="G245" s="171">
        <f>F245</f>
        <v>0</v>
      </c>
      <c r="H245" s="153"/>
      <c r="I245" s="153"/>
      <c r="J245" s="83"/>
      <c r="K245" s="83"/>
      <c r="L245" s="190"/>
      <c r="M245" s="31"/>
      <c r="N245" s="31"/>
      <c r="O245" s="33"/>
    </row>
    <row r="246" spans="2:15" ht="15" customHeight="1">
      <c r="B246" s="88" t="str">
        <f xml:space="preserve"> ( 'Facility Detail'!$B$1752 + 3 ) &amp; " Surplus Applied to " &amp; ( 'Facility Detail'!$B$1752 + 2 )</f>
        <v>2014 Surplus Applied to 2013</v>
      </c>
      <c r="C246" s="33"/>
      <c r="D246" s="168"/>
      <c r="E246" s="187"/>
      <c r="F246" s="203">
        <f>G246</f>
        <v>0</v>
      </c>
      <c r="G246" s="61"/>
      <c r="H246" s="153"/>
      <c r="I246" s="153"/>
      <c r="J246" s="83" t="s">
        <v>193</v>
      </c>
      <c r="K246" s="83" t="s">
        <v>193</v>
      </c>
      <c r="L246" s="190" t="s">
        <v>193</v>
      </c>
      <c r="M246" s="31"/>
      <c r="N246" s="31"/>
      <c r="O246" s="33"/>
    </row>
    <row r="247" spans="2:15" ht="15" customHeight="1">
      <c r="B247" s="88" t="str">
        <f xml:space="preserve"> ( 'Facility Detail'!$B$1752 + 3 ) &amp; " Surplus Applied to " &amp; ( 'Facility Detail'!$B$1752 + 4 )</f>
        <v>2014 Surplus Applied to 2015</v>
      </c>
      <c r="C247" s="33"/>
      <c r="D247" s="168"/>
      <c r="E247" s="170"/>
      <c r="F247" s="204"/>
      <c r="G247" s="61">
        <f>G227</f>
        <v>0</v>
      </c>
      <c r="H247" s="179">
        <f>G247</f>
        <v>0</v>
      </c>
      <c r="I247" s="170"/>
      <c r="J247" s="172"/>
      <c r="K247" s="172"/>
      <c r="L247" s="176"/>
      <c r="M247" s="31"/>
      <c r="N247" s="31"/>
      <c r="O247" s="33"/>
    </row>
    <row r="248" spans="2:15" ht="15" customHeight="1">
      <c r="B248" s="88" t="str">
        <f xml:space="preserve"> ( 'Facility Detail'!$B$1752 + 4 ) &amp; " Surplus Applied to " &amp; ( 'Facility Detail'!$B$1752 + 3 )</f>
        <v>2015 Surplus Applied to 2014</v>
      </c>
      <c r="C248" s="33"/>
      <c r="D248" s="70"/>
      <c r="E248" s="172"/>
      <c r="F248" s="202"/>
      <c r="G248" s="174">
        <f>H248</f>
        <v>0</v>
      </c>
      <c r="H248" s="175"/>
      <c r="I248" s="172"/>
      <c r="J248" s="172"/>
      <c r="K248" s="172"/>
      <c r="L248" s="176"/>
      <c r="M248" s="31"/>
      <c r="N248" s="31"/>
      <c r="O248" s="33"/>
    </row>
    <row r="249" spans="2:15" ht="15" customHeight="1">
      <c r="B249" s="88" t="str">
        <f xml:space="preserve"> ( 'Facility Detail'!$B$1752 + 4 ) &amp; " Surplus Applied to " &amp; ( 'Facility Detail'!$B$1752 + 5 )</f>
        <v>2015 Surplus Applied to 2016</v>
      </c>
      <c r="C249" s="33"/>
      <c r="D249" s="237"/>
      <c r="E249" s="238"/>
      <c r="F249" s="211"/>
      <c r="G249" s="238"/>
      <c r="H249" s="239">
        <f>H227</f>
        <v>8656</v>
      </c>
      <c r="I249" s="240">
        <f>H249</f>
        <v>8656</v>
      </c>
      <c r="J249" s="83"/>
      <c r="K249" s="83"/>
      <c r="L249" s="190"/>
      <c r="M249" s="31"/>
      <c r="N249" s="31"/>
      <c r="O249" s="33"/>
    </row>
    <row r="250" spans="2:15" ht="15" customHeight="1">
      <c r="B250" s="88" t="str">
        <f xml:space="preserve"> ( 'Facility Detail'!$B$1752 + 5 ) &amp; " Surplus Applied to " &amp; ( 'Facility Detail'!$B$1752 + 4 )</f>
        <v>2016 Surplus Applied to 2015</v>
      </c>
      <c r="C250" s="80"/>
      <c r="D250" s="70"/>
      <c r="E250" s="172"/>
      <c r="F250" s="172"/>
      <c r="G250" s="172"/>
      <c r="H250" s="79">
        <f>I250</f>
        <v>0</v>
      </c>
      <c r="I250" s="175"/>
      <c r="J250" s="83"/>
      <c r="K250" s="83"/>
      <c r="L250" s="190"/>
      <c r="M250" s="31"/>
      <c r="N250" s="31"/>
      <c r="O250" s="33"/>
    </row>
    <row r="251" spans="2:15" ht="15" customHeight="1">
      <c r="B251" s="88" t="str">
        <f xml:space="preserve"> ( 'Facility Detail'!$B$1752 + 5 ) &amp; " Surplus Applied to " &amp; ( 'Facility Detail'!$B$1752 + 6 )</f>
        <v>2016 Surplus Applied to 2017</v>
      </c>
      <c r="C251" s="80"/>
      <c r="D251" s="70"/>
      <c r="E251" s="172"/>
      <c r="F251" s="172"/>
      <c r="G251" s="172"/>
      <c r="H251" s="172"/>
      <c r="I251" s="175">
        <f>I227</f>
        <v>11174</v>
      </c>
      <c r="J251" s="79">
        <f>I251</f>
        <v>11174</v>
      </c>
      <c r="K251" s="83"/>
      <c r="L251" s="190"/>
      <c r="M251" s="31"/>
      <c r="N251" s="31"/>
      <c r="O251" s="33"/>
    </row>
    <row r="252" spans="2:15" ht="15" customHeight="1">
      <c r="B252" s="88" t="s">
        <v>191</v>
      </c>
      <c r="C252" s="33"/>
      <c r="D252" s="70"/>
      <c r="E252" s="172"/>
      <c r="F252" s="172"/>
      <c r="G252" s="172"/>
      <c r="H252" s="172"/>
      <c r="I252" s="174"/>
      <c r="J252" s="175"/>
      <c r="K252" s="172"/>
      <c r="L252" s="190"/>
      <c r="M252" s="31"/>
      <c r="N252" s="31"/>
      <c r="O252" s="33"/>
    </row>
    <row r="253" spans="2:15" ht="15" customHeight="1">
      <c r="B253" s="88" t="s">
        <v>192</v>
      </c>
      <c r="C253" s="33"/>
      <c r="D253" s="70"/>
      <c r="E253" s="172"/>
      <c r="F253" s="172"/>
      <c r="G253" s="172"/>
      <c r="H253" s="172"/>
      <c r="I253" s="172"/>
      <c r="J253" s="389"/>
      <c r="K253" s="389"/>
      <c r="L253" s="176"/>
      <c r="M253" s="31"/>
      <c r="N253" s="31"/>
      <c r="O253" s="33"/>
    </row>
    <row r="254" spans="2:15" ht="15" customHeight="1">
      <c r="B254" s="88" t="s">
        <v>226</v>
      </c>
      <c r="C254" s="33"/>
      <c r="D254" s="70"/>
      <c r="E254" s="172"/>
      <c r="F254" s="172"/>
      <c r="G254" s="172"/>
      <c r="H254" s="172"/>
      <c r="I254" s="172"/>
      <c r="J254" s="174"/>
      <c r="K254" s="175"/>
      <c r="L254" s="176"/>
      <c r="M254" s="31"/>
      <c r="N254" s="31"/>
      <c r="O254" s="33"/>
    </row>
    <row r="255" spans="2:15" ht="15" customHeight="1">
      <c r="B255" s="88" t="s">
        <v>227</v>
      </c>
      <c r="C255" s="33"/>
      <c r="D255" s="71"/>
      <c r="E255" s="154"/>
      <c r="F255" s="154"/>
      <c r="G255" s="154"/>
      <c r="H255" s="154"/>
      <c r="I255" s="154"/>
      <c r="J255" s="154"/>
      <c r="K255" s="177">
        <v>0</v>
      </c>
      <c r="L255" s="332"/>
      <c r="M255" s="31"/>
      <c r="N255" s="31"/>
      <c r="O255" s="33"/>
    </row>
    <row r="256" spans="2:15" ht="15" customHeight="1">
      <c r="B256" s="36" t="s">
        <v>17</v>
      </c>
      <c r="D256" s="7">
        <f xml:space="preserve"> D242 - D241</f>
        <v>-12259</v>
      </c>
      <c r="E256" s="7">
        <f xml:space="preserve"> E241 + E244 - E243 - E242</f>
        <v>12259</v>
      </c>
      <c r="F256" s="7">
        <f>F243 - F244 -F245</f>
        <v>0</v>
      </c>
      <c r="G256" s="7">
        <f>G245-G246-G247</f>
        <v>0</v>
      </c>
      <c r="H256" s="7">
        <f>H247-H248-H249</f>
        <v>-8656</v>
      </c>
      <c r="I256" s="7">
        <f>I249-I250-I251</f>
        <v>-2518</v>
      </c>
      <c r="J256" s="392"/>
      <c r="K256" s="392"/>
      <c r="L256" s="7">
        <f>L253</f>
        <v>0</v>
      </c>
      <c r="M256" s="31"/>
      <c r="N256" s="31"/>
      <c r="O256" s="33"/>
    </row>
    <row r="257" spans="1:15" ht="15" customHeight="1">
      <c r="B257" s="6"/>
      <c r="D257" s="7"/>
      <c r="E257" s="7"/>
      <c r="F257" s="7"/>
      <c r="G257" s="7"/>
      <c r="H257" s="7"/>
      <c r="I257" s="7"/>
      <c r="J257" s="7"/>
      <c r="K257" s="7"/>
      <c r="L257" s="7"/>
      <c r="M257" s="31"/>
      <c r="N257" s="31"/>
      <c r="O257" s="33"/>
    </row>
    <row r="258" spans="1:15" ht="15" customHeight="1">
      <c r="B258" s="85" t="s">
        <v>12</v>
      </c>
      <c r="C258" s="80"/>
      <c r="D258" s="111"/>
      <c r="E258" s="112"/>
      <c r="F258" s="112"/>
      <c r="G258" s="112"/>
      <c r="H258" s="185"/>
      <c r="I258" s="112"/>
      <c r="J258" s="112"/>
      <c r="K258" s="112"/>
      <c r="L258" s="113"/>
      <c r="M258" s="31"/>
      <c r="N258" s="31"/>
      <c r="O258" s="33"/>
    </row>
    <row r="259" spans="1:15" ht="15" customHeight="1">
      <c r="B259" s="6"/>
      <c r="D259" s="7"/>
      <c r="E259" s="7"/>
      <c r="F259" s="7"/>
      <c r="G259" s="7"/>
      <c r="H259" s="7"/>
      <c r="I259" s="7"/>
      <c r="J259" s="7"/>
      <c r="K259" s="7"/>
      <c r="L259" s="7"/>
      <c r="M259" s="31"/>
      <c r="N259" s="31"/>
      <c r="O259" s="33"/>
    </row>
    <row r="260" spans="1:15" ht="18.75" customHeight="1">
      <c r="A260" s="45" t="s">
        <v>26</v>
      </c>
      <c r="C260" s="80"/>
      <c r="D260" s="49">
        <f t="shared" ref="D260:I260" si="70" xml:space="preserve"> D227 + D232 - D238 + D256 + D258</f>
        <v>0</v>
      </c>
      <c r="E260" s="50">
        <f t="shared" si="70"/>
        <v>12259</v>
      </c>
      <c r="F260" s="50">
        <f t="shared" si="70"/>
        <v>0</v>
      </c>
      <c r="G260" s="50">
        <f t="shared" si="70"/>
        <v>0</v>
      </c>
      <c r="H260" s="50">
        <f t="shared" si="70"/>
        <v>0</v>
      </c>
      <c r="I260" s="50">
        <f t="shared" si="70"/>
        <v>8656</v>
      </c>
      <c r="J260" s="50">
        <v>11174</v>
      </c>
      <c r="K260" s="387"/>
      <c r="L260" s="51">
        <f t="shared" ref="L260" si="71" xml:space="preserve"> L227 + L232 - L238 + L256 + L258</f>
        <v>0</v>
      </c>
      <c r="M260" s="31"/>
      <c r="N260" s="31"/>
      <c r="O260" s="33"/>
    </row>
    <row r="261" spans="1:15" ht="15" customHeight="1">
      <c r="B261" s="6"/>
      <c r="D261" s="7"/>
      <c r="E261" s="7"/>
      <c r="F261" s="7"/>
      <c r="G261" s="31"/>
      <c r="H261" s="31"/>
      <c r="I261" s="31"/>
      <c r="J261" s="31"/>
      <c r="K261" s="31"/>
      <c r="L261" s="31"/>
      <c r="M261" s="31"/>
      <c r="N261" s="31"/>
      <c r="O261" s="33"/>
    </row>
    <row r="262" spans="1:15" ht="15.75" customHeight="1" thickBot="1">
      <c r="M262" s="33"/>
      <c r="N262" s="33"/>
      <c r="O262" s="33"/>
    </row>
    <row r="263" spans="1:15">
      <c r="A263" s="8"/>
      <c r="B263" s="8"/>
      <c r="C263" s="8"/>
      <c r="D263" s="8"/>
      <c r="E263" s="8"/>
      <c r="F263" s="8"/>
      <c r="G263" s="8"/>
      <c r="H263" s="8"/>
      <c r="I263" s="8"/>
      <c r="J263" s="8"/>
      <c r="K263" s="8"/>
      <c r="L263" s="8"/>
      <c r="M263" s="33"/>
      <c r="N263" s="33"/>
      <c r="O263" s="33"/>
    </row>
    <row r="264" spans="1:15">
      <c r="B264" s="33"/>
      <c r="C264" s="33"/>
      <c r="D264" s="33"/>
      <c r="E264" s="33"/>
      <c r="F264" s="33"/>
      <c r="G264" s="33"/>
      <c r="H264" s="33"/>
      <c r="I264" s="33"/>
      <c r="J264" s="33"/>
      <c r="K264" s="33"/>
      <c r="L264" s="33"/>
      <c r="M264" s="33"/>
      <c r="N264" s="33"/>
      <c r="O264" s="33"/>
    </row>
    <row r="265" spans="1:15" ht="21">
      <c r="A265" s="14" t="s">
        <v>4</v>
      </c>
      <c r="B265" s="14"/>
      <c r="C265" s="46" t="str">
        <f>B7</f>
        <v>Hot Springs Windfarm - REC Only</v>
      </c>
      <c r="D265" s="47"/>
      <c r="E265" s="24"/>
      <c r="F265" s="24"/>
      <c r="M265" s="33"/>
      <c r="N265" s="33"/>
      <c r="O265" s="33"/>
    </row>
    <row r="266" spans="1:15">
      <c r="M266" s="33"/>
      <c r="N266" s="33"/>
      <c r="O266" s="33"/>
    </row>
    <row r="267" spans="1:15" ht="18.75">
      <c r="A267" s="9" t="s">
        <v>21</v>
      </c>
      <c r="B267" s="9"/>
      <c r="D267" s="2">
        <f>'Facility Detail'!$B$1752</f>
        <v>2011</v>
      </c>
      <c r="E267" s="2">
        <f t="shared" ref="E267:L267" si="72">D267+1</f>
        <v>2012</v>
      </c>
      <c r="F267" s="2">
        <f t="shared" si="72"/>
        <v>2013</v>
      </c>
      <c r="G267" s="2">
        <f t="shared" si="72"/>
        <v>2014</v>
      </c>
      <c r="H267" s="2">
        <f t="shared" si="72"/>
        <v>2015</v>
      </c>
      <c r="I267" s="2">
        <f t="shared" si="72"/>
        <v>2016</v>
      </c>
      <c r="J267" s="2">
        <f t="shared" si="72"/>
        <v>2017</v>
      </c>
      <c r="K267" s="2">
        <f t="shared" si="72"/>
        <v>2018</v>
      </c>
      <c r="L267" s="2">
        <f t="shared" si="72"/>
        <v>2019</v>
      </c>
      <c r="M267" s="26"/>
      <c r="N267" s="26"/>
      <c r="O267" s="33"/>
    </row>
    <row r="268" spans="1:15">
      <c r="B268" s="88" t="str">
        <f>"Total MWh Produced / Purchased from " &amp; C265</f>
        <v>Total MWh Produced / Purchased from Hot Springs Windfarm - REC Only</v>
      </c>
      <c r="C268" s="80"/>
      <c r="D268" s="3">
        <v>7963</v>
      </c>
      <c r="E268" s="4"/>
      <c r="F268" s="4"/>
      <c r="G268" s="4"/>
      <c r="H268" s="4">
        <v>8028</v>
      </c>
      <c r="I268" s="4">
        <v>10218</v>
      </c>
      <c r="J268" s="381"/>
      <c r="K268" s="4"/>
      <c r="L268" s="5"/>
      <c r="M268" s="25"/>
      <c r="N268" s="25"/>
      <c r="O268" s="33"/>
    </row>
    <row r="269" spans="1:15">
      <c r="B269" s="88" t="s">
        <v>25</v>
      </c>
      <c r="C269" s="80"/>
      <c r="D269" s="62">
        <v>1</v>
      </c>
      <c r="E269" s="63"/>
      <c r="F269" s="63"/>
      <c r="G269" s="63"/>
      <c r="H269" s="63">
        <v>1</v>
      </c>
      <c r="I269" s="63">
        <v>1</v>
      </c>
      <c r="J269" s="63">
        <v>1</v>
      </c>
      <c r="K269" s="63"/>
      <c r="L269" s="64"/>
      <c r="M269" s="25"/>
      <c r="N269" s="25"/>
      <c r="O269" s="33"/>
    </row>
    <row r="270" spans="1:15">
      <c r="B270" s="88" t="s">
        <v>20</v>
      </c>
      <c r="C270" s="80"/>
      <c r="D270" s="54">
        <v>1</v>
      </c>
      <c r="E270" s="55"/>
      <c r="F270" s="55"/>
      <c r="G270" s="55"/>
      <c r="H270" s="55">
        <v>1</v>
      </c>
      <c r="I270" s="55">
        <v>1</v>
      </c>
      <c r="J270" s="55">
        <v>1</v>
      </c>
      <c r="K270" s="55"/>
      <c r="L270" s="56"/>
      <c r="M270" s="25"/>
      <c r="N270" s="25"/>
      <c r="O270" s="33"/>
    </row>
    <row r="271" spans="1:15">
      <c r="B271" s="85" t="s">
        <v>22</v>
      </c>
      <c r="C271" s="86"/>
      <c r="D271" s="41">
        <f xml:space="preserve"> ROUND(D268 * D269 * D270,0)</f>
        <v>7963</v>
      </c>
      <c r="E271" s="41">
        <f xml:space="preserve"> E268 * E269 * E270</f>
        <v>0</v>
      </c>
      <c r="F271" s="41">
        <f xml:space="preserve"> F268 * F269 * F270</f>
        <v>0</v>
      </c>
      <c r="G271" s="41">
        <f t="shared" ref="G271:L271" si="73">G268 * G269 * G270</f>
        <v>0</v>
      </c>
      <c r="H271" s="41">
        <f t="shared" si="73"/>
        <v>8028</v>
      </c>
      <c r="I271" s="41">
        <f t="shared" si="73"/>
        <v>10218</v>
      </c>
      <c r="J271" s="380"/>
      <c r="K271" s="41">
        <f t="shared" si="73"/>
        <v>0</v>
      </c>
      <c r="L271" s="41">
        <f t="shared" si="73"/>
        <v>0</v>
      </c>
      <c r="M271" s="25"/>
      <c r="N271" s="25"/>
      <c r="O271" s="33"/>
    </row>
    <row r="272" spans="1:15">
      <c r="B272" s="24"/>
      <c r="C272" s="33"/>
      <c r="D272" s="40"/>
      <c r="E272" s="40"/>
      <c r="F272" s="40"/>
      <c r="G272" s="25"/>
      <c r="H272" s="25"/>
      <c r="I272" s="25"/>
      <c r="J272" s="25"/>
      <c r="K272" s="25"/>
      <c r="L272" s="25"/>
      <c r="M272" s="25"/>
      <c r="N272" s="25"/>
      <c r="O272" s="33"/>
    </row>
    <row r="273" spans="1:15" ht="18.75">
      <c r="A273" s="48" t="s">
        <v>119</v>
      </c>
      <c r="C273" s="33"/>
      <c r="D273" s="2">
        <f>'Facility Detail'!$B$1752</f>
        <v>2011</v>
      </c>
      <c r="E273" s="2">
        <f>D273+1</f>
        <v>2012</v>
      </c>
      <c r="F273" s="2">
        <f>E273+1</f>
        <v>2013</v>
      </c>
      <c r="G273" s="2">
        <f>G267</f>
        <v>2014</v>
      </c>
      <c r="H273" s="2">
        <f>H267</f>
        <v>2015</v>
      </c>
      <c r="I273" s="2">
        <f>I267</f>
        <v>2016</v>
      </c>
      <c r="J273" s="2">
        <f>J267</f>
        <v>2017</v>
      </c>
      <c r="K273" s="2">
        <f t="shared" ref="K273:L273" si="74">K267</f>
        <v>2018</v>
      </c>
      <c r="L273" s="2">
        <f t="shared" si="74"/>
        <v>2019</v>
      </c>
      <c r="M273" s="25"/>
      <c r="N273" s="25"/>
      <c r="O273" s="33"/>
    </row>
    <row r="274" spans="1:15">
      <c r="B274" s="88" t="s">
        <v>10</v>
      </c>
      <c r="C274" s="80"/>
      <c r="D274" s="57">
        <f>IF( $E7 = "Eligible", D271 * 'Facility Detail'!$B$1749, 0 )</f>
        <v>0</v>
      </c>
      <c r="E274" s="11">
        <f>IF( $E7 = "Eligible", E271 * 'Facility Detail'!$B$1749, 0 )</f>
        <v>0</v>
      </c>
      <c r="F274" s="11">
        <f>IF( $E7 = "Eligible", F271 * 'Facility Detail'!$B$1749, 0 )</f>
        <v>0</v>
      </c>
      <c r="G274" s="11">
        <f>IF( $E7 = "Eligible", G271 * 'Facility Detail'!$B$1749, 0 )</f>
        <v>0</v>
      </c>
      <c r="H274" s="11">
        <f>IF( $E7 = "Eligible", H271 * 'Facility Detail'!$B$1749, 0 )</f>
        <v>0</v>
      </c>
      <c r="I274" s="11">
        <f>IF( $E7 = "Eligible", I271 * 'Facility Detail'!$B$1749, 0 )</f>
        <v>0</v>
      </c>
      <c r="J274" s="11">
        <f>IF( $E7 = "Eligible", J271 * 'Facility Detail'!$B$1749, 0 )</f>
        <v>0</v>
      </c>
      <c r="K274" s="11">
        <f>IF( $E7 = "Eligible", K271 * 'Facility Detail'!$B$1749, 0 )</f>
        <v>0</v>
      </c>
      <c r="L274" s="12">
        <f>IF( $E7 = "Eligible", L271 * 'Facility Detail'!$B$1749, 0 )</f>
        <v>0</v>
      </c>
      <c r="M274" s="25"/>
      <c r="N274" s="25"/>
      <c r="O274" s="33"/>
    </row>
    <row r="275" spans="1:15">
      <c r="B275" s="88" t="s">
        <v>6</v>
      </c>
      <c r="C275" s="80"/>
      <c r="D275" s="58">
        <f t="shared" ref="D275:J275" si="75">IF( $F7 = "Eligible", D271, 0 )</f>
        <v>0</v>
      </c>
      <c r="E275" s="59">
        <f t="shared" si="75"/>
        <v>0</v>
      </c>
      <c r="F275" s="59">
        <f t="shared" si="75"/>
        <v>0</v>
      </c>
      <c r="G275" s="59">
        <f t="shared" si="75"/>
        <v>0</v>
      </c>
      <c r="H275" s="59">
        <f t="shared" si="75"/>
        <v>0</v>
      </c>
      <c r="I275" s="59">
        <f t="shared" si="75"/>
        <v>0</v>
      </c>
      <c r="J275" s="59">
        <f t="shared" si="75"/>
        <v>0</v>
      </c>
      <c r="K275" s="59">
        <f t="shared" ref="K275:L275" si="76">IF( $F7 = "Eligible", K271, 0 )</f>
        <v>0</v>
      </c>
      <c r="L275" s="60">
        <f t="shared" si="76"/>
        <v>0</v>
      </c>
      <c r="M275" s="25"/>
      <c r="N275" s="25"/>
      <c r="O275" s="33"/>
    </row>
    <row r="276" spans="1:15">
      <c r="B276" s="87" t="s">
        <v>121</v>
      </c>
      <c r="C276" s="86"/>
      <c r="D276" s="43">
        <f t="shared" ref="D276:I276" si="77">SUM(D274:D275)</f>
        <v>0</v>
      </c>
      <c r="E276" s="44">
        <f t="shared" si="77"/>
        <v>0</v>
      </c>
      <c r="F276" s="44">
        <f t="shared" si="77"/>
        <v>0</v>
      </c>
      <c r="G276" s="44">
        <f t="shared" si="77"/>
        <v>0</v>
      </c>
      <c r="H276" s="44">
        <f t="shared" si="77"/>
        <v>0</v>
      </c>
      <c r="I276" s="44">
        <f t="shared" si="77"/>
        <v>0</v>
      </c>
      <c r="J276" s="44">
        <f t="shared" ref="J276:L276" si="78">SUM(J274:J275)</f>
        <v>0</v>
      </c>
      <c r="K276" s="44">
        <f t="shared" si="78"/>
        <v>0</v>
      </c>
      <c r="L276" s="44">
        <f t="shared" si="78"/>
        <v>0</v>
      </c>
      <c r="M276" s="25"/>
      <c r="N276" s="25"/>
      <c r="O276" s="33"/>
    </row>
    <row r="277" spans="1:15">
      <c r="B277" s="33"/>
      <c r="C277" s="33"/>
      <c r="D277" s="42"/>
      <c r="E277" s="34"/>
      <c r="F277" s="34"/>
      <c r="G277" s="25"/>
      <c r="H277" s="25"/>
      <c r="I277" s="25"/>
      <c r="J277" s="25"/>
      <c r="K277" s="25"/>
      <c r="L277" s="25"/>
      <c r="M277" s="25"/>
      <c r="N277" s="25"/>
      <c r="O277" s="33"/>
    </row>
    <row r="278" spans="1:15" ht="18.75">
      <c r="A278" s="45" t="s">
        <v>30</v>
      </c>
      <c r="C278" s="33"/>
      <c r="D278" s="2">
        <f>'Facility Detail'!$B$1752</f>
        <v>2011</v>
      </c>
      <c r="E278" s="2">
        <f>D278+1</f>
        <v>2012</v>
      </c>
      <c r="F278" s="2">
        <f>E278+1</f>
        <v>2013</v>
      </c>
      <c r="G278" s="2">
        <f>G267</f>
        <v>2014</v>
      </c>
      <c r="H278" s="2">
        <f>H267</f>
        <v>2015</v>
      </c>
      <c r="I278" s="2">
        <f>I267</f>
        <v>2016</v>
      </c>
      <c r="J278" s="2">
        <f>J267</f>
        <v>2017</v>
      </c>
      <c r="K278" s="2">
        <f t="shared" ref="K278:L278" si="79">K267</f>
        <v>2018</v>
      </c>
      <c r="L278" s="2">
        <f t="shared" si="79"/>
        <v>2019</v>
      </c>
      <c r="M278" s="25"/>
      <c r="N278" s="25"/>
      <c r="O278" s="33"/>
    </row>
    <row r="279" spans="1:15">
      <c r="B279" s="88" t="s">
        <v>47</v>
      </c>
      <c r="C279" s="80"/>
      <c r="D279" s="98"/>
      <c r="E279" s="99"/>
      <c r="F279" s="99"/>
      <c r="G279" s="99"/>
      <c r="H279" s="99"/>
      <c r="I279" s="99"/>
      <c r="J279" s="99"/>
      <c r="K279" s="99"/>
      <c r="L279" s="163"/>
      <c r="M279" s="25"/>
      <c r="N279" s="25"/>
      <c r="O279" s="33"/>
    </row>
    <row r="280" spans="1:15">
      <c r="B280" s="89" t="s">
        <v>23</v>
      </c>
      <c r="C280" s="207"/>
      <c r="D280" s="101"/>
      <c r="E280" s="102"/>
      <c r="F280" s="102"/>
      <c r="G280" s="102"/>
      <c r="H280" s="102"/>
      <c r="I280" s="102"/>
      <c r="J280" s="102"/>
      <c r="K280" s="102"/>
      <c r="L280" s="103"/>
      <c r="M280" s="25"/>
      <c r="N280" s="25"/>
      <c r="O280" s="33"/>
    </row>
    <row r="281" spans="1:15">
      <c r="B281" s="104" t="s">
        <v>89</v>
      </c>
      <c r="C281" s="205"/>
      <c r="D281" s="65"/>
      <c r="E281" s="66"/>
      <c r="F281" s="66"/>
      <c r="G281" s="66"/>
      <c r="H281" s="66"/>
      <c r="I281" s="66"/>
      <c r="J281" s="66"/>
      <c r="K281" s="66"/>
      <c r="L281" s="67"/>
      <c r="M281" s="25"/>
      <c r="N281" s="25"/>
      <c r="O281" s="33"/>
    </row>
    <row r="282" spans="1:15">
      <c r="B282" s="36" t="s">
        <v>90</v>
      </c>
      <c r="D282" s="7">
        <f t="shared" ref="D282:I282" si="80">SUM(D279:D281)</f>
        <v>0</v>
      </c>
      <c r="E282" s="7">
        <f t="shared" si="80"/>
        <v>0</v>
      </c>
      <c r="F282" s="7">
        <f t="shared" si="80"/>
        <v>0</v>
      </c>
      <c r="G282" s="7">
        <f t="shared" si="80"/>
        <v>0</v>
      </c>
      <c r="H282" s="7">
        <f t="shared" si="80"/>
        <v>0</v>
      </c>
      <c r="I282" s="7">
        <f t="shared" si="80"/>
        <v>0</v>
      </c>
      <c r="J282" s="7">
        <f t="shared" ref="J282:L282" si="81">SUM(J279:J281)</f>
        <v>0</v>
      </c>
      <c r="K282" s="7">
        <f t="shared" si="81"/>
        <v>0</v>
      </c>
      <c r="L282" s="7">
        <f t="shared" si="81"/>
        <v>0</v>
      </c>
      <c r="M282" s="31"/>
      <c r="N282" s="31"/>
      <c r="O282" s="33"/>
    </row>
    <row r="283" spans="1:15">
      <c r="B283" s="6"/>
      <c r="D283" s="7"/>
      <c r="E283" s="7"/>
      <c r="F283" s="7"/>
      <c r="G283" s="31"/>
      <c r="H283" s="31"/>
      <c r="I283" s="31"/>
      <c r="J283" s="31"/>
      <c r="K283" s="31"/>
      <c r="L283" s="31"/>
      <c r="M283" s="31"/>
      <c r="N283" s="31"/>
      <c r="O283" s="33"/>
    </row>
    <row r="284" spans="1:15" ht="18.75">
      <c r="A284" s="9" t="s">
        <v>100</v>
      </c>
      <c r="D284" s="2">
        <f>'Facility Detail'!$B$1752</f>
        <v>2011</v>
      </c>
      <c r="E284" s="2">
        <f t="shared" ref="E284:L284" si="82">D284+1</f>
        <v>2012</v>
      </c>
      <c r="F284" s="2">
        <f t="shared" si="82"/>
        <v>2013</v>
      </c>
      <c r="G284" s="2">
        <f t="shared" si="82"/>
        <v>2014</v>
      </c>
      <c r="H284" s="2">
        <f t="shared" si="82"/>
        <v>2015</v>
      </c>
      <c r="I284" s="2">
        <f t="shared" si="82"/>
        <v>2016</v>
      </c>
      <c r="J284" s="2">
        <f t="shared" si="82"/>
        <v>2017</v>
      </c>
      <c r="K284" s="2">
        <f t="shared" si="82"/>
        <v>2018</v>
      </c>
      <c r="L284" s="2">
        <f t="shared" si="82"/>
        <v>2019</v>
      </c>
      <c r="M284" s="31"/>
      <c r="N284" s="31"/>
      <c r="O284" s="33"/>
    </row>
    <row r="285" spans="1:15">
      <c r="B285" s="88" t="str">
        <f xml:space="preserve"> 'Facility Detail'!$B$1752 &amp; " Surplus Applied to " &amp; ( 'Facility Detail'!$B$1752 + 1 )</f>
        <v>2011 Surplus Applied to 2012</v>
      </c>
      <c r="C285" s="33"/>
      <c r="D285" s="3">
        <f>D271</f>
        <v>7963</v>
      </c>
      <c r="E285" s="68">
        <f>D285</f>
        <v>7963</v>
      </c>
      <c r="F285" s="152"/>
      <c r="G285" s="152"/>
      <c r="H285" s="152"/>
      <c r="I285" s="152"/>
      <c r="J285" s="152"/>
      <c r="K285" s="152"/>
      <c r="L285" s="69"/>
      <c r="M285" s="31"/>
      <c r="N285" s="31"/>
      <c r="O285" s="33"/>
    </row>
    <row r="286" spans="1:15">
      <c r="B286" s="88" t="str">
        <f xml:space="preserve"> ( 'Facility Detail'!$B$1752 + 1 ) &amp; " Surplus Applied to " &amp; ( 'Facility Detail'!$B$1752 )</f>
        <v>2012 Surplus Applied to 2011</v>
      </c>
      <c r="C286" s="33"/>
      <c r="D286" s="53">
        <f>E286</f>
        <v>0</v>
      </c>
      <c r="E286" s="61"/>
      <c r="F286" s="153"/>
      <c r="G286" s="153"/>
      <c r="H286" s="153"/>
      <c r="I286" s="153"/>
      <c r="J286" s="83"/>
      <c r="K286" s="83"/>
      <c r="L286" s="190"/>
      <c r="M286" s="31"/>
      <c r="N286" s="31"/>
      <c r="O286" s="33"/>
    </row>
    <row r="287" spans="1:15">
      <c r="B287" s="88" t="str">
        <f xml:space="preserve"> ( 'Facility Detail'!$B$1752 + 1 ) &amp; " Surplus Applied to " &amp; ( 'Facility Detail'!$B$1752 + 2 )</f>
        <v>2012 Surplus Applied to 2013</v>
      </c>
      <c r="C287" s="33"/>
      <c r="D287" s="70"/>
      <c r="E287" s="10"/>
      <c r="F287" s="79">
        <f>E287</f>
        <v>0</v>
      </c>
      <c r="G287" s="153"/>
      <c r="H287" s="153"/>
      <c r="I287" s="153"/>
      <c r="J287" s="83"/>
      <c r="K287" s="83"/>
      <c r="L287" s="190"/>
      <c r="M287" s="31"/>
      <c r="N287" s="31"/>
      <c r="O287" s="33"/>
    </row>
    <row r="288" spans="1:15">
      <c r="B288" s="88" t="str">
        <f xml:space="preserve"> ( 'Facility Detail'!$B$1752 + 2 ) &amp; " Surplus Applied to " &amp; ( 'Facility Detail'!$B$1752 + 1 )</f>
        <v>2013 Surplus Applied to 2012</v>
      </c>
      <c r="C288" s="33"/>
      <c r="D288" s="70"/>
      <c r="E288" s="79">
        <f>F288</f>
        <v>0</v>
      </c>
      <c r="F288" s="160"/>
      <c r="G288" s="153"/>
      <c r="H288" s="153"/>
      <c r="I288" s="153"/>
      <c r="J288" s="83"/>
      <c r="K288" s="83"/>
      <c r="L288" s="190"/>
      <c r="M288" s="31"/>
      <c r="N288" s="31"/>
      <c r="O288" s="33"/>
    </row>
    <row r="289" spans="1:15">
      <c r="B289" s="88" t="str">
        <f xml:space="preserve"> ( 'Facility Detail'!$B$1752 + 2 ) &amp; " Surplus Applied to " &amp; ( 'Facility Detail'!$B$1752 + 3 )</f>
        <v>2013 Surplus Applied to 2014</v>
      </c>
      <c r="C289" s="33"/>
      <c r="D289" s="168"/>
      <c r="E289" s="170"/>
      <c r="F289" s="61"/>
      <c r="G289" s="171">
        <f>F289</f>
        <v>0</v>
      </c>
      <c r="H289" s="153"/>
      <c r="I289" s="153"/>
      <c r="J289" s="83"/>
      <c r="K289" s="83"/>
      <c r="L289" s="190"/>
      <c r="M289" s="31"/>
      <c r="N289" s="31"/>
      <c r="O289" s="33"/>
    </row>
    <row r="290" spans="1:15">
      <c r="B290" s="88" t="str">
        <f xml:space="preserve"> ( 'Facility Detail'!$B$1752 + 3 ) &amp; " Surplus Applied to " &amp; ( 'Facility Detail'!$B$1752 + 2 )</f>
        <v>2014 Surplus Applied to 2013</v>
      </c>
      <c r="C290" s="33"/>
      <c r="D290" s="168"/>
      <c r="E290" s="170"/>
      <c r="F290" s="169">
        <f>G290</f>
        <v>0</v>
      </c>
      <c r="G290" s="61"/>
      <c r="H290" s="153"/>
      <c r="I290" s="170"/>
      <c r="J290" s="83" t="s">
        <v>193</v>
      </c>
      <c r="K290" s="83" t="s">
        <v>193</v>
      </c>
      <c r="L290" s="190"/>
      <c r="M290" s="31"/>
      <c r="N290" s="31"/>
      <c r="O290" s="33"/>
    </row>
    <row r="291" spans="1:15">
      <c r="B291" s="88" t="str">
        <f xml:space="preserve"> ( 'Facility Detail'!$B$1752 + 3 ) &amp; " Surplus Applied to " &amp; ( 'Facility Detail'!$B$1752 + 4 )</f>
        <v>2014 Surplus Applied to 2015</v>
      </c>
      <c r="C291" s="33"/>
      <c r="D291" s="70"/>
      <c r="E291" s="172"/>
      <c r="F291" s="172"/>
      <c r="G291" s="10">
        <f>G271</f>
        <v>0</v>
      </c>
      <c r="H291" s="173">
        <f>G291</f>
        <v>0</v>
      </c>
      <c r="I291" s="172"/>
      <c r="J291" s="172"/>
      <c r="K291" s="172"/>
      <c r="L291" s="190"/>
      <c r="M291" s="31"/>
      <c r="N291" s="31"/>
      <c r="O291" s="33"/>
    </row>
    <row r="292" spans="1:15">
      <c r="B292" s="88" t="str">
        <f xml:space="preserve"> ( 'Facility Detail'!$B$1752 + 4 ) &amp; " Surplus Applied to " &amp; ( 'Facility Detail'!$B$1752 + 3 )</f>
        <v>2015 Surplus Applied to 2014</v>
      </c>
      <c r="C292" s="33"/>
      <c r="D292" s="70"/>
      <c r="E292" s="172"/>
      <c r="F292" s="172"/>
      <c r="G292" s="79">
        <f>H292</f>
        <v>0</v>
      </c>
      <c r="H292" s="175"/>
      <c r="I292" s="172"/>
      <c r="J292" s="172"/>
      <c r="K292" s="172"/>
      <c r="L292" s="190"/>
      <c r="M292" s="31"/>
      <c r="N292" s="31"/>
      <c r="O292" s="33"/>
    </row>
    <row r="293" spans="1:15">
      <c r="B293" s="88" t="str">
        <f xml:space="preserve"> ( 'Facility Detail'!$B$1752 + 4 ) &amp; " Surplus Applied to " &amp; ( 'Facility Detail'!$B$1752 + 5 )</f>
        <v>2015 Surplus Applied to 2016</v>
      </c>
      <c r="C293" s="33"/>
      <c r="D293" s="70"/>
      <c r="E293" s="172"/>
      <c r="F293" s="172"/>
      <c r="G293" s="172"/>
      <c r="H293" s="175">
        <f>H271</f>
        <v>8028</v>
      </c>
      <c r="I293" s="79">
        <f>H293</f>
        <v>8028</v>
      </c>
      <c r="J293" s="83"/>
      <c r="K293" s="83"/>
      <c r="L293" s="190"/>
      <c r="M293" s="31"/>
      <c r="N293" s="31"/>
      <c r="O293" s="33"/>
    </row>
    <row r="294" spans="1:15">
      <c r="B294" s="88" t="str">
        <f xml:space="preserve"> ( 'Facility Detail'!$B$1752 + 5 ) &amp; " Surplus Applied to " &amp; ( 'Facility Detail'!$B$1752 + 4 )</f>
        <v>2016 Surplus Applied to 2015</v>
      </c>
      <c r="C294" s="80"/>
      <c r="D294" s="70"/>
      <c r="E294" s="172"/>
      <c r="F294" s="172"/>
      <c r="G294" s="172"/>
      <c r="H294" s="79">
        <f>I294</f>
        <v>0</v>
      </c>
      <c r="I294" s="175"/>
      <c r="J294" s="83"/>
      <c r="K294" s="83"/>
      <c r="L294" s="190"/>
      <c r="M294" s="31"/>
      <c r="N294" s="31"/>
      <c r="O294" s="33"/>
    </row>
    <row r="295" spans="1:15">
      <c r="B295" s="88" t="str">
        <f xml:space="preserve"> ( 'Facility Detail'!$B$1752 + 5 ) &amp; " Surplus Applied to " &amp; ( 'Facility Detail'!$B$1752 + 6 )</f>
        <v>2016 Surplus Applied to 2017</v>
      </c>
      <c r="C295" s="80"/>
      <c r="D295" s="70"/>
      <c r="E295" s="172"/>
      <c r="F295" s="172"/>
      <c r="G295" s="172"/>
      <c r="H295" s="172"/>
      <c r="I295" s="175">
        <f>I271</f>
        <v>10218</v>
      </c>
      <c r="J295" s="79">
        <f>I295</f>
        <v>10218</v>
      </c>
      <c r="K295" s="83"/>
      <c r="L295" s="190"/>
      <c r="M295" s="31"/>
      <c r="N295" s="31"/>
      <c r="O295" s="33"/>
    </row>
    <row r="296" spans="1:15">
      <c r="B296" s="88" t="s">
        <v>191</v>
      </c>
      <c r="C296" s="33"/>
      <c r="D296" s="70"/>
      <c r="E296" s="172"/>
      <c r="F296" s="172"/>
      <c r="G296" s="172"/>
      <c r="H296" s="172"/>
      <c r="I296" s="174"/>
      <c r="J296" s="175"/>
      <c r="K296" s="172"/>
      <c r="L296" s="190"/>
      <c r="M296" s="31"/>
      <c r="N296" s="31"/>
      <c r="O296" s="33"/>
    </row>
    <row r="297" spans="1:15">
      <c r="B297" s="88" t="s">
        <v>192</v>
      </c>
      <c r="C297" s="33"/>
      <c r="D297" s="70"/>
      <c r="E297" s="172"/>
      <c r="F297" s="172"/>
      <c r="G297" s="172"/>
      <c r="H297" s="172"/>
      <c r="I297" s="172"/>
      <c r="J297" s="389"/>
      <c r="K297" s="389"/>
      <c r="L297" s="176"/>
      <c r="M297" s="31"/>
      <c r="N297" s="31"/>
      <c r="O297" s="33"/>
    </row>
    <row r="298" spans="1:15">
      <c r="B298" s="88" t="s">
        <v>226</v>
      </c>
      <c r="C298" s="33"/>
      <c r="D298" s="70"/>
      <c r="E298" s="172"/>
      <c r="F298" s="172"/>
      <c r="G298" s="172"/>
      <c r="H298" s="172"/>
      <c r="I298" s="172"/>
      <c r="J298" s="174"/>
      <c r="K298" s="175"/>
      <c r="L298" s="176"/>
      <c r="M298" s="31"/>
      <c r="N298" s="31"/>
      <c r="O298" s="33"/>
    </row>
    <row r="299" spans="1:15">
      <c r="B299" s="88" t="s">
        <v>227</v>
      </c>
      <c r="C299" s="33"/>
      <c r="D299" s="71"/>
      <c r="E299" s="154"/>
      <c r="F299" s="154"/>
      <c r="G299" s="154"/>
      <c r="H299" s="154"/>
      <c r="I299" s="154"/>
      <c r="J299" s="154"/>
      <c r="K299" s="177"/>
      <c r="L299" s="332"/>
      <c r="M299" s="31"/>
      <c r="N299" s="31"/>
      <c r="O299" s="33"/>
    </row>
    <row r="300" spans="1:15">
      <c r="B300" s="36" t="s">
        <v>17</v>
      </c>
      <c r="D300" s="7">
        <f xml:space="preserve"> D286 - D285</f>
        <v>-7963</v>
      </c>
      <c r="E300" s="7">
        <f xml:space="preserve"> E285 + E288 - E287 - E286</f>
        <v>7963</v>
      </c>
      <c r="F300" s="7">
        <f>F287 - F288 -F289</f>
        <v>0</v>
      </c>
      <c r="G300" s="7">
        <f>G289-G290-G291</f>
        <v>0</v>
      </c>
      <c r="H300" s="44">
        <f>H291-H292-H293</f>
        <v>-8028</v>
      </c>
      <c r="I300" s="7">
        <f>I293-I294-I295</f>
        <v>-2190</v>
      </c>
      <c r="J300" s="340">
        <v>1372</v>
      </c>
      <c r="K300" s="392"/>
      <c r="L300" s="7">
        <f>L297</f>
        <v>0</v>
      </c>
      <c r="M300" s="31"/>
      <c r="N300" s="31"/>
      <c r="O300" s="33"/>
    </row>
    <row r="301" spans="1:15">
      <c r="B301" s="6"/>
      <c r="D301" s="7"/>
      <c r="E301" s="7"/>
      <c r="F301" s="7"/>
      <c r="G301" s="7"/>
      <c r="H301" s="241"/>
      <c r="I301" s="7"/>
      <c r="J301" s="7"/>
      <c r="K301" s="7"/>
      <c r="L301" s="7"/>
      <c r="M301" s="31"/>
      <c r="N301" s="31"/>
      <c r="O301" s="33"/>
    </row>
    <row r="302" spans="1:15">
      <c r="B302" s="85" t="s">
        <v>12</v>
      </c>
      <c r="C302" s="80"/>
      <c r="D302" s="111"/>
      <c r="E302" s="112"/>
      <c r="F302" s="112"/>
      <c r="G302" s="112"/>
      <c r="H302" s="112"/>
      <c r="I302" s="112"/>
      <c r="J302" s="112"/>
      <c r="K302" s="112"/>
      <c r="L302" s="113"/>
      <c r="M302" s="31"/>
      <c r="N302" s="31"/>
      <c r="O302" s="33"/>
    </row>
    <row r="303" spans="1:15">
      <c r="B303" s="6"/>
      <c r="D303" s="7"/>
      <c r="E303" s="7"/>
      <c r="F303" s="7"/>
      <c r="G303" s="7"/>
      <c r="H303" s="242"/>
      <c r="I303" s="7"/>
      <c r="J303" s="7"/>
      <c r="K303" s="7"/>
      <c r="L303" s="7"/>
      <c r="M303" s="31"/>
      <c r="N303" s="31"/>
      <c r="O303" s="33"/>
    </row>
    <row r="304" spans="1:15" ht="18.75">
      <c r="A304" s="45" t="s">
        <v>26</v>
      </c>
      <c r="C304" s="80"/>
      <c r="D304" s="49">
        <f t="shared" ref="D304:L304" si="83" xml:space="preserve"> D271 + D276 - D282 + D300 + D302</f>
        <v>0</v>
      </c>
      <c r="E304" s="50">
        <f t="shared" si="83"/>
        <v>7963</v>
      </c>
      <c r="F304" s="50">
        <f t="shared" si="83"/>
        <v>0</v>
      </c>
      <c r="G304" s="50">
        <f t="shared" si="83"/>
        <v>0</v>
      </c>
      <c r="H304" s="50">
        <f t="shared" si="83"/>
        <v>0</v>
      </c>
      <c r="I304" s="50">
        <f t="shared" si="83"/>
        <v>8028</v>
      </c>
      <c r="J304" s="50">
        <v>10218</v>
      </c>
      <c r="K304" s="387"/>
      <c r="L304" s="51">
        <f t="shared" si="83"/>
        <v>0</v>
      </c>
      <c r="M304" s="31"/>
      <c r="N304" s="31"/>
      <c r="O304" s="33"/>
    </row>
    <row r="305" spans="1:15">
      <c r="B305" s="6"/>
      <c r="D305" s="7"/>
      <c r="E305" s="7"/>
      <c r="F305" s="7"/>
      <c r="G305" s="31"/>
      <c r="H305" s="31"/>
      <c r="I305" s="31"/>
      <c r="J305" s="31"/>
      <c r="K305" s="31"/>
      <c r="L305" s="31"/>
      <c r="M305" s="31"/>
      <c r="N305" s="31"/>
      <c r="O305" s="33"/>
    </row>
    <row r="306" spans="1:15" ht="15.75" thickBot="1">
      <c r="M306" s="33"/>
      <c r="N306" s="33"/>
      <c r="O306" s="33"/>
    </row>
    <row r="307" spans="1:15">
      <c r="A307" s="8"/>
      <c r="B307" s="8"/>
      <c r="C307" s="8"/>
      <c r="D307" s="8"/>
      <c r="E307" s="8"/>
      <c r="F307" s="8"/>
      <c r="G307" s="8"/>
      <c r="H307" s="8"/>
      <c r="I307" s="8"/>
      <c r="J307" s="8"/>
      <c r="K307" s="8"/>
      <c r="L307" s="8"/>
      <c r="M307" s="33"/>
      <c r="N307" s="33"/>
      <c r="O307" s="33"/>
    </row>
    <row r="308" spans="1:15">
      <c r="B308" s="33"/>
      <c r="C308" s="33"/>
      <c r="D308" s="33"/>
      <c r="E308" s="33"/>
      <c r="F308" s="33"/>
      <c r="G308" s="33"/>
      <c r="H308" s="33"/>
      <c r="I308" s="33"/>
      <c r="J308" s="33"/>
      <c r="K308" s="33"/>
      <c r="L308" s="33"/>
      <c r="M308" s="33"/>
      <c r="N308" s="33"/>
      <c r="O308" s="33"/>
    </row>
    <row r="309" spans="1:15" ht="21">
      <c r="A309" s="14" t="s">
        <v>4</v>
      </c>
      <c r="B309" s="14"/>
      <c r="C309" s="46" t="str">
        <f>B8</f>
        <v>*Tuana Springs - REC Only</v>
      </c>
      <c r="D309" s="47"/>
      <c r="E309" s="24"/>
      <c r="F309" s="24"/>
      <c r="M309" s="33"/>
      <c r="N309" s="33"/>
      <c r="O309" s="33"/>
    </row>
    <row r="310" spans="1:15">
      <c r="L310" s="341"/>
      <c r="M310" s="24"/>
      <c r="N310" s="33"/>
      <c r="O310" s="33"/>
    </row>
    <row r="311" spans="1:15" ht="18.75">
      <c r="A311" s="9" t="s">
        <v>21</v>
      </c>
      <c r="B311" s="9"/>
      <c r="D311" s="2">
        <f>'Facility Detail'!$B$1752</f>
        <v>2011</v>
      </c>
      <c r="E311" s="2">
        <f t="shared" ref="E311:J311" si="84">D311+1</f>
        <v>2012</v>
      </c>
      <c r="F311" s="2">
        <f t="shared" si="84"/>
        <v>2013</v>
      </c>
      <c r="G311" s="2">
        <f t="shared" si="84"/>
        <v>2014</v>
      </c>
      <c r="H311" s="2">
        <f t="shared" si="84"/>
        <v>2015</v>
      </c>
      <c r="I311" s="2">
        <f t="shared" si="84"/>
        <v>2016</v>
      </c>
      <c r="J311" s="2">
        <f t="shared" si="84"/>
        <v>2017</v>
      </c>
      <c r="K311" s="2">
        <f t="shared" ref="K311" si="85">J311+1</f>
        <v>2018</v>
      </c>
      <c r="L311" s="2">
        <f t="shared" ref="L311" si="86">K311+1</f>
        <v>2019</v>
      </c>
      <c r="M311" s="26"/>
      <c r="N311" s="26"/>
      <c r="O311" s="33"/>
    </row>
    <row r="312" spans="1:15">
      <c r="B312" s="88" t="str">
        <f>"Total MWh Produced / Purchased from " &amp; C309</f>
        <v>Total MWh Produced / Purchased from *Tuana Springs - REC Only</v>
      </c>
      <c r="C312" s="80"/>
      <c r="D312" s="3"/>
      <c r="E312" s="4">
        <v>29430</v>
      </c>
      <c r="F312" s="4">
        <v>32556</v>
      </c>
      <c r="G312" s="4">
        <v>35021</v>
      </c>
      <c r="H312" s="4"/>
      <c r="I312" s="4"/>
      <c r="J312" s="99"/>
      <c r="K312" s="99"/>
      <c r="L312" s="100"/>
      <c r="M312" s="25"/>
      <c r="N312" s="25"/>
      <c r="O312" s="33"/>
    </row>
    <row r="313" spans="1:15">
      <c r="B313" s="88" t="s">
        <v>25</v>
      </c>
      <c r="C313" s="80"/>
      <c r="D313" s="62"/>
      <c r="E313" s="63">
        <v>1</v>
      </c>
      <c r="F313" s="63">
        <v>1</v>
      </c>
      <c r="G313" s="63">
        <v>1</v>
      </c>
      <c r="H313" s="63"/>
      <c r="I313" s="63"/>
      <c r="J313" s="272"/>
      <c r="K313" s="272"/>
      <c r="L313" s="278"/>
      <c r="M313" s="25"/>
      <c r="N313" s="25"/>
      <c r="O313" s="33"/>
    </row>
    <row r="314" spans="1:15">
      <c r="B314" s="88" t="s">
        <v>20</v>
      </c>
      <c r="C314" s="80"/>
      <c r="D314" s="54"/>
      <c r="E314" s="55">
        <v>1</v>
      </c>
      <c r="F314" s="55">
        <v>1</v>
      </c>
      <c r="G314" s="55">
        <v>1</v>
      </c>
      <c r="H314" s="55"/>
      <c r="I314" s="55"/>
      <c r="J314" s="275"/>
      <c r="K314" s="275"/>
      <c r="L314" s="335"/>
      <c r="M314" s="25"/>
      <c r="N314" s="25"/>
      <c r="O314" s="33"/>
    </row>
    <row r="315" spans="1:15">
      <c r="B315" s="85" t="s">
        <v>22</v>
      </c>
      <c r="C315" s="86"/>
      <c r="D315" s="41">
        <f>ROUND(D312 * D313 * D314,0)</f>
        <v>0</v>
      </c>
      <c r="E315" s="41">
        <f t="shared" ref="E315:J315" si="87">ROUND(E312 * E313 * E314,0)</f>
        <v>29430</v>
      </c>
      <c r="F315" s="41">
        <f t="shared" si="87"/>
        <v>32556</v>
      </c>
      <c r="G315" s="41">
        <f t="shared" si="87"/>
        <v>35021</v>
      </c>
      <c r="H315" s="41">
        <f t="shared" si="87"/>
        <v>0</v>
      </c>
      <c r="I315" s="41">
        <f t="shared" si="87"/>
        <v>0</v>
      </c>
      <c r="J315" s="41">
        <f t="shared" si="87"/>
        <v>0</v>
      </c>
      <c r="K315" s="41">
        <f t="shared" ref="K315:L315" si="88">ROUND(K312 * K313 * K314,0)</f>
        <v>0</v>
      </c>
      <c r="L315" s="41">
        <f t="shared" si="88"/>
        <v>0</v>
      </c>
      <c r="M315" s="25"/>
      <c r="N315" s="25"/>
      <c r="O315" s="33"/>
    </row>
    <row r="316" spans="1:15">
      <c r="B316" s="24"/>
      <c r="C316" s="33"/>
      <c r="D316" s="40"/>
      <c r="E316" s="40"/>
      <c r="F316" s="40"/>
      <c r="G316" s="25"/>
      <c r="H316" s="25"/>
      <c r="I316" s="25"/>
      <c r="J316" s="25"/>
      <c r="K316" s="25"/>
      <c r="L316" s="25"/>
      <c r="M316" s="25"/>
      <c r="N316" s="25"/>
      <c r="O316" s="33"/>
    </row>
    <row r="317" spans="1:15" ht="18.75">
      <c r="A317" s="48" t="s">
        <v>119</v>
      </c>
      <c r="C317" s="33"/>
      <c r="D317" s="2">
        <f>'Facility Detail'!$B$1752</f>
        <v>2011</v>
      </c>
      <c r="E317" s="2">
        <f>D317+1</f>
        <v>2012</v>
      </c>
      <c r="F317" s="2">
        <f>E317+1</f>
        <v>2013</v>
      </c>
      <c r="G317" s="2">
        <f>G311</f>
        <v>2014</v>
      </c>
      <c r="H317" s="2">
        <f>H311</f>
        <v>2015</v>
      </c>
      <c r="I317" s="2">
        <f>I311</f>
        <v>2016</v>
      </c>
      <c r="J317" s="2">
        <f>J311</f>
        <v>2017</v>
      </c>
      <c r="K317" s="2">
        <f t="shared" ref="K317:L317" si="89">K311</f>
        <v>2018</v>
      </c>
      <c r="L317" s="2">
        <f t="shared" si="89"/>
        <v>2019</v>
      </c>
      <c r="M317" s="25"/>
      <c r="N317" s="25"/>
      <c r="O317" s="33"/>
    </row>
    <row r="318" spans="1:15">
      <c r="B318" s="88" t="s">
        <v>10</v>
      </c>
      <c r="C318" s="80"/>
      <c r="D318" s="57">
        <f>IF( $E8 = "Eligible", D315 * 'Facility Detail'!$B$1749, 0 )</f>
        <v>0</v>
      </c>
      <c r="E318" s="11">
        <f>IF( $E8 = "Eligible", E315 * 'Facility Detail'!$B$1749, 0 )</f>
        <v>0</v>
      </c>
      <c r="F318" s="11">
        <f>IF( $E8 = "Eligible", F315 * 'Facility Detail'!$B$1749, 0 )</f>
        <v>0</v>
      </c>
      <c r="G318" s="11">
        <f>IF( $E8 = "Eligible", G315 * 'Facility Detail'!$B$1749, 0 )</f>
        <v>0</v>
      </c>
      <c r="H318" s="11">
        <f>IF( $E8 = "Eligible", H315 * 'Facility Detail'!$B$1749, 0 )</f>
        <v>0</v>
      </c>
      <c r="I318" s="11">
        <f>IF( $E8 = "Eligible", I315 * 'Facility Detail'!$B$1749, 0 )</f>
        <v>0</v>
      </c>
      <c r="J318" s="11">
        <f>IF( $E8 = "Eligible", J315 * 'Facility Detail'!$B$1749, 0 )</f>
        <v>0</v>
      </c>
      <c r="K318" s="11">
        <f>IF( $E8 = "Eligible", K315 * 'Facility Detail'!$B$1749, 0 )</f>
        <v>0</v>
      </c>
      <c r="L318" s="12">
        <f>IF( $E8 = "Eligible", L315 * 'Facility Detail'!$B$1749, 0 )</f>
        <v>0</v>
      </c>
      <c r="M318" s="25"/>
      <c r="N318" s="25"/>
      <c r="O318" s="33"/>
    </row>
    <row r="319" spans="1:15">
      <c r="B319" s="88" t="s">
        <v>6</v>
      </c>
      <c r="C319" s="80"/>
      <c r="D319" s="58">
        <f t="shared" ref="D319:J319" si="90">IF( $F8 = "Eligible", D315, 0 )</f>
        <v>0</v>
      </c>
      <c r="E319" s="59">
        <f t="shared" si="90"/>
        <v>0</v>
      </c>
      <c r="F319" s="59">
        <f t="shared" si="90"/>
        <v>0</v>
      </c>
      <c r="G319" s="59">
        <f t="shared" si="90"/>
        <v>0</v>
      </c>
      <c r="H319" s="59">
        <f t="shared" si="90"/>
        <v>0</v>
      </c>
      <c r="I319" s="59">
        <f t="shared" si="90"/>
        <v>0</v>
      </c>
      <c r="J319" s="59">
        <f t="shared" si="90"/>
        <v>0</v>
      </c>
      <c r="K319" s="59">
        <f t="shared" ref="K319:L319" si="91">IF( $F8 = "Eligible", K315, 0 )</f>
        <v>0</v>
      </c>
      <c r="L319" s="60">
        <f t="shared" si="91"/>
        <v>0</v>
      </c>
      <c r="M319" s="25"/>
      <c r="N319" s="25"/>
      <c r="O319" s="33"/>
    </row>
    <row r="320" spans="1:15">
      <c r="B320" s="87" t="s">
        <v>121</v>
      </c>
      <c r="C320" s="86"/>
      <c r="D320" s="43">
        <f t="shared" ref="D320:I320" si="92">SUM(D318:D319)</f>
        <v>0</v>
      </c>
      <c r="E320" s="44">
        <f t="shared" si="92"/>
        <v>0</v>
      </c>
      <c r="F320" s="44">
        <f t="shared" si="92"/>
        <v>0</v>
      </c>
      <c r="G320" s="44">
        <f t="shared" si="92"/>
        <v>0</v>
      </c>
      <c r="H320" s="44">
        <f t="shared" si="92"/>
        <v>0</v>
      </c>
      <c r="I320" s="44">
        <f t="shared" si="92"/>
        <v>0</v>
      </c>
      <c r="J320" s="44">
        <f t="shared" ref="J320" si="93">SUM(J318:J319)</f>
        <v>0</v>
      </c>
      <c r="K320" s="44">
        <f t="shared" ref="K320:L320" si="94">SUM(K318:K319)</f>
        <v>0</v>
      </c>
      <c r="L320" s="44">
        <f t="shared" si="94"/>
        <v>0</v>
      </c>
      <c r="M320" s="25"/>
      <c r="N320" s="25"/>
      <c r="O320" s="33"/>
    </row>
    <row r="321" spans="1:15">
      <c r="B321" s="33"/>
      <c r="C321" s="33"/>
      <c r="D321" s="42"/>
      <c r="E321" s="34"/>
      <c r="F321" s="34"/>
      <c r="G321" s="25"/>
      <c r="H321" s="25"/>
      <c r="I321" s="25"/>
      <c r="J321" s="25"/>
      <c r="K321" s="25"/>
      <c r="L321" s="25"/>
      <c r="M321" s="25"/>
      <c r="N321" s="25"/>
      <c r="O321" s="33"/>
    </row>
    <row r="322" spans="1:15" ht="18.75">
      <c r="A322" s="45" t="s">
        <v>30</v>
      </c>
      <c r="C322" s="33"/>
      <c r="D322" s="2">
        <f>'Facility Detail'!$B$1752</f>
        <v>2011</v>
      </c>
      <c r="E322" s="2">
        <f>D322+1</f>
        <v>2012</v>
      </c>
      <c r="F322" s="2">
        <f>E322+1</f>
        <v>2013</v>
      </c>
      <c r="G322" s="2">
        <f>G311</f>
        <v>2014</v>
      </c>
      <c r="H322" s="2">
        <f>H311</f>
        <v>2015</v>
      </c>
      <c r="I322" s="2">
        <f>I311</f>
        <v>2016</v>
      </c>
      <c r="J322" s="2">
        <f>J311</f>
        <v>2017</v>
      </c>
      <c r="K322" s="2">
        <f t="shared" ref="K322:L322" si="95">K311</f>
        <v>2018</v>
      </c>
      <c r="L322" s="2">
        <f t="shared" si="95"/>
        <v>2019</v>
      </c>
      <c r="M322" s="25"/>
      <c r="N322" s="25"/>
      <c r="O322" s="33"/>
    </row>
    <row r="323" spans="1:15">
      <c r="B323" s="88" t="s">
        <v>47</v>
      </c>
      <c r="C323" s="80"/>
      <c r="D323" s="98"/>
      <c r="E323" s="99"/>
      <c r="F323" s="99"/>
      <c r="G323" s="99"/>
      <c r="H323" s="99"/>
      <c r="I323" s="99"/>
      <c r="J323" s="99"/>
      <c r="K323" s="99"/>
      <c r="L323" s="100"/>
      <c r="M323" s="25"/>
      <c r="N323" s="25"/>
      <c r="O323" s="33"/>
    </row>
    <row r="324" spans="1:15">
      <c r="B324" s="89" t="s">
        <v>23</v>
      </c>
      <c r="C324" s="207"/>
      <c r="D324" s="101"/>
      <c r="E324" s="102"/>
      <c r="F324" s="102"/>
      <c r="G324" s="102"/>
      <c r="H324" s="102"/>
      <c r="I324" s="102"/>
      <c r="J324" s="102"/>
      <c r="K324" s="102"/>
      <c r="L324" s="103"/>
      <c r="M324" s="25"/>
      <c r="N324" s="25"/>
      <c r="O324" s="33"/>
    </row>
    <row r="325" spans="1:15">
      <c r="B325" s="104" t="s">
        <v>89</v>
      </c>
      <c r="C325" s="205"/>
      <c r="D325" s="65"/>
      <c r="E325" s="66"/>
      <c r="F325" s="66"/>
      <c r="G325" s="66"/>
      <c r="H325" s="66"/>
      <c r="I325" s="66"/>
      <c r="J325" s="66"/>
      <c r="K325" s="66"/>
      <c r="L325" s="67"/>
      <c r="M325" s="25"/>
      <c r="N325" s="25"/>
      <c r="O325" s="33"/>
    </row>
    <row r="326" spans="1:15">
      <c r="B326" s="36" t="s">
        <v>90</v>
      </c>
      <c r="D326" s="7">
        <f t="shared" ref="D326:I326" si="96">SUM(D323:D325)</f>
        <v>0</v>
      </c>
      <c r="E326" s="7">
        <f t="shared" si="96"/>
        <v>0</v>
      </c>
      <c r="F326" s="7">
        <f t="shared" si="96"/>
        <v>0</v>
      </c>
      <c r="G326" s="7">
        <f t="shared" si="96"/>
        <v>0</v>
      </c>
      <c r="H326" s="7">
        <f t="shared" si="96"/>
        <v>0</v>
      </c>
      <c r="I326" s="7">
        <f t="shared" si="96"/>
        <v>0</v>
      </c>
      <c r="J326" s="7">
        <f t="shared" ref="J326" si="97">SUM(J323:J325)</f>
        <v>0</v>
      </c>
      <c r="K326" s="7">
        <f t="shared" ref="K326:L326" si="98">SUM(K323:K325)</f>
        <v>0</v>
      </c>
      <c r="L326" s="7">
        <f t="shared" si="98"/>
        <v>0</v>
      </c>
      <c r="M326" s="31"/>
      <c r="N326" s="31"/>
      <c r="O326" s="33"/>
    </row>
    <row r="327" spans="1:15">
      <c r="B327" s="6"/>
      <c r="D327" s="7"/>
      <c r="E327" s="7"/>
      <c r="F327" s="7"/>
      <c r="G327" s="31"/>
      <c r="H327" s="31"/>
      <c r="I327" s="31"/>
      <c r="J327" s="31"/>
      <c r="K327" s="31"/>
      <c r="L327" s="31"/>
      <c r="M327" s="31"/>
      <c r="N327" s="31"/>
      <c r="O327" s="33"/>
    </row>
    <row r="328" spans="1:15" ht="18.75">
      <c r="A328" s="9" t="s">
        <v>100</v>
      </c>
      <c r="D328" s="2">
        <f>'Facility Detail'!$B$1752</f>
        <v>2011</v>
      </c>
      <c r="E328" s="2">
        <f t="shared" ref="E328:J328" si="99">D328+1</f>
        <v>2012</v>
      </c>
      <c r="F328" s="2">
        <f t="shared" si="99"/>
        <v>2013</v>
      </c>
      <c r="G328" s="2">
        <f t="shared" si="99"/>
        <v>2014</v>
      </c>
      <c r="H328" s="2">
        <f t="shared" si="99"/>
        <v>2015</v>
      </c>
      <c r="I328" s="2">
        <f t="shared" si="99"/>
        <v>2016</v>
      </c>
      <c r="J328" s="2">
        <f t="shared" si="99"/>
        <v>2017</v>
      </c>
      <c r="K328" s="2">
        <f t="shared" ref="K328" si="100">J328+1</f>
        <v>2018</v>
      </c>
      <c r="L328" s="2">
        <f t="shared" ref="L328" si="101">K328+1</f>
        <v>2019</v>
      </c>
      <c r="M328" s="31"/>
      <c r="N328" s="31"/>
      <c r="O328" s="33"/>
    </row>
    <row r="329" spans="1:15">
      <c r="B329" s="88" t="str">
        <f xml:space="preserve"> 'Facility Detail'!$B$1752 &amp; " Surplus Applied to " &amp; ( 'Facility Detail'!$B$1752 + 1 )</f>
        <v>2011 Surplus Applied to 2012</v>
      </c>
      <c r="C329" s="33"/>
      <c r="D329" s="3"/>
      <c r="E329" s="68">
        <f>D329</f>
        <v>0</v>
      </c>
      <c r="F329" s="152"/>
      <c r="G329" s="152"/>
      <c r="H329" s="152"/>
      <c r="I329" s="152"/>
      <c r="J329" s="152"/>
      <c r="K329" s="152"/>
      <c r="L329" s="69"/>
      <c r="M329" s="31"/>
      <c r="N329" s="31"/>
      <c r="O329" s="33"/>
    </row>
    <row r="330" spans="1:15">
      <c r="B330" s="88" t="str">
        <f xml:space="preserve"> ( 'Facility Detail'!$B$1752 + 1 ) &amp; " Surplus Applied to " &amp; ( 'Facility Detail'!$B$1752 )</f>
        <v>2012 Surplus Applied to 2011</v>
      </c>
      <c r="C330" s="33"/>
      <c r="D330" s="53">
        <f>E330</f>
        <v>0</v>
      </c>
      <c r="E330" s="61"/>
      <c r="F330" s="153"/>
      <c r="G330" s="153"/>
      <c r="H330" s="153"/>
      <c r="I330" s="153"/>
      <c r="J330" s="153"/>
      <c r="K330" s="153"/>
      <c r="L330" s="342"/>
      <c r="M330" s="31"/>
      <c r="N330" s="31"/>
      <c r="O330" s="33"/>
    </row>
    <row r="331" spans="1:15">
      <c r="B331" s="88" t="str">
        <f xml:space="preserve"> ( 'Facility Detail'!$B$1752 + 1 ) &amp; " Surplus Applied to " &amp; ( 'Facility Detail'!$B$1752 + 2 )</f>
        <v>2012 Surplus Applied to 2013</v>
      </c>
      <c r="C331" s="33"/>
      <c r="D331" s="70"/>
      <c r="E331" s="10">
        <v>17177</v>
      </c>
      <c r="F331" s="79">
        <f>E331</f>
        <v>17177</v>
      </c>
      <c r="G331" s="153"/>
      <c r="H331" s="153"/>
      <c r="I331" s="153"/>
      <c r="J331" s="153"/>
      <c r="K331" s="153"/>
      <c r="L331" s="342"/>
      <c r="M331" s="31"/>
      <c r="N331" s="31"/>
      <c r="O331" s="33"/>
    </row>
    <row r="332" spans="1:15">
      <c r="B332" s="88" t="str">
        <f xml:space="preserve"> ( 'Facility Detail'!$B$1752 + 2 ) &amp; " Surplus Applied to " &amp; ( 'Facility Detail'!$B$1752 + 1 )</f>
        <v>2013 Surplus Applied to 2012</v>
      </c>
      <c r="C332" s="33"/>
      <c r="D332" s="70"/>
      <c r="E332" s="79">
        <f>F332</f>
        <v>0</v>
      </c>
      <c r="F332" s="160"/>
      <c r="G332" s="153"/>
      <c r="H332" s="153"/>
      <c r="I332" s="153"/>
      <c r="J332" s="153"/>
      <c r="K332" s="153"/>
      <c r="L332" s="342"/>
      <c r="M332" s="31"/>
      <c r="N332" s="31"/>
      <c r="O332" s="33"/>
    </row>
    <row r="333" spans="1:15">
      <c r="B333" s="88" t="str">
        <f xml:space="preserve"> ( 'Facility Detail'!$B$1752 + 2 ) &amp; " Surplus Applied to " &amp; ( 'Facility Detail'!$B$1752 + 3 )</f>
        <v>2013 Surplus Applied to 2014</v>
      </c>
      <c r="C333" s="33"/>
      <c r="D333" s="168"/>
      <c r="E333" s="170"/>
      <c r="F333" s="61">
        <v>6731</v>
      </c>
      <c r="G333" s="171">
        <f>F333</f>
        <v>6731</v>
      </c>
      <c r="H333" s="153"/>
      <c r="I333" s="153"/>
      <c r="J333" s="153"/>
      <c r="K333" s="153"/>
      <c r="L333" s="342"/>
      <c r="M333" s="31"/>
      <c r="N333" s="31"/>
      <c r="O333" s="33"/>
    </row>
    <row r="334" spans="1:15">
      <c r="B334" s="88" t="str">
        <f xml:space="preserve"> ( 'Facility Detail'!$B$1752 + 3 ) &amp; " Surplus Applied to " &amp; ( 'Facility Detail'!$B$1752 + 2 )</f>
        <v>2014 Surplus Applied to 2013</v>
      </c>
      <c r="C334" s="33"/>
      <c r="D334" s="168"/>
      <c r="E334" s="170"/>
      <c r="F334" s="169">
        <f>G334</f>
        <v>0</v>
      </c>
      <c r="G334" s="61"/>
      <c r="H334" s="153"/>
      <c r="I334" s="170"/>
      <c r="J334" s="170"/>
      <c r="K334" s="170"/>
      <c r="L334" s="343"/>
      <c r="M334" s="31"/>
      <c r="N334" s="31"/>
      <c r="O334" s="33"/>
    </row>
    <row r="335" spans="1:15">
      <c r="B335" s="88" t="str">
        <f xml:space="preserve"> ( 'Facility Detail'!$B$1752 + 3 ) &amp; " Surplus Applied to " &amp; ( 'Facility Detail'!$B$1752 + 4 )</f>
        <v>2014 Surplus Applied to 2015</v>
      </c>
      <c r="C335" s="33"/>
      <c r="D335" s="168"/>
      <c r="E335" s="170"/>
      <c r="F335" s="170"/>
      <c r="G335" s="61">
        <v>0</v>
      </c>
      <c r="H335" s="179">
        <f>G335</f>
        <v>0</v>
      </c>
      <c r="I335" s="170"/>
      <c r="J335" s="170"/>
      <c r="K335" s="170"/>
      <c r="L335" s="343"/>
      <c r="M335" s="31"/>
      <c r="N335" s="31"/>
      <c r="O335" s="33"/>
    </row>
    <row r="336" spans="1:15">
      <c r="B336" s="88" t="str">
        <f xml:space="preserve"> ( 'Facility Detail'!$B$1752 + 4 ) &amp; " Surplus Applied to " &amp; ( 'Facility Detail'!$B$1752 + 3 )</f>
        <v>2015 Surplus Applied to 2014</v>
      </c>
      <c r="C336" s="33"/>
      <c r="D336" s="70"/>
      <c r="E336" s="172"/>
      <c r="F336" s="172"/>
      <c r="G336" s="79">
        <f>H336</f>
        <v>0</v>
      </c>
      <c r="H336" s="175"/>
      <c r="I336" s="172"/>
      <c r="J336" s="172"/>
      <c r="K336" s="172"/>
      <c r="L336" s="176"/>
      <c r="M336" s="31"/>
      <c r="N336" s="31"/>
      <c r="O336" s="33"/>
    </row>
    <row r="337" spans="1:15">
      <c r="B337" s="88" t="str">
        <f xml:space="preserve"> ( 'Facility Detail'!$B$1752 + 4 ) &amp; " Surplus Applied to " &amp; ( 'Facility Detail'!$B$1752 + 5 )</f>
        <v>2015 Surplus Applied to 2016</v>
      </c>
      <c r="C337" s="33"/>
      <c r="D337" s="71"/>
      <c r="E337" s="154"/>
      <c r="F337" s="154"/>
      <c r="G337" s="154"/>
      <c r="H337" s="177"/>
      <c r="I337" s="59">
        <f>H337</f>
        <v>0</v>
      </c>
      <c r="J337" s="59"/>
      <c r="K337" s="59"/>
      <c r="L337" s="60"/>
      <c r="M337" s="31"/>
      <c r="N337" s="31"/>
      <c r="O337" s="33"/>
    </row>
    <row r="338" spans="1:15">
      <c r="B338" s="36" t="s">
        <v>17</v>
      </c>
      <c r="D338" s="7">
        <f xml:space="preserve"> D330 - D329</f>
        <v>0</v>
      </c>
      <c r="E338" s="7">
        <f xml:space="preserve"> E329 + E332 - E331 - E330</f>
        <v>-17177</v>
      </c>
      <c r="F338" s="7">
        <f>F331 - F332 -F333</f>
        <v>10446</v>
      </c>
      <c r="G338" s="7">
        <f>G333-G334-G335</f>
        <v>6731</v>
      </c>
      <c r="H338" s="7">
        <f>H335-H336-H337</f>
        <v>0</v>
      </c>
      <c r="I338" s="7">
        <f>I335</f>
        <v>0</v>
      </c>
      <c r="J338" s="7"/>
      <c r="K338" s="7"/>
      <c r="L338" s="7"/>
      <c r="M338" s="31"/>
      <c r="N338" s="31"/>
      <c r="O338" s="33"/>
    </row>
    <row r="339" spans="1:15">
      <c r="B339" s="6"/>
      <c r="D339" s="7"/>
      <c r="E339" s="7"/>
      <c r="F339" s="7"/>
      <c r="G339" s="7"/>
      <c r="H339" s="7"/>
      <c r="I339" s="7"/>
      <c r="J339" s="7"/>
      <c r="K339" s="7"/>
      <c r="L339" s="7"/>
      <c r="M339" s="31"/>
      <c r="N339" s="31"/>
      <c r="O339" s="33"/>
    </row>
    <row r="340" spans="1:15">
      <c r="B340" s="85" t="s">
        <v>12</v>
      </c>
      <c r="C340" s="80"/>
      <c r="D340" s="111"/>
      <c r="E340" s="112"/>
      <c r="F340" s="112"/>
      <c r="G340" s="112"/>
      <c r="H340" s="112"/>
      <c r="I340" s="184"/>
      <c r="J340" s="184"/>
      <c r="K340" s="184"/>
      <c r="L340" s="166"/>
      <c r="M340" s="31"/>
      <c r="N340" s="31"/>
      <c r="O340" s="33"/>
    </row>
    <row r="341" spans="1:15">
      <c r="B341" s="6"/>
      <c r="D341" s="7"/>
      <c r="E341" s="7"/>
      <c r="F341" s="7"/>
      <c r="G341" s="7"/>
      <c r="H341" s="7"/>
      <c r="I341" s="7"/>
      <c r="J341" s="7"/>
      <c r="K341" s="7"/>
      <c r="L341" s="7"/>
      <c r="M341" s="31"/>
      <c r="N341" s="31"/>
      <c r="O341" s="33"/>
    </row>
    <row r="342" spans="1:15" ht="18.75">
      <c r="A342" s="45" t="s">
        <v>26</v>
      </c>
      <c r="C342" s="80"/>
      <c r="D342" s="49">
        <f t="shared" ref="D342:I342" si="102" xml:space="preserve"> D315 + D320 - D326 + D338 + D340</f>
        <v>0</v>
      </c>
      <c r="E342" s="50">
        <f t="shared" si="102"/>
        <v>12253</v>
      </c>
      <c r="F342" s="50">
        <f t="shared" si="102"/>
        <v>43002</v>
      </c>
      <c r="G342" s="50">
        <f t="shared" si="102"/>
        <v>41752</v>
      </c>
      <c r="H342" s="50">
        <f t="shared" si="102"/>
        <v>0</v>
      </c>
      <c r="I342" s="183">
        <f t="shared" si="102"/>
        <v>0</v>
      </c>
      <c r="J342" s="183">
        <f t="shared" ref="J342:L342" si="103" xml:space="preserve"> J315 + J320 - J326 + J338 + J340</f>
        <v>0</v>
      </c>
      <c r="K342" s="183">
        <f t="shared" si="103"/>
        <v>0</v>
      </c>
      <c r="L342" s="167">
        <f t="shared" si="103"/>
        <v>0</v>
      </c>
      <c r="M342" s="31"/>
      <c r="N342" s="31"/>
      <c r="O342" s="33"/>
    </row>
    <row r="343" spans="1:15">
      <c r="B343" s="6"/>
      <c r="D343" s="7"/>
      <c r="E343" s="7"/>
      <c r="F343" s="7"/>
      <c r="G343" s="228" t="s">
        <v>174</v>
      </c>
      <c r="H343" s="31"/>
      <c r="I343" s="31"/>
      <c r="J343" s="31"/>
      <c r="K343" s="31"/>
      <c r="L343" s="31"/>
      <c r="M343" s="31"/>
      <c r="N343" s="31"/>
      <c r="O343" s="33"/>
    </row>
    <row r="344" spans="1:15" ht="15.75" thickBot="1">
      <c r="M344" s="33"/>
      <c r="N344" s="33"/>
      <c r="O344" s="33"/>
    </row>
    <row r="345" spans="1:15">
      <c r="A345" s="8"/>
      <c r="B345" s="8"/>
      <c r="C345" s="8"/>
      <c r="D345" s="8"/>
      <c r="E345" s="8"/>
      <c r="F345" s="8"/>
      <c r="G345" s="8"/>
      <c r="H345" s="8"/>
      <c r="I345" s="8"/>
      <c r="J345" s="8"/>
      <c r="K345" s="8"/>
      <c r="L345" s="8"/>
      <c r="M345" s="33"/>
      <c r="N345" s="33"/>
      <c r="O345" s="33"/>
    </row>
    <row r="346" spans="1:15">
      <c r="B346" s="33"/>
      <c r="C346" s="33"/>
      <c r="D346" s="33"/>
      <c r="E346" s="33"/>
      <c r="F346" s="33"/>
      <c r="G346" s="33"/>
      <c r="H346" s="33"/>
      <c r="I346" s="33"/>
      <c r="J346" s="33"/>
      <c r="K346" s="33"/>
      <c r="L346" s="33"/>
      <c r="M346" s="33"/>
      <c r="N346" s="33"/>
      <c r="O346" s="33"/>
    </row>
    <row r="347" spans="1:15" ht="21">
      <c r="A347" s="14" t="s">
        <v>4</v>
      </c>
      <c r="B347" s="14"/>
      <c r="C347" s="46" t="str">
        <f>B9</f>
        <v>Wanapum (Upgrade)</v>
      </c>
      <c r="D347" s="47"/>
      <c r="E347" s="24"/>
      <c r="F347" s="24"/>
      <c r="M347" s="33"/>
      <c r="N347" s="33"/>
      <c r="O347" s="33"/>
    </row>
    <row r="348" spans="1:15">
      <c r="M348" s="33"/>
      <c r="N348" s="33"/>
      <c r="O348" s="33"/>
    </row>
    <row r="349" spans="1:15" ht="18.75">
      <c r="A349" s="9" t="s">
        <v>21</v>
      </c>
      <c r="B349" s="9"/>
      <c r="D349" s="2">
        <f>'Facility Detail'!$B$1752</f>
        <v>2011</v>
      </c>
      <c r="E349" s="2">
        <f t="shared" ref="E349:J349" si="104">D349+1</f>
        <v>2012</v>
      </c>
      <c r="F349" s="2">
        <f t="shared" si="104"/>
        <v>2013</v>
      </c>
      <c r="G349" s="2">
        <f t="shared" si="104"/>
        <v>2014</v>
      </c>
      <c r="H349" s="195">
        <f t="shared" si="104"/>
        <v>2015</v>
      </c>
      <c r="I349" s="196">
        <f t="shared" si="104"/>
        <v>2016</v>
      </c>
      <c r="J349" s="196">
        <f t="shared" si="104"/>
        <v>2017</v>
      </c>
      <c r="K349" s="196">
        <f t="shared" ref="K349" si="105">J349+1</f>
        <v>2018</v>
      </c>
      <c r="L349" s="196">
        <f t="shared" ref="L349" si="106">K349+1</f>
        <v>2019</v>
      </c>
      <c r="M349" s="26"/>
      <c r="N349" s="26"/>
      <c r="O349" s="33"/>
    </row>
    <row r="350" spans="1:15">
      <c r="B350" s="88" t="str">
        <f>"Total MWh Produced / Purchased from " &amp; C347</f>
        <v>Total MWh Produced / Purchased from Wanapum (Upgrade)</v>
      </c>
      <c r="C350" s="80"/>
      <c r="D350" s="3"/>
      <c r="E350" s="4">
        <v>8509.334807773188</v>
      </c>
      <c r="F350" s="4">
        <v>8015.2443995799058</v>
      </c>
      <c r="G350" s="4"/>
      <c r="H350" s="4"/>
      <c r="I350" s="4"/>
      <c r="J350" s="99"/>
      <c r="K350" s="99"/>
      <c r="L350" s="100"/>
      <c r="M350" s="25"/>
      <c r="N350" s="25"/>
      <c r="O350" s="33"/>
    </row>
    <row r="351" spans="1:15">
      <c r="B351" s="88" t="s">
        <v>25</v>
      </c>
      <c r="C351" s="80"/>
      <c r="D351" s="62"/>
      <c r="E351" s="63">
        <v>1</v>
      </c>
      <c r="F351" s="63">
        <v>1</v>
      </c>
      <c r="G351" s="63"/>
      <c r="H351" s="63"/>
      <c r="I351" s="63"/>
      <c r="J351" s="272"/>
      <c r="K351" s="272"/>
      <c r="L351" s="278"/>
      <c r="M351" s="25"/>
      <c r="N351" s="25"/>
      <c r="O351" s="33"/>
    </row>
    <row r="352" spans="1:15">
      <c r="B352" s="88" t="s">
        <v>20</v>
      </c>
      <c r="C352" s="80"/>
      <c r="D352" s="54"/>
      <c r="E352" s="55">
        <v>7.9619999999999996E-2</v>
      </c>
      <c r="F352" s="55">
        <v>7.8747999999999999E-2</v>
      </c>
      <c r="G352" s="55"/>
      <c r="H352" s="55"/>
      <c r="I352" s="55"/>
      <c r="J352" s="275"/>
      <c r="K352" s="275"/>
      <c r="L352" s="335"/>
      <c r="M352" s="25"/>
      <c r="N352" s="25"/>
      <c r="O352" s="33"/>
    </row>
    <row r="353" spans="1:15">
      <c r="B353" s="85" t="s">
        <v>22</v>
      </c>
      <c r="C353" s="86"/>
      <c r="D353" s="41">
        <f>ROUND(D350 * D351 * D352,0)</f>
        <v>0</v>
      </c>
      <c r="E353" s="41">
        <f t="shared" ref="E353:J353" si="107">ROUND(E350 * E351 * E352,0)</f>
        <v>678</v>
      </c>
      <c r="F353" s="41">
        <f t="shared" si="107"/>
        <v>631</v>
      </c>
      <c r="G353" s="41">
        <f t="shared" si="107"/>
        <v>0</v>
      </c>
      <c r="H353" s="41">
        <f t="shared" si="107"/>
        <v>0</v>
      </c>
      <c r="I353" s="41">
        <f t="shared" si="107"/>
        <v>0</v>
      </c>
      <c r="J353" s="41">
        <f t="shared" si="107"/>
        <v>0</v>
      </c>
      <c r="K353" s="41">
        <f t="shared" ref="K353:L353" si="108">ROUND(K350 * K351 * K352,0)</f>
        <v>0</v>
      </c>
      <c r="L353" s="41">
        <f t="shared" si="108"/>
        <v>0</v>
      </c>
      <c r="M353" s="25"/>
      <c r="N353" s="25"/>
      <c r="O353" s="33"/>
    </row>
    <row r="354" spans="1:15">
      <c r="B354" s="24"/>
      <c r="C354" s="33"/>
      <c r="D354" s="40"/>
      <c r="E354" s="40"/>
      <c r="F354" s="40"/>
      <c r="G354" s="25"/>
      <c r="H354" s="25"/>
      <c r="I354" s="25"/>
      <c r="J354" s="25"/>
      <c r="K354" s="25"/>
      <c r="L354" s="25"/>
      <c r="M354" s="25"/>
      <c r="N354" s="25"/>
      <c r="O354" s="33"/>
    </row>
    <row r="355" spans="1:15" ht="18.75">
      <c r="A355" s="48" t="s">
        <v>119</v>
      </c>
      <c r="C355" s="33"/>
      <c r="D355" s="2">
        <f>'Facility Detail'!$B$1752</f>
        <v>2011</v>
      </c>
      <c r="E355" s="2">
        <f>D355+1</f>
        <v>2012</v>
      </c>
      <c r="F355" s="2">
        <f>E355+1</f>
        <v>2013</v>
      </c>
      <c r="G355" s="2">
        <f>G349</f>
        <v>2014</v>
      </c>
      <c r="H355" s="2">
        <f>H349</f>
        <v>2015</v>
      </c>
      <c r="I355" s="2">
        <f>I349</f>
        <v>2016</v>
      </c>
      <c r="J355" s="2">
        <f t="shared" ref="J355" si="109">J349</f>
        <v>2017</v>
      </c>
      <c r="K355" s="2">
        <f t="shared" ref="K355:L355" si="110">K349</f>
        <v>2018</v>
      </c>
      <c r="L355" s="2">
        <f t="shared" si="110"/>
        <v>2019</v>
      </c>
      <c r="M355" s="25"/>
      <c r="N355" s="25"/>
      <c r="O355" s="33"/>
    </row>
    <row r="356" spans="1:15">
      <c r="B356" s="88" t="s">
        <v>10</v>
      </c>
      <c r="C356" s="80"/>
      <c r="D356" s="57">
        <f>IF( $E9 = "Eligible", D353 * 'Facility Detail'!$B$1749, 0 )</f>
        <v>0</v>
      </c>
      <c r="E356" s="11">
        <f>IF( $E9 = "Eligible", E353 * 'Facility Detail'!$B$1749, 0 )</f>
        <v>0</v>
      </c>
      <c r="F356" s="11">
        <f>IF( $E9 = "Eligible", F353 * 'Facility Detail'!$B$1749, 0 )</f>
        <v>0</v>
      </c>
      <c r="G356" s="11">
        <v>0</v>
      </c>
      <c r="H356" s="11">
        <v>0</v>
      </c>
      <c r="I356" s="11"/>
      <c r="J356" s="11"/>
      <c r="K356" s="11"/>
      <c r="L356" s="12"/>
      <c r="M356" s="25"/>
      <c r="N356" s="25"/>
      <c r="O356" s="33"/>
    </row>
    <row r="357" spans="1:15">
      <c r="B357" s="88" t="s">
        <v>6</v>
      </c>
      <c r="C357" s="80"/>
      <c r="D357" s="58">
        <f>IF( $F9 = "Eligible", D353, 0 )</f>
        <v>0</v>
      </c>
      <c r="E357" s="59">
        <f>IF( $F9 = "Eligible", E353, 0 )</f>
        <v>0</v>
      </c>
      <c r="F357" s="59">
        <f>IF( $F9 = "Eligible", F353, 0 )</f>
        <v>0</v>
      </c>
      <c r="G357" s="59">
        <f>IF( $E309 = "Eligible", G353, 0 )</f>
        <v>0</v>
      </c>
      <c r="H357" s="59">
        <f>IF( $E309 = "Eligible", H353, 0 )</f>
        <v>0</v>
      </c>
      <c r="I357" s="59">
        <f>IF( $E309 = "Eligible", I353, 0 )</f>
        <v>0</v>
      </c>
      <c r="J357" s="59">
        <f>IF( $E309 = "Eligible", J353, 0 )</f>
        <v>0</v>
      </c>
      <c r="K357" s="59">
        <f t="shared" ref="K357:L357" si="111">IF( $E309 = "Eligible", K353, 0 )</f>
        <v>0</v>
      </c>
      <c r="L357" s="60">
        <f t="shared" si="111"/>
        <v>0</v>
      </c>
      <c r="M357" s="25"/>
      <c r="N357" s="25"/>
      <c r="O357" s="33"/>
    </row>
    <row r="358" spans="1:15">
      <c r="B358" s="87" t="s">
        <v>121</v>
      </c>
      <c r="C358" s="86"/>
      <c r="D358" s="43">
        <f t="shared" ref="D358:I358" si="112">SUM(D356:D357)</f>
        <v>0</v>
      </c>
      <c r="E358" s="44">
        <f t="shared" si="112"/>
        <v>0</v>
      </c>
      <c r="F358" s="44">
        <f t="shared" si="112"/>
        <v>0</v>
      </c>
      <c r="G358" s="44">
        <f t="shared" si="112"/>
        <v>0</v>
      </c>
      <c r="H358" s="44">
        <f t="shared" si="112"/>
        <v>0</v>
      </c>
      <c r="I358" s="44">
        <f t="shared" si="112"/>
        <v>0</v>
      </c>
      <c r="J358" s="44">
        <f t="shared" ref="J358:L358" si="113">SUM(J356:J357)</f>
        <v>0</v>
      </c>
      <c r="K358" s="44">
        <f t="shared" si="113"/>
        <v>0</v>
      </c>
      <c r="L358" s="44">
        <f t="shared" si="113"/>
        <v>0</v>
      </c>
      <c r="M358" s="25"/>
      <c r="N358" s="25"/>
      <c r="O358" s="33"/>
    </row>
    <row r="359" spans="1:15">
      <c r="B359" s="33"/>
      <c r="C359" s="33"/>
      <c r="D359" s="42"/>
      <c r="E359" s="34"/>
      <c r="F359" s="34"/>
      <c r="G359" s="25"/>
      <c r="H359" s="25"/>
      <c r="I359" s="25"/>
      <c r="J359" s="25"/>
      <c r="K359" s="25"/>
      <c r="L359" s="25"/>
      <c r="M359" s="25"/>
      <c r="N359" s="25"/>
      <c r="O359" s="33"/>
    </row>
    <row r="360" spans="1:15" ht="18.75">
      <c r="A360" s="45" t="s">
        <v>30</v>
      </c>
      <c r="C360" s="33"/>
      <c r="D360" s="2">
        <f>'Facility Detail'!$B$1752</f>
        <v>2011</v>
      </c>
      <c r="E360" s="2">
        <f>D360+1</f>
        <v>2012</v>
      </c>
      <c r="F360" s="2">
        <f>E360+1</f>
        <v>2013</v>
      </c>
      <c r="G360" s="2">
        <f>G349</f>
        <v>2014</v>
      </c>
      <c r="H360" s="2">
        <f>H349</f>
        <v>2015</v>
      </c>
      <c r="I360" s="2">
        <f>I349</f>
        <v>2016</v>
      </c>
      <c r="J360" s="2">
        <f>J349</f>
        <v>2017</v>
      </c>
      <c r="K360" s="2">
        <f t="shared" ref="K360:L360" si="114">K349</f>
        <v>2018</v>
      </c>
      <c r="L360" s="2">
        <f t="shared" si="114"/>
        <v>2019</v>
      </c>
      <c r="M360" s="25"/>
      <c r="N360" s="25"/>
      <c r="O360" s="33"/>
    </row>
    <row r="361" spans="1:15">
      <c r="B361" s="88" t="s">
        <v>47</v>
      </c>
      <c r="C361" s="80"/>
      <c r="D361" s="98"/>
      <c r="E361" s="99"/>
      <c r="F361" s="99"/>
      <c r="G361" s="99"/>
      <c r="H361" s="99"/>
      <c r="I361" s="99"/>
      <c r="J361" s="99"/>
      <c r="K361" s="99"/>
      <c r="L361" s="100"/>
      <c r="M361" s="25"/>
      <c r="N361" s="25"/>
      <c r="O361" s="33"/>
    </row>
    <row r="362" spans="1:15">
      <c r="B362" s="89" t="s">
        <v>23</v>
      </c>
      <c r="C362" s="207"/>
      <c r="D362" s="101"/>
      <c r="E362" s="102"/>
      <c r="F362" s="102"/>
      <c r="G362" s="102"/>
      <c r="H362" s="102"/>
      <c r="I362" s="102"/>
      <c r="J362" s="102"/>
      <c r="K362" s="102"/>
      <c r="L362" s="103"/>
      <c r="M362" s="25"/>
      <c r="N362" s="25"/>
      <c r="O362" s="33"/>
    </row>
    <row r="363" spans="1:15">
      <c r="B363" s="104" t="s">
        <v>89</v>
      </c>
      <c r="C363" s="205"/>
      <c r="D363" s="65"/>
      <c r="E363" s="66"/>
      <c r="F363" s="66"/>
      <c r="G363" s="66"/>
      <c r="H363" s="66"/>
      <c r="I363" s="66"/>
      <c r="J363" s="66"/>
      <c r="K363" s="66"/>
      <c r="L363" s="67"/>
      <c r="M363" s="25"/>
      <c r="N363" s="25"/>
      <c r="O363" s="33"/>
    </row>
    <row r="364" spans="1:15">
      <c r="B364" s="36" t="s">
        <v>90</v>
      </c>
      <c r="D364" s="7">
        <f t="shared" ref="D364:I364" si="115">SUM(D361:D363)</f>
        <v>0</v>
      </c>
      <c r="E364" s="7">
        <f t="shared" si="115"/>
        <v>0</v>
      </c>
      <c r="F364" s="7">
        <f t="shared" si="115"/>
        <v>0</v>
      </c>
      <c r="G364" s="7">
        <f t="shared" si="115"/>
        <v>0</v>
      </c>
      <c r="H364" s="7">
        <f t="shared" si="115"/>
        <v>0</v>
      </c>
      <c r="I364" s="7">
        <f t="shared" si="115"/>
        <v>0</v>
      </c>
      <c r="J364" s="7">
        <f t="shared" ref="J364:L364" si="116">SUM(J361:J363)</f>
        <v>0</v>
      </c>
      <c r="K364" s="7">
        <f t="shared" si="116"/>
        <v>0</v>
      </c>
      <c r="L364" s="7">
        <f t="shared" si="116"/>
        <v>0</v>
      </c>
      <c r="M364" s="31"/>
      <c r="N364" s="31"/>
      <c r="O364" s="33"/>
    </row>
    <row r="365" spans="1:15">
      <c r="B365" s="6"/>
      <c r="D365" s="7"/>
      <c r="E365" s="7"/>
      <c r="F365" s="7"/>
      <c r="G365" s="31"/>
      <c r="H365" s="31"/>
      <c r="I365" s="31"/>
      <c r="J365" s="31"/>
      <c r="K365" s="31"/>
      <c r="L365" s="31"/>
      <c r="M365" s="31"/>
      <c r="N365" s="31"/>
      <c r="O365" s="33"/>
    </row>
    <row r="366" spans="1:15" ht="18.75">
      <c r="A366" s="9" t="s">
        <v>100</v>
      </c>
      <c r="D366" s="2">
        <f>'Facility Detail'!$B$1752</f>
        <v>2011</v>
      </c>
      <c r="E366" s="2">
        <f>D366+1</f>
        <v>2012</v>
      </c>
      <c r="F366" s="2">
        <f>E366+1</f>
        <v>2013</v>
      </c>
      <c r="G366" s="2">
        <f>F366+1</f>
        <v>2014</v>
      </c>
      <c r="H366" s="2">
        <f>G366+1</f>
        <v>2015</v>
      </c>
      <c r="I366" s="2">
        <f>H366+1</f>
        <v>2016</v>
      </c>
      <c r="J366" s="2">
        <f t="shared" ref="J366" si="117">I366+1</f>
        <v>2017</v>
      </c>
      <c r="K366" s="2">
        <f t="shared" ref="K366" si="118">J366+1</f>
        <v>2018</v>
      </c>
      <c r="L366" s="2">
        <f t="shared" ref="L366" si="119">K366+1</f>
        <v>2019</v>
      </c>
      <c r="M366" s="31"/>
      <c r="N366" s="31"/>
      <c r="O366" s="33"/>
    </row>
    <row r="367" spans="1:15">
      <c r="B367" s="88" t="str">
        <f xml:space="preserve"> 'Facility Detail'!$B$1752 &amp; " Surplus Applied to " &amp; ( 'Facility Detail'!$B$1752 + 1 )</f>
        <v>2011 Surplus Applied to 2012</v>
      </c>
      <c r="C367" s="33"/>
      <c r="D367" s="3"/>
      <c r="E367" s="68">
        <f>D367</f>
        <v>0</v>
      </c>
      <c r="F367" s="152"/>
      <c r="G367" s="152"/>
      <c r="H367" s="152"/>
      <c r="I367" s="152"/>
      <c r="J367" s="152"/>
      <c r="K367" s="152"/>
      <c r="L367" s="69"/>
      <c r="M367" s="31"/>
      <c r="N367" s="31"/>
      <c r="O367" s="33"/>
    </row>
    <row r="368" spans="1:15">
      <c r="B368" s="88" t="str">
        <f xml:space="preserve"> ( 'Facility Detail'!$B$1752 + 1 ) &amp; " Surplus Applied to " &amp; ( 'Facility Detail'!$B$1752 )</f>
        <v>2012 Surplus Applied to 2011</v>
      </c>
      <c r="C368" s="33"/>
      <c r="D368" s="53">
        <f>E368</f>
        <v>0</v>
      </c>
      <c r="E368" s="61"/>
      <c r="F368" s="153"/>
      <c r="G368" s="153"/>
      <c r="H368" s="153"/>
      <c r="I368" s="153"/>
      <c r="J368" s="153"/>
      <c r="K368" s="153"/>
      <c r="L368" s="342"/>
      <c r="M368" s="31"/>
      <c r="N368" s="31"/>
      <c r="O368" s="33"/>
    </row>
    <row r="369" spans="1:15">
      <c r="B369" s="88" t="str">
        <f xml:space="preserve"> ( 'Facility Detail'!$B$1752 + 1 ) &amp; " Surplus Applied to " &amp; ( 'Facility Detail'!$B$1752 + 2 )</f>
        <v>2012 Surplus Applied to 2013</v>
      </c>
      <c r="C369" s="33"/>
      <c r="D369" s="70"/>
      <c r="E369" s="10"/>
      <c r="F369" s="79">
        <f>E369</f>
        <v>0</v>
      </c>
      <c r="G369" s="153"/>
      <c r="H369" s="153"/>
      <c r="I369" s="153"/>
      <c r="J369" s="153"/>
      <c r="K369" s="153"/>
      <c r="L369" s="342"/>
      <c r="M369" s="31"/>
      <c r="N369" s="31"/>
      <c r="O369" s="33"/>
    </row>
    <row r="370" spans="1:15">
      <c r="B370" s="88" t="str">
        <f xml:space="preserve"> ( 'Facility Detail'!$B$1752 + 2 ) &amp; " Surplus Applied to " &amp; ( 'Facility Detail'!$B$1752 + 1 )</f>
        <v>2013 Surplus Applied to 2012</v>
      </c>
      <c r="C370" s="33"/>
      <c r="D370" s="70"/>
      <c r="E370" s="79">
        <f>F370</f>
        <v>0</v>
      </c>
      <c r="F370" s="160"/>
      <c r="G370" s="153"/>
      <c r="H370" s="153"/>
      <c r="I370" s="153"/>
      <c r="J370" s="153"/>
      <c r="K370" s="153"/>
      <c r="L370" s="342"/>
      <c r="M370" s="31"/>
      <c r="N370" s="31"/>
      <c r="O370" s="33"/>
    </row>
    <row r="371" spans="1:15">
      <c r="B371" s="88" t="str">
        <f xml:space="preserve"> ( 'Facility Detail'!$B$1752 + 2 ) &amp; " Surplus Applied to " &amp; ( 'Facility Detail'!$B$1752 + 3 )</f>
        <v>2013 Surplus Applied to 2014</v>
      </c>
      <c r="C371" s="33"/>
      <c r="D371" s="168"/>
      <c r="E371" s="170"/>
      <c r="F371" s="61"/>
      <c r="G371" s="171">
        <f>F371</f>
        <v>0</v>
      </c>
      <c r="H371" s="153"/>
      <c r="I371" s="153"/>
      <c r="J371" s="153"/>
      <c r="K371" s="153"/>
      <c r="L371" s="342"/>
      <c r="M371" s="31"/>
      <c r="N371" s="31"/>
      <c r="O371" s="33"/>
    </row>
    <row r="372" spans="1:15">
      <c r="B372" s="88" t="str">
        <f xml:space="preserve"> ( 'Facility Detail'!$B$1752 + 3 ) &amp; " Surplus Applied to " &amp; ( 'Facility Detail'!$B$1752 + 2 )</f>
        <v>2014 Surplus Applied to 2013</v>
      </c>
      <c r="C372" s="33"/>
      <c r="D372" s="70"/>
      <c r="E372" s="172"/>
      <c r="F372" s="79">
        <f>G372</f>
        <v>0</v>
      </c>
      <c r="G372" s="10"/>
      <c r="H372" s="83"/>
      <c r="I372" s="172"/>
      <c r="J372" s="172"/>
      <c r="K372" s="172"/>
      <c r="L372" s="176"/>
      <c r="M372" s="31"/>
      <c r="N372" s="31"/>
      <c r="O372" s="33"/>
    </row>
    <row r="373" spans="1:15">
      <c r="B373" s="88" t="str">
        <f xml:space="preserve"> ( 'Facility Detail'!$B$1752 + 3 ) &amp; " Surplus Applied to " &amp; ( 'Facility Detail'!$B$1752 + 4 )</f>
        <v>2014 Surplus Applied to 2015</v>
      </c>
      <c r="C373" s="33"/>
      <c r="D373" s="70"/>
      <c r="E373" s="172"/>
      <c r="F373" s="172"/>
      <c r="G373" s="10"/>
      <c r="H373" s="173">
        <f>G373</f>
        <v>0</v>
      </c>
      <c r="I373" s="172"/>
      <c r="J373" s="172"/>
      <c r="K373" s="172"/>
      <c r="L373" s="176"/>
      <c r="M373" s="31"/>
      <c r="N373" s="31"/>
      <c r="O373" s="33"/>
    </row>
    <row r="374" spans="1:15">
      <c r="B374" s="88" t="str">
        <f xml:space="preserve"> ( 'Facility Detail'!$B$1752 + 4 ) &amp; " Surplus Applied to " &amp; ( 'Facility Detail'!$B$1752 + 3 )</f>
        <v>2015 Surplus Applied to 2014</v>
      </c>
      <c r="C374" s="33"/>
      <c r="D374" s="70"/>
      <c r="E374" s="172"/>
      <c r="F374" s="172"/>
      <c r="G374" s="174"/>
      <c r="H374" s="175"/>
      <c r="I374" s="172"/>
      <c r="J374" s="172"/>
      <c r="K374" s="172"/>
      <c r="L374" s="176"/>
      <c r="M374" s="31"/>
      <c r="N374" s="31"/>
      <c r="O374" s="33"/>
    </row>
    <row r="375" spans="1:15">
      <c r="B375" s="88" t="str">
        <f xml:space="preserve"> ( 'Facility Detail'!$B$1752 + 4 ) &amp; " Surplus Applied to " &amp; ( 'Facility Detail'!$B$1752 + 5 )</f>
        <v>2015 Surplus Applied to 2016</v>
      </c>
      <c r="C375" s="33"/>
      <c r="D375" s="71"/>
      <c r="E375" s="154"/>
      <c r="F375" s="154"/>
      <c r="G375" s="154"/>
      <c r="H375" s="177"/>
      <c r="I375" s="59"/>
      <c r="J375" s="59"/>
      <c r="K375" s="59"/>
      <c r="L375" s="60"/>
      <c r="M375" s="31"/>
      <c r="N375" s="31"/>
      <c r="O375" s="33"/>
    </row>
    <row r="376" spans="1:15">
      <c r="B376" s="36" t="s">
        <v>17</v>
      </c>
      <c r="D376" s="7">
        <f xml:space="preserve"> D368 - D367</f>
        <v>0</v>
      </c>
      <c r="E376" s="7">
        <f xml:space="preserve"> E367 + E370 - E369 - E368</f>
        <v>0</v>
      </c>
      <c r="F376" s="7">
        <f>F369 - F370 -F371</f>
        <v>0</v>
      </c>
      <c r="G376" s="7">
        <f>G371-G372-G373</f>
        <v>0</v>
      </c>
      <c r="H376" s="7">
        <f>H373</f>
        <v>0</v>
      </c>
      <c r="I376" s="7">
        <f t="shared" ref="I376:L376" si="120">I373</f>
        <v>0</v>
      </c>
      <c r="J376" s="7">
        <f t="shared" si="120"/>
        <v>0</v>
      </c>
      <c r="K376" s="7">
        <f t="shared" si="120"/>
        <v>0</v>
      </c>
      <c r="L376" s="7">
        <f t="shared" si="120"/>
        <v>0</v>
      </c>
      <c r="M376" s="31"/>
      <c r="N376" s="31"/>
      <c r="O376" s="33"/>
    </row>
    <row r="377" spans="1:15">
      <c r="B377" s="6"/>
      <c r="D377" s="7"/>
      <c r="E377" s="7"/>
      <c r="F377" s="7"/>
      <c r="G377" s="7"/>
      <c r="H377" s="7"/>
      <c r="I377" s="7"/>
      <c r="J377" s="7"/>
      <c r="K377" s="7"/>
      <c r="L377" s="7"/>
      <c r="M377" s="31"/>
      <c r="N377" s="31"/>
      <c r="O377" s="33"/>
    </row>
    <row r="378" spans="1:15">
      <c r="B378" s="85" t="s">
        <v>12</v>
      </c>
      <c r="C378" s="80"/>
      <c r="D378" s="111"/>
      <c r="E378" s="112"/>
      <c r="F378" s="112"/>
      <c r="G378" s="112"/>
      <c r="H378" s="112"/>
      <c r="I378" s="112"/>
      <c r="J378" s="112"/>
      <c r="K378" s="112"/>
      <c r="L378" s="113"/>
      <c r="M378" s="31"/>
      <c r="N378" s="31"/>
      <c r="O378" s="33"/>
    </row>
    <row r="379" spans="1:15">
      <c r="B379" s="6"/>
      <c r="D379" s="7"/>
      <c r="E379" s="7"/>
      <c r="F379" s="7"/>
      <c r="G379" s="7"/>
      <c r="H379" s="7"/>
      <c r="I379" s="7"/>
      <c r="J379" s="7"/>
      <c r="K379" s="7"/>
      <c r="L379" s="7"/>
      <c r="M379" s="31"/>
      <c r="N379" s="31"/>
      <c r="O379" s="33"/>
    </row>
    <row r="380" spans="1:15" ht="18.75">
      <c r="A380" s="45" t="s">
        <v>26</v>
      </c>
      <c r="C380" s="80"/>
      <c r="D380" s="49">
        <f t="shared" ref="D380:I380" si="121" xml:space="preserve"> D353 + D358 - D364 + D376 + D378</f>
        <v>0</v>
      </c>
      <c r="E380" s="50">
        <f t="shared" si="121"/>
        <v>678</v>
      </c>
      <c r="F380" s="50">
        <f t="shared" si="121"/>
        <v>631</v>
      </c>
      <c r="G380" s="50">
        <f t="shared" si="121"/>
        <v>0</v>
      </c>
      <c r="H380" s="186">
        <f t="shared" si="121"/>
        <v>0</v>
      </c>
      <c r="I380" s="50">
        <f t="shared" si="121"/>
        <v>0</v>
      </c>
      <c r="J380" s="50">
        <f t="shared" ref="J380:L380" si="122" xml:space="preserve"> J353 + J358 - J364 + J376 + J378</f>
        <v>0</v>
      </c>
      <c r="K380" s="50">
        <f t="shared" si="122"/>
        <v>0</v>
      </c>
      <c r="L380" s="51">
        <f t="shared" si="122"/>
        <v>0</v>
      </c>
      <c r="M380" s="31"/>
      <c r="N380" s="31"/>
      <c r="O380" s="33"/>
    </row>
    <row r="381" spans="1:15">
      <c r="B381" s="6"/>
      <c r="D381" s="7"/>
      <c r="E381" s="7"/>
      <c r="F381" s="7"/>
      <c r="G381" s="31"/>
      <c r="H381" s="31"/>
      <c r="I381" s="31"/>
      <c r="J381" s="31"/>
      <c r="K381" s="31"/>
      <c r="L381" s="31"/>
      <c r="M381" s="31"/>
      <c r="N381" s="31"/>
      <c r="O381" s="33"/>
    </row>
    <row r="382" spans="1:15" ht="15.75" thickBot="1">
      <c r="M382" s="33"/>
      <c r="N382" s="33"/>
      <c r="O382" s="33"/>
    </row>
    <row r="383" spans="1:15">
      <c r="A383" s="8"/>
      <c r="B383" s="8"/>
      <c r="C383" s="8"/>
      <c r="D383" s="8"/>
      <c r="E383" s="8"/>
      <c r="F383" s="8"/>
      <c r="G383" s="8"/>
      <c r="H383" s="8"/>
      <c r="I383" s="8"/>
      <c r="J383" s="8"/>
      <c r="K383" s="8"/>
      <c r="L383" s="8"/>
      <c r="M383" s="33"/>
      <c r="N383" s="33"/>
      <c r="O383" s="33"/>
    </row>
    <row r="384" spans="1:15">
      <c r="B384" s="33"/>
      <c r="C384" s="33"/>
      <c r="D384" s="33"/>
      <c r="E384" s="33"/>
      <c r="F384" s="33"/>
      <c r="G384" s="33"/>
      <c r="H384" s="33"/>
      <c r="I384" s="33"/>
      <c r="J384" s="33"/>
      <c r="K384" s="33"/>
      <c r="L384" s="33"/>
      <c r="M384" s="33"/>
      <c r="N384" s="33"/>
      <c r="O384" s="33"/>
    </row>
    <row r="385" spans="1:15" ht="21">
      <c r="A385" s="14" t="s">
        <v>4</v>
      </c>
      <c r="B385" s="14"/>
      <c r="C385" s="46" t="str">
        <f>B10</f>
        <v>Prospect 2 (Upgrade 1999)</v>
      </c>
      <c r="D385" s="47"/>
      <c r="E385" s="24"/>
      <c r="F385" s="24"/>
      <c r="M385" s="33"/>
      <c r="N385" s="33"/>
      <c r="O385" s="33"/>
    </row>
    <row r="386" spans="1:15">
      <c r="M386" s="33"/>
      <c r="N386" s="33"/>
      <c r="O386" s="33"/>
    </row>
    <row r="387" spans="1:15" ht="18.75">
      <c r="A387" s="9" t="s">
        <v>21</v>
      </c>
      <c r="B387" s="9"/>
      <c r="D387" s="2">
        <f>'Facility Detail'!$B$1752</f>
        <v>2011</v>
      </c>
      <c r="E387" s="2">
        <f t="shared" ref="E387:J387" si="123">D387+1</f>
        <v>2012</v>
      </c>
      <c r="F387" s="2">
        <f t="shared" si="123"/>
        <v>2013</v>
      </c>
      <c r="G387" s="2">
        <f t="shared" si="123"/>
        <v>2014</v>
      </c>
      <c r="H387" s="2">
        <f t="shared" si="123"/>
        <v>2015</v>
      </c>
      <c r="I387" s="2">
        <f t="shared" si="123"/>
        <v>2016</v>
      </c>
      <c r="J387" s="2">
        <f t="shared" si="123"/>
        <v>2017</v>
      </c>
      <c r="K387" s="2">
        <f t="shared" ref="K387" si="124">J387+1</f>
        <v>2018</v>
      </c>
      <c r="L387" s="2">
        <f t="shared" ref="L387" si="125">K387+1</f>
        <v>2019</v>
      </c>
      <c r="M387" s="26"/>
      <c r="N387" s="26"/>
      <c r="O387" s="33"/>
    </row>
    <row r="388" spans="1:15">
      <c r="B388" s="88" t="str">
        <f>"Total MWh Produced / Purchased from " &amp; C385</f>
        <v>Total MWh Produced / Purchased from Prospect 2 (Upgrade 1999)</v>
      </c>
      <c r="C388" s="80"/>
      <c r="D388" s="3"/>
      <c r="E388" s="4">
        <v>4118.213099999999</v>
      </c>
      <c r="F388" s="4">
        <v>3721.9047</v>
      </c>
      <c r="G388" s="4">
        <v>3469</v>
      </c>
      <c r="H388" s="4">
        <v>2802</v>
      </c>
      <c r="I388" s="99">
        <v>4030.1855999999998</v>
      </c>
      <c r="J388" s="322">
        <v>4305</v>
      </c>
      <c r="K388" s="391"/>
      <c r="L388" s="334"/>
      <c r="M388" s="25"/>
      <c r="N388" s="25"/>
      <c r="O388" s="33"/>
    </row>
    <row r="389" spans="1:15">
      <c r="B389" s="88" t="s">
        <v>25</v>
      </c>
      <c r="C389" s="80"/>
      <c r="D389" s="62"/>
      <c r="E389" s="63">
        <v>1</v>
      </c>
      <c r="F389" s="63">
        <v>1</v>
      </c>
      <c r="G389" s="63">
        <v>1</v>
      </c>
      <c r="H389" s="63">
        <v>1</v>
      </c>
      <c r="I389" s="63">
        <v>1</v>
      </c>
      <c r="J389" s="63">
        <v>1</v>
      </c>
      <c r="K389" s="63">
        <v>1</v>
      </c>
      <c r="L389" s="64">
        <v>1</v>
      </c>
      <c r="M389" s="25"/>
      <c r="N389" s="25"/>
      <c r="O389" s="33"/>
    </row>
    <row r="390" spans="1:15">
      <c r="B390" s="88" t="s">
        <v>20</v>
      </c>
      <c r="C390" s="80"/>
      <c r="D390" s="54"/>
      <c r="E390" s="55">
        <v>7.9619999999999996E-2</v>
      </c>
      <c r="F390" s="55">
        <v>7.8747999999999999E-2</v>
      </c>
      <c r="G390" s="55">
        <v>8.0235000000000001E-2</v>
      </c>
      <c r="H390" s="55">
        <v>8.0535999999999996E-2</v>
      </c>
      <c r="I390" s="275">
        <v>8.1698151927344531E-2</v>
      </c>
      <c r="J390" s="275">
        <v>8.0833713568703974E-2</v>
      </c>
      <c r="K390" s="275">
        <v>7.9769759999999995E-2</v>
      </c>
      <c r="L390" s="335"/>
      <c r="M390" s="25"/>
      <c r="N390" s="25"/>
      <c r="O390" s="33"/>
    </row>
    <row r="391" spans="1:15">
      <c r="B391" s="85" t="s">
        <v>22</v>
      </c>
      <c r="C391" s="86"/>
      <c r="D391" s="41">
        <f xml:space="preserve"> ROUND(D388 * D389 * D390,0)</f>
        <v>0</v>
      </c>
      <c r="E391" s="41">
        <f t="shared" ref="E391:L391" si="126" xml:space="preserve"> ROUND(E388 * E389 * E390,0)</f>
        <v>328</v>
      </c>
      <c r="F391" s="41">
        <f t="shared" si="126"/>
        <v>293</v>
      </c>
      <c r="G391" s="41">
        <f t="shared" si="126"/>
        <v>278</v>
      </c>
      <c r="H391" s="41">
        <f t="shared" si="126"/>
        <v>226</v>
      </c>
      <c r="I391" s="41">
        <f t="shared" si="126"/>
        <v>329</v>
      </c>
      <c r="J391" s="41">
        <v>346</v>
      </c>
      <c r="K391" s="380"/>
      <c r="L391" s="41">
        <f t="shared" si="126"/>
        <v>0</v>
      </c>
      <c r="M391" s="25"/>
      <c r="N391" s="25"/>
      <c r="O391" s="33"/>
    </row>
    <row r="392" spans="1:15">
      <c r="B392" s="24"/>
      <c r="C392" s="33"/>
      <c r="D392" s="40"/>
      <c r="E392" s="40"/>
      <c r="F392" s="40"/>
      <c r="G392" s="25"/>
      <c r="H392" s="25"/>
      <c r="I392" s="25"/>
      <c r="J392" s="25"/>
      <c r="K392" s="25"/>
      <c r="L392" s="25"/>
      <c r="M392" s="25"/>
      <c r="N392" s="25"/>
      <c r="O392" s="33"/>
    </row>
    <row r="393" spans="1:15" ht="18.75">
      <c r="A393" s="48" t="s">
        <v>119</v>
      </c>
      <c r="C393" s="33"/>
      <c r="D393" s="2">
        <f>'Facility Detail'!$B$1752</f>
        <v>2011</v>
      </c>
      <c r="E393" s="2">
        <f>D393+1</f>
        <v>2012</v>
      </c>
      <c r="F393" s="2">
        <f>E393+1</f>
        <v>2013</v>
      </c>
      <c r="G393" s="2">
        <f>G387</f>
        <v>2014</v>
      </c>
      <c r="H393" s="2">
        <f>H387</f>
        <v>2015</v>
      </c>
      <c r="I393" s="2">
        <f>I387</f>
        <v>2016</v>
      </c>
      <c r="J393" s="2">
        <f>J387</f>
        <v>2017</v>
      </c>
      <c r="K393" s="2">
        <f t="shared" ref="K393:L393" si="127">K387</f>
        <v>2018</v>
      </c>
      <c r="L393" s="2">
        <f t="shared" si="127"/>
        <v>2019</v>
      </c>
      <c r="M393" s="25"/>
      <c r="N393" s="25"/>
      <c r="O393" s="33"/>
    </row>
    <row r="394" spans="1:15">
      <c r="B394" s="88" t="s">
        <v>10</v>
      </c>
      <c r="C394" s="80"/>
      <c r="D394" s="57">
        <f>IF( $E10 = "Eligible", D391 * 'Facility Detail'!$B$1749, 0 )</f>
        <v>0</v>
      </c>
      <c r="E394" s="11">
        <f>IF( $E10 = "Eligible", E391 * 'Facility Detail'!$B$1749, 0 )</f>
        <v>0</v>
      </c>
      <c r="F394" s="11">
        <f>IF( $E10 = "Eligible", F391 * 'Facility Detail'!$B$1749, 0 )</f>
        <v>0</v>
      </c>
      <c r="G394" s="11">
        <v>0</v>
      </c>
      <c r="H394" s="11">
        <v>0</v>
      </c>
      <c r="I394" s="11">
        <v>0</v>
      </c>
      <c r="J394" s="11">
        <v>0</v>
      </c>
      <c r="K394" s="11">
        <v>0</v>
      </c>
      <c r="L394" s="12">
        <v>0</v>
      </c>
      <c r="M394" s="25"/>
      <c r="N394" s="25"/>
      <c r="O394" s="33"/>
    </row>
    <row r="395" spans="1:15">
      <c r="B395" s="88" t="s">
        <v>6</v>
      </c>
      <c r="C395" s="80"/>
      <c r="D395" s="58">
        <f>IF( $F10 = "Eligible", D391, 0 )</f>
        <v>0</v>
      </c>
      <c r="E395" s="59">
        <f>IF( $F10 = "Eligible", E391, 0 )</f>
        <v>0</v>
      </c>
      <c r="F395" s="59">
        <f>IF( $F10 = "Eligible", F391, 0 )</f>
        <v>0</v>
      </c>
      <c r="G395" s="59">
        <f>IF( $E347 = "Eligible", G391, 0 )</f>
        <v>0</v>
      </c>
      <c r="H395" s="59">
        <f>IF( $E347 = "Eligible", H391, 0 )</f>
        <v>0</v>
      </c>
      <c r="I395" s="59">
        <f>IF( $E347 = "Eligible", I391, 0 )</f>
        <v>0</v>
      </c>
      <c r="J395" s="59">
        <f>IF( $E347 = "Eligible", J391, 0 )</f>
        <v>0</v>
      </c>
      <c r="K395" s="59">
        <f t="shared" ref="K395:L395" si="128">IF( $E347 = "Eligible", K391, 0 )</f>
        <v>0</v>
      </c>
      <c r="L395" s="60">
        <f t="shared" si="128"/>
        <v>0</v>
      </c>
      <c r="M395" s="25"/>
      <c r="N395" s="25"/>
      <c r="O395" s="33"/>
    </row>
    <row r="396" spans="1:15">
      <c r="B396" s="87" t="s">
        <v>121</v>
      </c>
      <c r="C396" s="86"/>
      <c r="D396" s="43">
        <f t="shared" ref="D396:I396" si="129">SUM(D394:D395)</f>
        <v>0</v>
      </c>
      <c r="E396" s="44">
        <f t="shared" si="129"/>
        <v>0</v>
      </c>
      <c r="F396" s="44">
        <f t="shared" si="129"/>
        <v>0</v>
      </c>
      <c r="G396" s="44">
        <f t="shared" si="129"/>
        <v>0</v>
      </c>
      <c r="H396" s="44">
        <f t="shared" si="129"/>
        <v>0</v>
      </c>
      <c r="I396" s="44">
        <f t="shared" si="129"/>
        <v>0</v>
      </c>
      <c r="J396" s="44">
        <f t="shared" ref="J396:L396" si="130">SUM(J394:J395)</f>
        <v>0</v>
      </c>
      <c r="K396" s="44">
        <f t="shared" si="130"/>
        <v>0</v>
      </c>
      <c r="L396" s="44">
        <f t="shared" si="130"/>
        <v>0</v>
      </c>
      <c r="M396" s="25"/>
      <c r="N396" s="25"/>
      <c r="O396" s="33"/>
    </row>
    <row r="397" spans="1:15">
      <c r="B397" s="33"/>
      <c r="C397" s="33"/>
      <c r="D397" s="42"/>
      <c r="E397" s="34"/>
      <c r="F397" s="34"/>
      <c r="G397" s="25"/>
      <c r="H397" s="25"/>
      <c r="I397" s="25"/>
      <c r="J397" s="25"/>
      <c r="K397" s="25"/>
      <c r="L397" s="25"/>
      <c r="M397" s="25"/>
      <c r="N397" s="25"/>
      <c r="O397" s="33"/>
    </row>
    <row r="398" spans="1:15" ht="18.75">
      <c r="A398" s="45" t="s">
        <v>30</v>
      </c>
      <c r="C398" s="33"/>
      <c r="D398" s="2">
        <f>'Facility Detail'!$B$1752</f>
        <v>2011</v>
      </c>
      <c r="E398" s="2">
        <f>D398+1</f>
        <v>2012</v>
      </c>
      <c r="F398" s="2">
        <f>E398+1</f>
        <v>2013</v>
      </c>
      <c r="G398" s="2">
        <f>G387</f>
        <v>2014</v>
      </c>
      <c r="H398" s="2">
        <f>H387</f>
        <v>2015</v>
      </c>
      <c r="I398" s="2">
        <f>I387</f>
        <v>2016</v>
      </c>
      <c r="J398" s="2">
        <f>J387</f>
        <v>2017</v>
      </c>
      <c r="K398" s="2">
        <f t="shared" ref="K398:L398" si="131">K387</f>
        <v>2018</v>
      </c>
      <c r="L398" s="2">
        <f t="shared" si="131"/>
        <v>2019</v>
      </c>
      <c r="M398" s="25"/>
      <c r="N398" s="25"/>
      <c r="O398" s="33"/>
    </row>
    <row r="399" spans="1:15">
      <c r="B399" s="88" t="s">
        <v>47</v>
      </c>
      <c r="C399" s="80"/>
      <c r="D399" s="98"/>
      <c r="E399" s="99"/>
      <c r="F399" s="99"/>
      <c r="G399" s="99"/>
      <c r="H399" s="99"/>
      <c r="I399" s="99"/>
      <c r="J399" s="99"/>
      <c r="K399" s="99"/>
      <c r="L399" s="100"/>
      <c r="M399" s="25"/>
      <c r="N399" s="25"/>
      <c r="O399" s="33"/>
    </row>
    <row r="400" spans="1:15">
      <c r="B400" s="89" t="s">
        <v>23</v>
      </c>
      <c r="C400" s="207"/>
      <c r="D400" s="101"/>
      <c r="E400" s="102"/>
      <c r="F400" s="102"/>
      <c r="G400" s="102"/>
      <c r="H400" s="102"/>
      <c r="I400" s="102"/>
      <c r="J400" s="102"/>
      <c r="K400" s="102"/>
      <c r="L400" s="103"/>
      <c r="M400" s="25"/>
      <c r="N400" s="25"/>
      <c r="O400" s="33"/>
    </row>
    <row r="401" spans="1:15">
      <c r="B401" s="104" t="s">
        <v>89</v>
      </c>
      <c r="C401" s="205"/>
      <c r="D401" s="65"/>
      <c r="E401" s="66"/>
      <c r="F401" s="66"/>
      <c r="G401" s="66"/>
      <c r="H401" s="66"/>
      <c r="I401" s="66"/>
      <c r="J401" s="66"/>
      <c r="K401" s="66"/>
      <c r="L401" s="67"/>
      <c r="M401" s="25"/>
      <c r="N401" s="25"/>
      <c r="O401" s="33"/>
    </row>
    <row r="402" spans="1:15">
      <c r="B402" s="36" t="s">
        <v>90</v>
      </c>
      <c r="D402" s="7">
        <f t="shared" ref="D402:I402" si="132">SUM(D399:D401)</f>
        <v>0</v>
      </c>
      <c r="E402" s="7">
        <f t="shared" si="132"/>
        <v>0</v>
      </c>
      <c r="F402" s="7">
        <f t="shared" si="132"/>
        <v>0</v>
      </c>
      <c r="G402" s="7">
        <f t="shared" si="132"/>
        <v>0</v>
      </c>
      <c r="H402" s="7">
        <f t="shared" si="132"/>
        <v>0</v>
      </c>
      <c r="I402" s="7">
        <f t="shared" si="132"/>
        <v>0</v>
      </c>
      <c r="J402" s="7">
        <f t="shared" ref="J402" si="133">SUM(J399:J401)</f>
        <v>0</v>
      </c>
      <c r="K402" s="7">
        <f t="shared" ref="K402:L402" si="134">SUM(K399:K401)</f>
        <v>0</v>
      </c>
      <c r="L402" s="7">
        <f t="shared" si="134"/>
        <v>0</v>
      </c>
      <c r="M402" s="31"/>
      <c r="N402" s="31"/>
      <c r="O402" s="33"/>
    </row>
    <row r="403" spans="1:15">
      <c r="B403" s="6"/>
      <c r="D403" s="7"/>
      <c r="E403" s="7"/>
      <c r="F403" s="7"/>
      <c r="G403" s="31"/>
      <c r="H403" s="31"/>
      <c r="I403" s="31"/>
      <c r="J403" s="31"/>
      <c r="K403" s="31"/>
      <c r="L403" s="31"/>
      <c r="M403" s="31"/>
      <c r="N403" s="31"/>
      <c r="O403" s="33"/>
    </row>
    <row r="404" spans="1:15" ht="18.75">
      <c r="A404" s="9" t="s">
        <v>100</v>
      </c>
      <c r="D404" s="2">
        <f>'Facility Detail'!$B$1752</f>
        <v>2011</v>
      </c>
      <c r="E404" s="2">
        <f t="shared" ref="E404:J404" si="135">D404+1</f>
        <v>2012</v>
      </c>
      <c r="F404" s="2">
        <f t="shared" si="135"/>
        <v>2013</v>
      </c>
      <c r="G404" s="2">
        <f t="shared" si="135"/>
        <v>2014</v>
      </c>
      <c r="H404" s="2">
        <f t="shared" si="135"/>
        <v>2015</v>
      </c>
      <c r="I404" s="2">
        <f t="shared" si="135"/>
        <v>2016</v>
      </c>
      <c r="J404" s="2">
        <f t="shared" si="135"/>
        <v>2017</v>
      </c>
      <c r="K404" s="2">
        <f t="shared" ref="K404" si="136">J404+1</f>
        <v>2018</v>
      </c>
      <c r="L404" s="2">
        <f t="shared" ref="L404" si="137">K404+1</f>
        <v>2019</v>
      </c>
      <c r="M404" s="31"/>
      <c r="N404" s="31"/>
      <c r="O404" s="33"/>
    </row>
    <row r="405" spans="1:15">
      <c r="B405" s="88" t="str">
        <f xml:space="preserve"> 'Facility Detail'!$B$1752 &amp; " Surplus Applied to " &amp; ( 'Facility Detail'!$B$1752 + 1 )</f>
        <v>2011 Surplus Applied to 2012</v>
      </c>
      <c r="C405" s="33"/>
      <c r="D405" s="3"/>
      <c r="E405" s="68">
        <f>D405</f>
        <v>0</v>
      </c>
      <c r="F405" s="152"/>
      <c r="G405" s="152"/>
      <c r="H405" s="152"/>
      <c r="I405" s="152"/>
      <c r="J405" s="152"/>
      <c r="K405" s="152"/>
      <c r="L405" s="69"/>
      <c r="M405" s="31"/>
      <c r="N405" s="31"/>
      <c r="O405" s="33"/>
    </row>
    <row r="406" spans="1:15">
      <c r="B406" s="88" t="str">
        <f xml:space="preserve"> ( 'Facility Detail'!$B$1752 + 1 ) &amp; " Surplus Applied to " &amp; ( 'Facility Detail'!$B$1752 )</f>
        <v>2012 Surplus Applied to 2011</v>
      </c>
      <c r="C406" s="33"/>
      <c r="D406" s="189">
        <f>E406</f>
        <v>0</v>
      </c>
      <c r="E406" s="10"/>
      <c r="F406" s="83"/>
      <c r="G406" s="83"/>
      <c r="H406" s="83"/>
      <c r="I406" s="83"/>
      <c r="J406" s="83"/>
      <c r="K406" s="83"/>
      <c r="L406" s="190"/>
      <c r="M406" s="31"/>
      <c r="N406" s="31"/>
      <c r="O406" s="33"/>
    </row>
    <row r="407" spans="1:15">
      <c r="B407" s="88" t="str">
        <f xml:space="preserve"> ( 'Facility Detail'!$B$1752 + 1 ) &amp; " Surplus Applied to " &amp; ( 'Facility Detail'!$B$1752 + 2 )</f>
        <v>2012 Surplus Applied to 2013</v>
      </c>
      <c r="C407" s="33"/>
      <c r="D407" s="70"/>
      <c r="E407" s="10"/>
      <c r="F407" s="79">
        <f>E407</f>
        <v>0</v>
      </c>
      <c r="G407" s="83"/>
      <c r="H407" s="83"/>
      <c r="I407" s="83"/>
      <c r="J407" s="83"/>
      <c r="K407" s="83"/>
      <c r="L407" s="190"/>
      <c r="M407" s="31"/>
      <c r="N407" s="31"/>
      <c r="O407" s="33"/>
    </row>
    <row r="408" spans="1:15">
      <c r="B408" s="88" t="str">
        <f xml:space="preserve"> ( 'Facility Detail'!$B$1752 + 2 ) &amp; " Surplus Applied to " &amp; ( 'Facility Detail'!$B$1752 + 1 )</f>
        <v>2013 Surplus Applied to 2012</v>
      </c>
      <c r="C408" s="33"/>
      <c r="D408" s="70"/>
      <c r="E408" s="79">
        <f>F408</f>
        <v>0</v>
      </c>
      <c r="F408" s="188"/>
      <c r="G408" s="83"/>
      <c r="H408" s="83"/>
      <c r="I408" s="83"/>
      <c r="J408" s="83"/>
      <c r="K408" s="83"/>
      <c r="L408" s="190"/>
      <c r="M408" s="31"/>
      <c r="N408" s="31"/>
      <c r="O408" s="33"/>
    </row>
    <row r="409" spans="1:15">
      <c r="B409" s="88" t="str">
        <f xml:space="preserve"> ( 'Facility Detail'!$B$1752 + 2 ) &amp; " Surplus Applied to " &amp; ( 'Facility Detail'!$B$1752 + 3 )</f>
        <v>2013 Surplus Applied to 2014</v>
      </c>
      <c r="C409" s="33"/>
      <c r="D409" s="70"/>
      <c r="E409" s="172"/>
      <c r="F409" s="10"/>
      <c r="G409" s="173">
        <f>F409</f>
        <v>0</v>
      </c>
      <c r="H409" s="83"/>
      <c r="I409" s="83"/>
      <c r="J409" s="83"/>
      <c r="K409" s="83"/>
      <c r="L409" s="190"/>
      <c r="M409" s="31"/>
      <c r="N409" s="31"/>
      <c r="O409" s="33"/>
    </row>
    <row r="410" spans="1:15">
      <c r="B410" s="88" t="str">
        <f xml:space="preserve"> ( 'Facility Detail'!$B$1752 + 3 ) &amp; " Surplus Applied to " &amp; ( 'Facility Detail'!$B$1752 + 2 )</f>
        <v>2014 Surplus Applied to 2013</v>
      </c>
      <c r="C410" s="33"/>
      <c r="D410" s="70"/>
      <c r="E410" s="172"/>
      <c r="F410" s="79">
        <f>G410</f>
        <v>0</v>
      </c>
      <c r="G410" s="10"/>
      <c r="H410" s="83"/>
      <c r="I410" s="83"/>
      <c r="J410" s="83" t="s">
        <v>193</v>
      </c>
      <c r="K410" s="83" t="s">
        <v>193</v>
      </c>
      <c r="L410" s="190" t="s">
        <v>193</v>
      </c>
      <c r="M410" s="31"/>
      <c r="N410" s="31"/>
      <c r="O410" s="33"/>
    </row>
    <row r="411" spans="1:15">
      <c r="B411" s="88" t="str">
        <f xml:space="preserve"> ( 'Facility Detail'!$B$1752 + 3 ) &amp; " Surplus Applied to " &amp; ( 'Facility Detail'!$B$1752 + 4 )</f>
        <v>2014 Surplus Applied to 2015</v>
      </c>
      <c r="C411" s="33"/>
      <c r="D411" s="70"/>
      <c r="E411" s="172"/>
      <c r="F411" s="172"/>
      <c r="G411" s="10"/>
      <c r="H411" s="173">
        <f>G411</f>
        <v>0</v>
      </c>
      <c r="I411" s="172"/>
      <c r="J411" s="172"/>
      <c r="K411" s="172"/>
      <c r="L411" s="176"/>
      <c r="M411" s="31"/>
      <c r="N411" s="31"/>
      <c r="O411" s="33"/>
    </row>
    <row r="412" spans="1:15">
      <c r="B412" s="88" t="str">
        <f xml:space="preserve"> ( 'Facility Detail'!$B$1752 + 4 ) &amp; " Surplus Applied to " &amp; ( 'Facility Detail'!$B$1752 + 3 )</f>
        <v>2015 Surplus Applied to 2014</v>
      </c>
      <c r="C412" s="33"/>
      <c r="D412" s="70"/>
      <c r="E412" s="172"/>
      <c r="F412" s="172"/>
      <c r="G412" s="79">
        <f>H412</f>
        <v>0</v>
      </c>
      <c r="H412" s="175"/>
      <c r="I412" s="172"/>
      <c r="J412" s="172"/>
      <c r="K412" s="172"/>
      <c r="L412" s="176"/>
      <c r="M412" s="31"/>
      <c r="N412" s="31"/>
      <c r="O412" s="33"/>
    </row>
    <row r="413" spans="1:15">
      <c r="B413" s="88" t="str">
        <f xml:space="preserve"> ( 'Facility Detail'!$B$1752 + 4 ) &amp; " Surplus Applied to " &amp; ( 'Facility Detail'!$B$1752 + 5 )</f>
        <v>2015 Surplus Applied to 2016</v>
      </c>
      <c r="C413" s="33"/>
      <c r="D413" s="70"/>
      <c r="E413" s="172"/>
      <c r="F413" s="172"/>
      <c r="G413" s="172"/>
      <c r="H413" s="175"/>
      <c r="I413" s="173">
        <f>H413</f>
        <v>0</v>
      </c>
      <c r="J413" s="83"/>
      <c r="K413" s="83"/>
      <c r="L413" s="190"/>
      <c r="M413" s="31"/>
      <c r="N413" s="31"/>
      <c r="O413" s="33"/>
    </row>
    <row r="414" spans="1:15">
      <c r="B414" s="88" t="str">
        <f xml:space="preserve"> ( 'Facility Detail'!$B$1752 + 5 ) &amp; " Surplus Applied to " &amp; ( 'Facility Detail'!$B$1752 + 4 )</f>
        <v>2016 Surplus Applied to 2015</v>
      </c>
      <c r="C414" s="33"/>
      <c r="D414" s="70"/>
      <c r="E414" s="172"/>
      <c r="F414" s="172"/>
      <c r="G414" s="172"/>
      <c r="H414" s="79">
        <f>I414</f>
        <v>0</v>
      </c>
      <c r="I414" s="175"/>
      <c r="J414" s="83"/>
      <c r="K414" s="83"/>
      <c r="L414" s="190"/>
      <c r="M414" s="31"/>
      <c r="N414" s="31"/>
      <c r="O414" s="33"/>
    </row>
    <row r="415" spans="1:15">
      <c r="B415" s="88" t="str">
        <f xml:space="preserve"> ( 'Facility Detail'!$B$1752 + 5 ) &amp; " Surplus Applied to " &amp; ( 'Facility Detail'!$B$1752 + 6 )</f>
        <v>2016 Surplus Applied to 2017</v>
      </c>
      <c r="C415" s="33"/>
      <c r="D415" s="70"/>
      <c r="E415" s="172"/>
      <c r="F415" s="172"/>
      <c r="G415" s="172"/>
      <c r="H415" s="172"/>
      <c r="I415" s="175">
        <f>J415</f>
        <v>0</v>
      </c>
      <c r="J415" s="174"/>
      <c r="K415" s="83"/>
      <c r="L415" s="190"/>
      <c r="M415" s="31"/>
      <c r="N415" s="31"/>
      <c r="O415" s="33"/>
    </row>
    <row r="416" spans="1:15">
      <c r="B416" s="88" t="s">
        <v>191</v>
      </c>
      <c r="C416" s="33"/>
      <c r="D416" s="70"/>
      <c r="E416" s="172"/>
      <c r="F416" s="172"/>
      <c r="G416" s="172"/>
      <c r="H416" s="172"/>
      <c r="I416" s="174">
        <f>J415</f>
        <v>0</v>
      </c>
      <c r="J416" s="175"/>
      <c r="K416" s="172"/>
      <c r="L416" s="190"/>
      <c r="M416" s="31"/>
      <c r="N416" s="31"/>
      <c r="O416" s="33"/>
    </row>
    <row r="417" spans="1:15">
      <c r="B417" s="88" t="s">
        <v>192</v>
      </c>
      <c r="C417" s="33"/>
      <c r="D417" s="70"/>
      <c r="E417" s="172"/>
      <c r="F417" s="172"/>
      <c r="G417" s="172"/>
      <c r="H417" s="172"/>
      <c r="I417" s="172"/>
      <c r="J417" s="175">
        <v>0</v>
      </c>
      <c r="K417" s="79">
        <v>0</v>
      </c>
      <c r="L417" s="176"/>
      <c r="M417" s="31"/>
      <c r="N417" s="31"/>
      <c r="O417" s="33"/>
    </row>
    <row r="418" spans="1:15">
      <c r="B418" s="88" t="s">
        <v>226</v>
      </c>
      <c r="C418" s="33"/>
      <c r="D418" s="70"/>
      <c r="E418" s="172"/>
      <c r="F418" s="172"/>
      <c r="G418" s="172"/>
      <c r="H418" s="172"/>
      <c r="I418" s="172"/>
      <c r="J418" s="174"/>
      <c r="K418" s="175"/>
      <c r="L418" s="176"/>
      <c r="M418" s="31"/>
      <c r="N418" s="31"/>
      <c r="O418" s="33"/>
    </row>
    <row r="419" spans="1:15">
      <c r="B419" s="88" t="s">
        <v>227</v>
      </c>
      <c r="C419" s="33"/>
      <c r="D419" s="71"/>
      <c r="E419" s="154"/>
      <c r="F419" s="154"/>
      <c r="G419" s="154"/>
      <c r="H419" s="154"/>
      <c r="I419" s="154"/>
      <c r="J419" s="154"/>
      <c r="K419" s="177"/>
      <c r="L419" s="332"/>
      <c r="M419" s="31"/>
      <c r="N419" s="31"/>
      <c r="O419" s="33"/>
    </row>
    <row r="420" spans="1:15">
      <c r="B420" s="36" t="s">
        <v>17</v>
      </c>
      <c r="D420" s="7">
        <f xml:space="preserve"> D406 - D405</f>
        <v>0</v>
      </c>
      <c r="E420" s="7">
        <f xml:space="preserve"> E405 + E408 - E407 - E406</f>
        <v>0</v>
      </c>
      <c r="F420" s="7">
        <f>F407 - F408 -F409</f>
        <v>0</v>
      </c>
      <c r="G420" s="7">
        <f>G409-G410-G411</f>
        <v>0</v>
      </c>
      <c r="H420" s="7">
        <f>H411</f>
        <v>0</v>
      </c>
      <c r="I420" s="7">
        <f>I411</f>
        <v>0</v>
      </c>
      <c r="J420" s="7">
        <f>J415-J416-J417</f>
        <v>0</v>
      </c>
      <c r="K420" s="7">
        <f t="shared" ref="K420:L420" si="138">K415-K416-K417</f>
        <v>0</v>
      </c>
      <c r="L420" s="7">
        <f t="shared" si="138"/>
        <v>0</v>
      </c>
      <c r="M420" s="31"/>
      <c r="N420" s="31"/>
      <c r="O420" s="33"/>
    </row>
    <row r="421" spans="1:15">
      <c r="B421" s="6"/>
      <c r="D421" s="7"/>
      <c r="E421" s="7"/>
      <c r="F421" s="7"/>
      <c r="G421" s="7"/>
      <c r="H421" s="7"/>
      <c r="I421" s="7"/>
      <c r="J421" s="7"/>
      <c r="K421" s="7"/>
      <c r="L421" s="7"/>
      <c r="M421" s="31"/>
      <c r="N421" s="31"/>
      <c r="O421" s="33"/>
    </row>
    <row r="422" spans="1:15">
      <c r="B422" s="85" t="s">
        <v>12</v>
      </c>
      <c r="C422" s="80"/>
      <c r="D422" s="111"/>
      <c r="E422" s="112"/>
      <c r="F422" s="112"/>
      <c r="G422" s="112"/>
      <c r="H422" s="185"/>
      <c r="I422" s="112"/>
      <c r="J422" s="112"/>
      <c r="K422" s="112"/>
      <c r="L422" s="113"/>
      <c r="M422" s="31"/>
      <c r="N422" s="31"/>
      <c r="O422" s="33"/>
    </row>
    <row r="423" spans="1:15">
      <c r="B423" s="6"/>
      <c r="D423" s="7"/>
      <c r="E423" s="7"/>
      <c r="F423" s="7"/>
      <c r="G423" s="7"/>
      <c r="H423" s="7"/>
      <c r="I423" s="7"/>
      <c r="J423" s="7"/>
      <c r="K423" s="7"/>
      <c r="L423" s="7"/>
      <c r="M423" s="31"/>
      <c r="N423" s="31"/>
      <c r="O423" s="33"/>
    </row>
    <row r="424" spans="1:15" ht="18.75">
      <c r="A424" s="45" t="s">
        <v>26</v>
      </c>
      <c r="C424" s="80"/>
      <c r="D424" s="49">
        <f t="shared" ref="D424:L424" si="139" xml:space="preserve"> D391 + D396 - D402 + D420 + D422</f>
        <v>0</v>
      </c>
      <c r="E424" s="50">
        <f t="shared" si="139"/>
        <v>328</v>
      </c>
      <c r="F424" s="50">
        <f t="shared" si="139"/>
        <v>293</v>
      </c>
      <c r="G424" s="50">
        <f t="shared" si="139"/>
        <v>278</v>
      </c>
      <c r="H424" s="186">
        <f t="shared" si="139"/>
        <v>226</v>
      </c>
      <c r="I424" s="186">
        <f t="shared" si="139"/>
        <v>329</v>
      </c>
      <c r="J424" s="186">
        <f t="shared" si="139"/>
        <v>346</v>
      </c>
      <c r="K424" s="390"/>
      <c r="L424" s="51">
        <f t="shared" si="139"/>
        <v>0</v>
      </c>
      <c r="M424" s="31"/>
      <c r="N424" s="31"/>
      <c r="O424" s="33"/>
    </row>
    <row r="425" spans="1:15">
      <c r="B425" s="6"/>
      <c r="D425" s="7"/>
      <c r="E425" s="7"/>
      <c r="F425" s="7"/>
      <c r="G425" s="31"/>
      <c r="H425" s="31"/>
      <c r="I425" s="31"/>
      <c r="J425" s="31"/>
      <c r="K425" s="31"/>
      <c r="L425" s="31"/>
      <c r="M425" s="31"/>
      <c r="N425" s="31"/>
      <c r="O425" s="33"/>
    </row>
    <row r="426" spans="1:15" ht="15.75" thickBot="1">
      <c r="M426" s="33"/>
      <c r="N426" s="33"/>
      <c r="O426" s="33"/>
    </row>
    <row r="427" spans="1:15">
      <c r="A427" s="8"/>
      <c r="B427" s="8"/>
      <c r="C427" s="8"/>
      <c r="D427" s="8"/>
      <c r="E427" s="8"/>
      <c r="F427" s="8"/>
      <c r="G427" s="8"/>
      <c r="H427" s="8"/>
      <c r="I427" s="8"/>
      <c r="J427" s="8"/>
      <c r="K427" s="8"/>
      <c r="L427" s="8"/>
      <c r="M427" s="33"/>
      <c r="N427" s="33"/>
      <c r="O427" s="33"/>
    </row>
    <row r="428" spans="1:15">
      <c r="B428" s="33"/>
      <c r="C428" s="33"/>
      <c r="D428" s="33"/>
      <c r="E428" s="33"/>
      <c r="F428" s="33"/>
      <c r="G428" s="33"/>
      <c r="H428" s="33"/>
      <c r="I428" s="33"/>
      <c r="J428" s="33"/>
      <c r="K428" s="33"/>
      <c r="L428" s="33"/>
      <c r="M428" s="33"/>
      <c r="N428" s="33"/>
      <c r="O428" s="33"/>
    </row>
    <row r="429" spans="1:15" ht="21">
      <c r="A429" s="14" t="s">
        <v>4</v>
      </c>
      <c r="B429" s="14"/>
      <c r="C429" s="46" t="str">
        <f>B11</f>
        <v>Lemolo 1 (Upgrade 2003)</v>
      </c>
      <c r="D429" s="47"/>
      <c r="E429" s="24"/>
      <c r="F429" s="24"/>
      <c r="M429" s="33"/>
      <c r="N429" s="33"/>
      <c r="O429" s="33"/>
    </row>
    <row r="430" spans="1:15">
      <c r="M430" s="33"/>
      <c r="N430" s="33"/>
      <c r="O430" s="33"/>
    </row>
    <row r="431" spans="1:15" ht="18.75">
      <c r="A431" s="9" t="s">
        <v>21</v>
      </c>
      <c r="B431" s="9"/>
      <c r="D431" s="2">
        <f>'Facility Detail'!$B$1752</f>
        <v>2011</v>
      </c>
      <c r="E431" s="2">
        <f t="shared" ref="E431:J431" si="140">D431+1</f>
        <v>2012</v>
      </c>
      <c r="F431" s="2">
        <f t="shared" si="140"/>
        <v>2013</v>
      </c>
      <c r="G431" s="2">
        <f t="shared" si="140"/>
        <v>2014</v>
      </c>
      <c r="H431" s="2">
        <f t="shared" si="140"/>
        <v>2015</v>
      </c>
      <c r="I431" s="2">
        <f t="shared" si="140"/>
        <v>2016</v>
      </c>
      <c r="J431" s="2">
        <f t="shared" si="140"/>
        <v>2017</v>
      </c>
      <c r="K431" s="2">
        <f t="shared" ref="K431" si="141">J431+1</f>
        <v>2018</v>
      </c>
      <c r="L431" s="2">
        <f t="shared" ref="L431" si="142">K431+1</f>
        <v>2019</v>
      </c>
      <c r="M431" s="26"/>
      <c r="N431" s="26"/>
      <c r="O431" s="33"/>
    </row>
    <row r="432" spans="1:15">
      <c r="B432" s="88" t="str">
        <f>"Total MWh Produced / Purchased from " &amp; C429</f>
        <v>Total MWh Produced / Purchased from Lemolo 1 (Upgrade 2003)</v>
      </c>
      <c r="C432" s="80"/>
      <c r="D432" s="3"/>
      <c r="E432" s="4">
        <v>17021.001199999999</v>
      </c>
      <c r="F432" s="4">
        <v>12661.3536</v>
      </c>
      <c r="G432" s="4">
        <v>14311</v>
      </c>
      <c r="H432" s="4">
        <v>12553</v>
      </c>
      <c r="I432" s="99">
        <v>13621</v>
      </c>
      <c r="J432" s="322">
        <v>17773</v>
      </c>
      <c r="K432" s="391"/>
      <c r="L432" s="334"/>
      <c r="M432" s="25"/>
      <c r="N432" s="25"/>
      <c r="O432" s="33"/>
    </row>
    <row r="433" spans="1:15">
      <c r="B433" s="88" t="s">
        <v>25</v>
      </c>
      <c r="C433" s="80"/>
      <c r="D433" s="62"/>
      <c r="E433" s="63">
        <v>1</v>
      </c>
      <c r="F433" s="63">
        <v>1</v>
      </c>
      <c r="G433" s="63">
        <v>1</v>
      </c>
      <c r="H433" s="63">
        <v>1</v>
      </c>
      <c r="I433" s="63">
        <v>1</v>
      </c>
      <c r="J433" s="63">
        <v>1</v>
      </c>
      <c r="K433" s="63">
        <v>1</v>
      </c>
      <c r="L433" s="64">
        <v>1</v>
      </c>
      <c r="M433" s="25"/>
      <c r="N433" s="25"/>
      <c r="O433" s="33"/>
    </row>
    <row r="434" spans="1:15">
      <c r="B434" s="88" t="s">
        <v>20</v>
      </c>
      <c r="C434" s="80"/>
      <c r="D434" s="54"/>
      <c r="E434" s="55">
        <v>7.9619999999999996E-2</v>
      </c>
      <c r="F434" s="55">
        <v>7.8747999999999999E-2</v>
      </c>
      <c r="G434" s="55">
        <v>8.0235000000000001E-2</v>
      </c>
      <c r="H434" s="55">
        <v>8.0535999999999996E-2</v>
      </c>
      <c r="I434" s="275">
        <v>8.1698151927344531E-2</v>
      </c>
      <c r="J434" s="275">
        <v>8.0833713568703974E-2</v>
      </c>
      <c r="K434" s="275">
        <v>7.9769759999999995E-2</v>
      </c>
      <c r="L434" s="335"/>
      <c r="M434" s="25"/>
      <c r="N434" s="25"/>
      <c r="O434" s="33"/>
    </row>
    <row r="435" spans="1:15">
      <c r="B435" s="85" t="s">
        <v>22</v>
      </c>
      <c r="C435" s="86"/>
      <c r="D435" s="41">
        <f xml:space="preserve"> ROUND(D432 * D433 * D434,0)</f>
        <v>0</v>
      </c>
      <c r="E435" s="41">
        <f t="shared" ref="E435:I435" si="143" xml:space="preserve"> ROUND(E432 * E433 * E434,0)</f>
        <v>1355</v>
      </c>
      <c r="F435" s="41">
        <f t="shared" si="143"/>
        <v>997</v>
      </c>
      <c r="G435" s="41">
        <f t="shared" si="143"/>
        <v>1148</v>
      </c>
      <c r="H435" s="41">
        <f t="shared" si="143"/>
        <v>1011</v>
      </c>
      <c r="I435" s="41">
        <f t="shared" si="143"/>
        <v>1113</v>
      </c>
      <c r="J435" s="337">
        <v>1438</v>
      </c>
      <c r="K435" s="380"/>
      <c r="L435" s="337">
        <f t="shared" ref="L435" si="144" xml:space="preserve"> ROUND(L432 * L433 * L434,0)</f>
        <v>0</v>
      </c>
      <c r="M435" s="25"/>
      <c r="N435" s="25"/>
      <c r="O435" s="33"/>
    </row>
    <row r="436" spans="1:15">
      <c r="B436" s="24"/>
      <c r="C436" s="33"/>
      <c r="D436" s="40"/>
      <c r="E436" s="40"/>
      <c r="F436" s="40"/>
      <c r="G436" s="25"/>
      <c r="H436" s="25"/>
      <c r="I436" s="25"/>
      <c r="J436" s="25"/>
      <c r="K436" s="25"/>
      <c r="L436" s="25"/>
      <c r="M436" s="25"/>
      <c r="N436" s="25"/>
      <c r="O436" s="33"/>
    </row>
    <row r="437" spans="1:15" ht="18.75">
      <c r="A437" s="48" t="s">
        <v>119</v>
      </c>
      <c r="C437" s="33"/>
      <c r="D437" s="2">
        <f>'Facility Detail'!$B$1752</f>
        <v>2011</v>
      </c>
      <c r="E437" s="2">
        <f>D437+1</f>
        <v>2012</v>
      </c>
      <c r="F437" s="2">
        <f>E437+1</f>
        <v>2013</v>
      </c>
      <c r="G437" s="2">
        <f>G431</f>
        <v>2014</v>
      </c>
      <c r="H437" s="2">
        <f>H431</f>
        <v>2015</v>
      </c>
      <c r="I437" s="2">
        <f>I431</f>
        <v>2016</v>
      </c>
      <c r="J437" s="2">
        <f>J431</f>
        <v>2017</v>
      </c>
      <c r="K437" s="2">
        <f t="shared" ref="K437:L437" si="145">K431</f>
        <v>2018</v>
      </c>
      <c r="L437" s="2">
        <f t="shared" si="145"/>
        <v>2019</v>
      </c>
      <c r="M437" s="25"/>
      <c r="N437" s="25"/>
      <c r="O437" s="33"/>
    </row>
    <row r="438" spans="1:15">
      <c r="B438" s="88" t="s">
        <v>10</v>
      </c>
      <c r="C438" s="80"/>
      <c r="D438" s="57">
        <f>IF( $E11 = "Eligible", D435 * 'Facility Detail'!$B$1749, 0 )</f>
        <v>0</v>
      </c>
      <c r="E438" s="11">
        <f>IF( $E11 = "Eligible", E435 * 'Facility Detail'!$B$1749, 0 )</f>
        <v>0</v>
      </c>
      <c r="F438" s="11">
        <f>IF( $E11 = "Eligible", F435 * 'Facility Detail'!$B$1749, 0 )</f>
        <v>0</v>
      </c>
      <c r="G438" s="11">
        <v>0</v>
      </c>
      <c r="H438" s="194">
        <v>0</v>
      </c>
      <c r="I438" s="11">
        <v>0</v>
      </c>
      <c r="J438" s="11">
        <v>0</v>
      </c>
      <c r="K438" s="11">
        <v>0</v>
      </c>
      <c r="L438" s="12">
        <v>0</v>
      </c>
      <c r="M438" s="25"/>
      <c r="N438" s="25"/>
      <c r="O438" s="33"/>
    </row>
    <row r="439" spans="1:15">
      <c r="B439" s="88" t="s">
        <v>6</v>
      </c>
      <c r="C439" s="80"/>
      <c r="D439" s="58">
        <f>IF( $F11 = "Eligible", D435, 0 )</f>
        <v>0</v>
      </c>
      <c r="E439" s="59">
        <f>IF( $F11 = "Eligible", E435, 0 )</f>
        <v>0</v>
      </c>
      <c r="F439" s="59">
        <f>IF( $F11 = "Eligible", F435, 0 )</f>
        <v>0</v>
      </c>
      <c r="G439" s="59">
        <f>IF( $E385 = "Eligible", G435, 0 )</f>
        <v>0</v>
      </c>
      <c r="H439" s="59">
        <f>IF( $E385 = "Eligible", H435, 0 )</f>
        <v>0</v>
      </c>
      <c r="I439" s="59">
        <f>IF( $E385 = "Eligible", I435, 0 )</f>
        <v>0</v>
      </c>
      <c r="J439" s="59">
        <f>IF( $E385 = "Eligible", J435, 0 )</f>
        <v>0</v>
      </c>
      <c r="K439" s="59">
        <f t="shared" ref="K439:L439" si="146">IF( $E385 = "Eligible", K435, 0 )</f>
        <v>0</v>
      </c>
      <c r="L439" s="60">
        <f t="shared" si="146"/>
        <v>0</v>
      </c>
      <c r="M439" s="25"/>
      <c r="N439" s="25"/>
      <c r="O439" s="33"/>
    </row>
    <row r="440" spans="1:15">
      <c r="B440" s="87" t="s">
        <v>121</v>
      </c>
      <c r="C440" s="86"/>
      <c r="D440" s="43">
        <f t="shared" ref="D440:J440" si="147">SUM(D438:D439)</f>
        <v>0</v>
      </c>
      <c r="E440" s="44">
        <f t="shared" si="147"/>
        <v>0</v>
      </c>
      <c r="F440" s="44">
        <f t="shared" si="147"/>
        <v>0</v>
      </c>
      <c r="G440" s="44">
        <f t="shared" si="147"/>
        <v>0</v>
      </c>
      <c r="H440" s="44">
        <f t="shared" si="147"/>
        <v>0</v>
      </c>
      <c r="I440" s="44">
        <f t="shared" si="147"/>
        <v>0</v>
      </c>
      <c r="J440" s="44">
        <f t="shared" si="147"/>
        <v>0</v>
      </c>
      <c r="K440" s="44">
        <f t="shared" ref="K440:L440" si="148">SUM(K438:K439)</f>
        <v>0</v>
      </c>
      <c r="L440" s="44">
        <f t="shared" si="148"/>
        <v>0</v>
      </c>
      <c r="M440" s="25"/>
      <c r="N440" s="25"/>
      <c r="O440" s="33"/>
    </row>
    <row r="441" spans="1:15">
      <c r="B441" s="33"/>
      <c r="C441" s="33"/>
      <c r="D441" s="42"/>
      <c r="E441" s="34"/>
      <c r="F441" s="34"/>
      <c r="G441" s="25"/>
      <c r="H441" s="25"/>
      <c r="I441" s="25"/>
      <c r="J441" s="25"/>
      <c r="K441" s="25"/>
      <c r="L441" s="25"/>
      <c r="M441" s="25"/>
      <c r="N441" s="25"/>
      <c r="O441" s="33"/>
    </row>
    <row r="442" spans="1:15" ht="18.75">
      <c r="A442" s="45" t="s">
        <v>30</v>
      </c>
      <c r="C442" s="33"/>
      <c r="D442" s="2">
        <f>'Facility Detail'!$B$1752</f>
        <v>2011</v>
      </c>
      <c r="E442" s="2">
        <f>D442+1</f>
        <v>2012</v>
      </c>
      <c r="F442" s="2">
        <f>E442+1</f>
        <v>2013</v>
      </c>
      <c r="G442" s="2">
        <f>G431</f>
        <v>2014</v>
      </c>
      <c r="H442" s="2">
        <f>H431</f>
        <v>2015</v>
      </c>
      <c r="I442" s="2">
        <f>I431</f>
        <v>2016</v>
      </c>
      <c r="J442" s="2">
        <f>J431</f>
        <v>2017</v>
      </c>
      <c r="K442" s="2">
        <f t="shared" ref="K442:L442" si="149">K431</f>
        <v>2018</v>
      </c>
      <c r="L442" s="2">
        <f t="shared" si="149"/>
        <v>2019</v>
      </c>
      <c r="M442" s="25"/>
      <c r="N442" s="25"/>
      <c r="O442" s="33"/>
    </row>
    <row r="443" spans="1:15">
      <c r="B443" s="88" t="s">
        <v>47</v>
      </c>
      <c r="C443" s="80"/>
      <c r="D443" s="98"/>
      <c r="E443" s="99"/>
      <c r="F443" s="99"/>
      <c r="G443" s="99"/>
      <c r="H443" s="99"/>
      <c r="I443" s="99"/>
      <c r="J443" s="99"/>
      <c r="K443" s="99"/>
      <c r="L443" s="100"/>
      <c r="M443" s="25"/>
      <c r="N443" s="25"/>
      <c r="O443" s="33"/>
    </row>
    <row r="444" spans="1:15">
      <c r="B444" s="89" t="s">
        <v>23</v>
      </c>
      <c r="C444" s="207"/>
      <c r="D444" s="101"/>
      <c r="E444" s="102"/>
      <c r="F444" s="102"/>
      <c r="G444" s="102"/>
      <c r="H444" s="102"/>
      <c r="I444" s="102"/>
      <c r="J444" s="102"/>
      <c r="K444" s="102"/>
      <c r="L444" s="103"/>
      <c r="M444" s="25"/>
      <c r="N444" s="25"/>
      <c r="O444" s="33"/>
    </row>
    <row r="445" spans="1:15">
      <c r="B445" s="104" t="s">
        <v>89</v>
      </c>
      <c r="C445" s="205"/>
      <c r="D445" s="65"/>
      <c r="E445" s="66"/>
      <c r="F445" s="66"/>
      <c r="G445" s="66"/>
      <c r="H445" s="66"/>
      <c r="I445" s="66"/>
      <c r="J445" s="66"/>
      <c r="K445" s="66"/>
      <c r="L445" s="67"/>
      <c r="M445" s="25"/>
      <c r="N445" s="25"/>
      <c r="O445" s="33"/>
    </row>
    <row r="446" spans="1:15">
      <c r="B446" s="36" t="s">
        <v>90</v>
      </c>
      <c r="D446" s="7">
        <f t="shared" ref="D446:I446" si="150">SUM(D443:D445)</f>
        <v>0</v>
      </c>
      <c r="E446" s="7">
        <f t="shared" si="150"/>
        <v>0</v>
      </c>
      <c r="F446" s="7">
        <f t="shared" si="150"/>
        <v>0</v>
      </c>
      <c r="G446" s="7">
        <f t="shared" si="150"/>
        <v>0</v>
      </c>
      <c r="H446" s="7">
        <f t="shared" si="150"/>
        <v>0</v>
      </c>
      <c r="I446" s="7">
        <f t="shared" si="150"/>
        <v>0</v>
      </c>
      <c r="J446" s="7">
        <f t="shared" ref="J446:L446" si="151">SUM(J443:J445)</f>
        <v>0</v>
      </c>
      <c r="K446" s="7">
        <f t="shared" si="151"/>
        <v>0</v>
      </c>
      <c r="L446" s="7">
        <f t="shared" si="151"/>
        <v>0</v>
      </c>
      <c r="M446" s="31"/>
      <c r="N446" s="31"/>
      <c r="O446" s="33"/>
    </row>
    <row r="447" spans="1:15">
      <c r="B447" s="6"/>
      <c r="D447" s="7"/>
      <c r="E447" s="7"/>
      <c r="F447" s="7"/>
      <c r="G447" s="31"/>
      <c r="H447" s="31"/>
      <c r="I447" s="31"/>
      <c r="J447" s="31"/>
      <c r="K447" s="31"/>
      <c r="L447" s="31"/>
      <c r="M447" s="31"/>
      <c r="N447" s="31"/>
      <c r="O447" s="33"/>
    </row>
    <row r="448" spans="1:15" ht="18.75">
      <c r="A448" s="9" t="s">
        <v>100</v>
      </c>
      <c r="D448" s="2">
        <f>'Facility Detail'!$B$1752</f>
        <v>2011</v>
      </c>
      <c r="E448" s="2">
        <f t="shared" ref="E448:J448" si="152">D448+1</f>
        <v>2012</v>
      </c>
      <c r="F448" s="2">
        <f t="shared" si="152"/>
        <v>2013</v>
      </c>
      <c r="G448" s="2">
        <f t="shared" si="152"/>
        <v>2014</v>
      </c>
      <c r="H448" s="2">
        <f t="shared" si="152"/>
        <v>2015</v>
      </c>
      <c r="I448" s="2">
        <f t="shared" si="152"/>
        <v>2016</v>
      </c>
      <c r="J448" s="2">
        <f t="shared" si="152"/>
        <v>2017</v>
      </c>
      <c r="K448" s="2">
        <f t="shared" ref="K448" si="153">J448+1</f>
        <v>2018</v>
      </c>
      <c r="L448" s="2">
        <f t="shared" ref="L448" si="154">K448+1</f>
        <v>2019</v>
      </c>
      <c r="M448" s="31"/>
      <c r="N448" s="31"/>
      <c r="O448" s="33"/>
    </row>
    <row r="449" spans="2:15">
      <c r="B449" s="88" t="str">
        <f xml:space="preserve"> 'Facility Detail'!$B$1752 &amp; " Surplus Applied to " &amp; ( 'Facility Detail'!$B$1752 + 1 )</f>
        <v>2011 Surplus Applied to 2012</v>
      </c>
      <c r="C449" s="33"/>
      <c r="D449" s="3"/>
      <c r="E449" s="68">
        <f>D449</f>
        <v>0</v>
      </c>
      <c r="F449" s="152"/>
      <c r="G449" s="152"/>
      <c r="H449" s="152"/>
      <c r="I449" s="152"/>
      <c r="J449" s="152"/>
      <c r="K449" s="152"/>
      <c r="L449" s="69"/>
      <c r="M449" s="31"/>
      <c r="N449" s="31"/>
      <c r="O449" s="33"/>
    </row>
    <row r="450" spans="2:15">
      <c r="B450" s="88" t="str">
        <f xml:space="preserve"> ( 'Facility Detail'!$B$1752 + 1 ) &amp; " Surplus Applied to " &amp; ( 'Facility Detail'!$B$1752 )</f>
        <v>2012 Surplus Applied to 2011</v>
      </c>
      <c r="C450" s="33"/>
      <c r="D450" s="189">
        <f>E450</f>
        <v>0</v>
      </c>
      <c r="E450" s="10"/>
      <c r="F450" s="83"/>
      <c r="G450" s="83"/>
      <c r="H450" s="83"/>
      <c r="I450" s="83"/>
      <c r="J450" s="83"/>
      <c r="K450" s="83"/>
      <c r="L450" s="190"/>
      <c r="M450" s="31"/>
      <c r="N450" s="31"/>
      <c r="O450" s="33"/>
    </row>
    <row r="451" spans="2:15">
      <c r="B451" s="88" t="str">
        <f xml:space="preserve"> ( 'Facility Detail'!$B$1752 + 1 ) &amp; " Surplus Applied to " &amp; ( 'Facility Detail'!$B$1752 + 2 )</f>
        <v>2012 Surplus Applied to 2013</v>
      </c>
      <c r="C451" s="33"/>
      <c r="D451" s="70"/>
      <c r="E451" s="10"/>
      <c r="F451" s="79">
        <f>E451</f>
        <v>0</v>
      </c>
      <c r="G451" s="83"/>
      <c r="H451" s="83"/>
      <c r="I451" s="83"/>
      <c r="J451" s="83"/>
      <c r="K451" s="83"/>
      <c r="L451" s="190"/>
      <c r="M451" s="31"/>
      <c r="N451" s="31"/>
      <c r="O451" s="33"/>
    </row>
    <row r="452" spans="2:15">
      <c r="B452" s="88" t="str">
        <f xml:space="preserve"> ( 'Facility Detail'!$B$1752 + 2 ) &amp; " Surplus Applied to " &amp; ( 'Facility Detail'!$B$1752 + 1 )</f>
        <v>2013 Surplus Applied to 2012</v>
      </c>
      <c r="C452" s="33"/>
      <c r="D452" s="70"/>
      <c r="E452" s="79">
        <f>F452</f>
        <v>0</v>
      </c>
      <c r="F452" s="188"/>
      <c r="G452" s="83"/>
      <c r="H452" s="83"/>
      <c r="I452" s="83"/>
      <c r="J452" s="83"/>
      <c r="K452" s="83"/>
      <c r="L452" s="190"/>
      <c r="M452" s="31"/>
      <c r="N452" s="31"/>
      <c r="O452" s="33"/>
    </row>
    <row r="453" spans="2:15">
      <c r="B453" s="88" t="str">
        <f xml:space="preserve"> ( 'Facility Detail'!$B$1752 + 2 ) &amp; " Surplus Applied to " &amp; ( 'Facility Detail'!$B$1752 + 3 )</f>
        <v>2013 Surplus Applied to 2014</v>
      </c>
      <c r="C453" s="33"/>
      <c r="D453" s="70"/>
      <c r="E453" s="172"/>
      <c r="F453" s="10"/>
      <c r="G453" s="173">
        <f>F453</f>
        <v>0</v>
      </c>
      <c r="H453" s="83"/>
      <c r="I453" s="83"/>
      <c r="J453" s="83"/>
      <c r="K453" s="83"/>
      <c r="L453" s="190"/>
      <c r="M453" s="31"/>
      <c r="N453" s="31"/>
      <c r="O453" s="33"/>
    </row>
    <row r="454" spans="2:15">
      <c r="B454" s="88" t="str">
        <f xml:space="preserve"> ( 'Facility Detail'!$B$1752 + 3 ) &amp; " Surplus Applied to " &amp; ( 'Facility Detail'!$B$1752 + 2 )</f>
        <v>2014 Surplus Applied to 2013</v>
      </c>
      <c r="C454" s="33"/>
      <c r="D454" s="70"/>
      <c r="E454" s="172"/>
      <c r="F454" s="79">
        <f>G454</f>
        <v>0</v>
      </c>
      <c r="G454" s="10"/>
      <c r="H454" s="83"/>
      <c r="I454" s="83"/>
      <c r="J454" s="83" t="s">
        <v>193</v>
      </c>
      <c r="K454" s="83" t="s">
        <v>193</v>
      </c>
      <c r="L454" s="190" t="s">
        <v>193</v>
      </c>
      <c r="M454" s="31"/>
      <c r="N454" s="31"/>
      <c r="O454" s="33"/>
    </row>
    <row r="455" spans="2:15">
      <c r="B455" s="88" t="str">
        <f xml:space="preserve"> ( 'Facility Detail'!$B$1752 + 3 ) &amp; " Surplus Applied to " &amp; ( 'Facility Detail'!$B$1752 + 4 )</f>
        <v>2014 Surplus Applied to 2015</v>
      </c>
      <c r="C455" s="33"/>
      <c r="D455" s="70"/>
      <c r="E455" s="172"/>
      <c r="F455" s="172"/>
      <c r="G455" s="10"/>
      <c r="H455" s="173">
        <f>G455</f>
        <v>0</v>
      </c>
      <c r="I455" s="172">
        <f>H455</f>
        <v>0</v>
      </c>
      <c r="J455" s="172"/>
      <c r="K455" s="172"/>
      <c r="L455" s="176"/>
      <c r="M455" s="31"/>
      <c r="N455" s="31"/>
      <c r="O455" s="33"/>
    </row>
    <row r="456" spans="2:15">
      <c r="B456" s="88" t="str">
        <f xml:space="preserve"> ( 'Facility Detail'!$B$1752 + 4 ) &amp; " Surplus Applied to " &amp; ( 'Facility Detail'!$B$1752 + 3 )</f>
        <v>2015 Surplus Applied to 2014</v>
      </c>
      <c r="C456" s="33"/>
      <c r="D456" s="70"/>
      <c r="E456" s="172"/>
      <c r="F456" s="172"/>
      <c r="G456" s="79">
        <f>H456</f>
        <v>0</v>
      </c>
      <c r="H456" s="175"/>
      <c r="I456" s="172"/>
      <c r="J456" s="172"/>
      <c r="K456" s="172"/>
      <c r="L456" s="176"/>
      <c r="M456" s="31"/>
      <c r="N456" s="31"/>
      <c r="O456" s="33"/>
    </row>
    <row r="457" spans="2:15">
      <c r="B457" s="88" t="str">
        <f xml:space="preserve"> ( 'Facility Detail'!$B$1752 + 4 ) &amp; " Surplus Applied to " &amp; ( 'Facility Detail'!$B$1752 + 5 )</f>
        <v>2015 Surplus Applied to 2016</v>
      </c>
      <c r="C457" s="33"/>
      <c r="D457" s="70"/>
      <c r="E457" s="172"/>
      <c r="F457" s="172"/>
      <c r="G457" s="172"/>
      <c r="H457" s="175">
        <v>0</v>
      </c>
      <c r="I457" s="173">
        <f>H457</f>
        <v>0</v>
      </c>
      <c r="J457" s="83"/>
      <c r="K457" s="83"/>
      <c r="L457" s="190"/>
      <c r="M457" s="31"/>
      <c r="N457" s="31"/>
      <c r="O457" s="33"/>
    </row>
    <row r="458" spans="2:15">
      <c r="B458" s="88" t="str">
        <f xml:space="preserve"> ( 'Facility Detail'!$B$1752 + 5 ) &amp; " Surplus Applied to " &amp; ( 'Facility Detail'!$B$1752 + 4 )</f>
        <v>2016 Surplus Applied to 2015</v>
      </c>
      <c r="C458" s="33"/>
      <c r="D458" s="70"/>
      <c r="E458" s="172"/>
      <c r="F458" s="172"/>
      <c r="G458" s="172"/>
      <c r="H458" s="79"/>
      <c r="I458" s="175"/>
      <c r="J458" s="83"/>
      <c r="K458" s="83"/>
      <c r="L458" s="190"/>
      <c r="M458" s="31"/>
      <c r="N458" s="31"/>
      <c r="O458" s="33"/>
    </row>
    <row r="459" spans="2:15">
      <c r="B459" s="88" t="str">
        <f xml:space="preserve"> ( 'Facility Detail'!$B$1752 + 5 ) &amp; " Surplus Applied to " &amp; ( 'Facility Detail'!$B$1752 + 6 )</f>
        <v>2016 Surplus Applied to 2017</v>
      </c>
      <c r="C459" s="33"/>
      <c r="D459" s="70"/>
      <c r="E459" s="172"/>
      <c r="F459" s="172"/>
      <c r="G459" s="172"/>
      <c r="H459" s="172"/>
      <c r="I459" s="175">
        <v>0</v>
      </c>
      <c r="J459" s="174"/>
      <c r="K459" s="83"/>
      <c r="L459" s="190"/>
      <c r="M459" s="31"/>
      <c r="N459" s="31"/>
      <c r="O459" s="33"/>
    </row>
    <row r="460" spans="2:15">
      <c r="B460" s="88" t="s">
        <v>191</v>
      </c>
      <c r="C460" s="33"/>
      <c r="D460" s="70"/>
      <c r="E460" s="172"/>
      <c r="F460" s="172"/>
      <c r="G460" s="172"/>
      <c r="H460" s="172"/>
      <c r="I460" s="174">
        <f>J459</f>
        <v>0</v>
      </c>
      <c r="J460" s="175"/>
      <c r="K460" s="172"/>
      <c r="L460" s="190"/>
      <c r="M460" s="31"/>
      <c r="N460" s="31"/>
      <c r="O460" s="33"/>
    </row>
    <row r="461" spans="2:15">
      <c r="B461" s="88" t="s">
        <v>192</v>
      </c>
      <c r="C461" s="33"/>
      <c r="D461" s="70"/>
      <c r="E461" s="172"/>
      <c r="F461" s="172"/>
      <c r="G461" s="172"/>
      <c r="H461" s="172"/>
      <c r="I461" s="172"/>
      <c r="J461" s="175">
        <v>0</v>
      </c>
      <c r="K461" s="79"/>
      <c r="L461" s="176"/>
      <c r="M461" s="31"/>
      <c r="N461" s="31"/>
      <c r="O461" s="33"/>
    </row>
    <row r="462" spans="2:15">
      <c r="B462" s="88" t="s">
        <v>226</v>
      </c>
      <c r="C462" s="33"/>
      <c r="D462" s="70"/>
      <c r="E462" s="172"/>
      <c r="F462" s="172"/>
      <c r="G462" s="172"/>
      <c r="H462" s="172"/>
      <c r="I462" s="172"/>
      <c r="J462" s="174"/>
      <c r="K462" s="175"/>
      <c r="L462" s="176"/>
      <c r="M462" s="31"/>
      <c r="N462" s="31"/>
      <c r="O462" s="33"/>
    </row>
    <row r="463" spans="2:15">
      <c r="B463" s="88" t="s">
        <v>227</v>
      </c>
      <c r="C463" s="33"/>
      <c r="D463" s="71"/>
      <c r="E463" s="154"/>
      <c r="F463" s="154"/>
      <c r="G463" s="154"/>
      <c r="H463" s="154"/>
      <c r="I463" s="154"/>
      <c r="J463" s="154"/>
      <c r="K463" s="177"/>
      <c r="L463" s="332"/>
      <c r="M463" s="31"/>
      <c r="N463" s="31"/>
      <c r="O463" s="33"/>
    </row>
    <row r="464" spans="2:15">
      <c r="B464" s="36" t="s">
        <v>17</v>
      </c>
      <c r="D464" s="214">
        <f xml:space="preserve"> D450 - D449</f>
        <v>0</v>
      </c>
      <c r="E464" s="214">
        <f xml:space="preserve"> E449 + E452 - E451 - E450</f>
        <v>0</v>
      </c>
      <c r="F464" s="214">
        <f>F451 - F452 -F453</f>
        <v>0</v>
      </c>
      <c r="G464" s="214">
        <f>G453-G454-G455</f>
        <v>0</v>
      </c>
      <c r="H464" s="214">
        <f>H455</f>
        <v>0</v>
      </c>
      <c r="I464" s="214">
        <f>I455</f>
        <v>0</v>
      </c>
      <c r="J464" s="214">
        <f>J459-J460-J461</f>
        <v>0</v>
      </c>
      <c r="K464" s="214">
        <f t="shared" ref="K464:L464" si="155">K459-K460-K461</f>
        <v>0</v>
      </c>
      <c r="L464" s="214">
        <f t="shared" si="155"/>
        <v>0</v>
      </c>
      <c r="M464" s="31"/>
      <c r="N464" s="31"/>
      <c r="O464" s="33"/>
    </row>
    <row r="465" spans="1:15">
      <c r="B465" s="6"/>
      <c r="D465" s="7"/>
      <c r="E465" s="7"/>
      <c r="F465" s="7"/>
      <c r="G465" s="7"/>
      <c r="H465" s="7"/>
      <c r="I465" s="7"/>
      <c r="J465" s="7"/>
      <c r="K465" s="7"/>
      <c r="L465" s="7"/>
      <c r="M465" s="31"/>
      <c r="N465" s="31"/>
      <c r="O465" s="33"/>
    </row>
    <row r="466" spans="1:15">
      <c r="B466" s="85" t="s">
        <v>12</v>
      </c>
      <c r="C466" s="80"/>
      <c r="D466" s="111"/>
      <c r="E466" s="112"/>
      <c r="F466" s="112"/>
      <c r="G466" s="112"/>
      <c r="H466" s="185"/>
      <c r="I466" s="185"/>
      <c r="J466" s="185"/>
      <c r="K466" s="185"/>
      <c r="L466" s="113"/>
      <c r="M466" s="31"/>
      <c r="N466" s="31"/>
      <c r="O466" s="33"/>
    </row>
    <row r="467" spans="1:15">
      <c r="B467" s="6"/>
      <c r="D467" s="7"/>
      <c r="E467" s="7"/>
      <c r="F467" s="7"/>
      <c r="G467" s="7"/>
      <c r="H467" s="7"/>
      <c r="I467" s="7"/>
      <c r="J467" s="7"/>
      <c r="K467" s="7"/>
      <c r="L467" s="7"/>
      <c r="M467" s="31"/>
      <c r="N467" s="31"/>
      <c r="O467" s="33"/>
    </row>
    <row r="468" spans="1:15" ht="18.75">
      <c r="A468" s="45" t="s">
        <v>26</v>
      </c>
      <c r="C468" s="80"/>
      <c r="D468" s="49">
        <f xml:space="preserve"> D435 + D440 - D446 + D464 + D466</f>
        <v>0</v>
      </c>
      <c r="E468" s="50">
        <v>1355</v>
      </c>
      <c r="F468" s="50">
        <f xml:space="preserve"> F435 + F440 - F446 + F464 + F466</f>
        <v>997</v>
      </c>
      <c r="G468" s="50">
        <f xml:space="preserve"> G435 + G440 - G446 + G464 + G466</f>
        <v>1148</v>
      </c>
      <c r="H468" s="186">
        <f xml:space="preserve"> H435 + H440 - H446 + H464 + H466</f>
        <v>1011</v>
      </c>
      <c r="I468" s="186">
        <f t="shared" ref="I468:L468" si="156" xml:space="preserve"> I435 + I440 - I446 + I464 + I466</f>
        <v>1113</v>
      </c>
      <c r="J468" s="186">
        <f t="shared" si="156"/>
        <v>1438</v>
      </c>
      <c r="K468" s="390"/>
      <c r="L468" s="51">
        <f t="shared" si="156"/>
        <v>0</v>
      </c>
      <c r="M468" s="31"/>
      <c r="N468" s="31"/>
      <c r="O468" s="33"/>
    </row>
    <row r="469" spans="1:15">
      <c r="B469" s="6"/>
      <c r="D469" s="7"/>
      <c r="E469" s="7"/>
      <c r="F469" s="7"/>
      <c r="G469" s="31"/>
      <c r="H469" s="31"/>
      <c r="I469" s="31"/>
      <c r="J469" s="31"/>
      <c r="K469" s="31"/>
      <c r="L469" s="31"/>
      <c r="M469" s="31"/>
      <c r="N469" s="31"/>
      <c r="O469" s="33"/>
    </row>
    <row r="470" spans="1:15" ht="15.75" thickBot="1">
      <c r="M470" s="33"/>
      <c r="N470" s="33"/>
      <c r="O470" s="33"/>
    </row>
    <row r="471" spans="1:15">
      <c r="A471" s="8"/>
      <c r="B471" s="8"/>
      <c r="C471" s="8"/>
      <c r="D471" s="8"/>
      <c r="E471" s="8"/>
      <c r="F471" s="8"/>
      <c r="G471" s="8"/>
      <c r="H471" s="8"/>
      <c r="I471" s="8"/>
      <c r="J471" s="8"/>
      <c r="K471" s="8"/>
      <c r="L471" s="8"/>
      <c r="M471" s="33"/>
      <c r="N471" s="33"/>
      <c r="O471" s="33"/>
    </row>
    <row r="472" spans="1:15">
      <c r="B472" s="33"/>
      <c r="C472" s="33"/>
      <c r="D472" s="33"/>
      <c r="E472" s="33"/>
      <c r="F472" s="33"/>
      <c r="G472" s="33"/>
      <c r="H472" s="33"/>
      <c r="I472" s="33"/>
      <c r="J472" s="33"/>
      <c r="K472" s="33"/>
      <c r="L472" s="33"/>
      <c r="M472" s="33"/>
      <c r="N472" s="33"/>
      <c r="O472" s="33"/>
    </row>
    <row r="473" spans="1:15" ht="21">
      <c r="A473" s="14" t="s">
        <v>4</v>
      </c>
      <c r="B473" s="14"/>
      <c r="C473" s="46" t="str">
        <f>B12</f>
        <v>JC Boyle (Upgrade 2005)</v>
      </c>
      <c r="D473" s="47"/>
      <c r="E473" s="24"/>
      <c r="F473" s="24"/>
      <c r="M473" s="33"/>
      <c r="N473" s="33"/>
      <c r="O473" s="33"/>
    </row>
    <row r="474" spans="1:15">
      <c r="M474" s="33"/>
      <c r="N474" s="33"/>
      <c r="O474" s="33"/>
    </row>
    <row r="475" spans="1:15" ht="18.75">
      <c r="A475" s="9" t="s">
        <v>21</v>
      </c>
      <c r="B475" s="9"/>
      <c r="D475" s="2">
        <f>'Facility Detail'!$B$1752</f>
        <v>2011</v>
      </c>
      <c r="E475" s="2">
        <f>D475+1</f>
        <v>2012</v>
      </c>
      <c r="F475" s="2">
        <f>E475+1</f>
        <v>2013</v>
      </c>
      <c r="G475" s="2">
        <f>F475+1</f>
        <v>2014</v>
      </c>
      <c r="H475" s="2">
        <f>G475+1</f>
        <v>2015</v>
      </c>
      <c r="I475" s="2">
        <f>H475+1</f>
        <v>2016</v>
      </c>
      <c r="J475" s="2">
        <f t="shared" ref="J475" si="157">I475+1</f>
        <v>2017</v>
      </c>
      <c r="K475" s="2">
        <f t="shared" ref="K475" si="158">J475+1</f>
        <v>2018</v>
      </c>
      <c r="L475" s="2">
        <f t="shared" ref="L475" si="159">K475+1</f>
        <v>2019</v>
      </c>
      <c r="M475" s="26"/>
      <c r="N475" s="26"/>
      <c r="O475" s="33"/>
    </row>
    <row r="476" spans="1:15">
      <c r="B476" s="88" t="str">
        <f>"Total MWh Produced / Purchased from " &amp; C473</f>
        <v>Total MWh Produced / Purchased from JC Boyle (Upgrade 2005)</v>
      </c>
      <c r="C476" s="80"/>
      <c r="D476" s="3"/>
      <c r="E476" s="4">
        <v>3462.2784000000001</v>
      </c>
      <c r="F476" s="4">
        <v>2402.4095999999995</v>
      </c>
      <c r="G476" s="4">
        <v>2295</v>
      </c>
      <c r="H476" s="4">
        <v>2130</v>
      </c>
      <c r="I476" s="322">
        <v>2857</v>
      </c>
      <c r="J476" s="322">
        <v>4238</v>
      </c>
      <c r="K476" s="391"/>
      <c r="L476" s="334"/>
      <c r="M476" s="25"/>
      <c r="N476" s="25"/>
      <c r="O476" s="33"/>
    </row>
    <row r="477" spans="1:15">
      <c r="B477" s="88" t="s">
        <v>25</v>
      </c>
      <c r="C477" s="80"/>
      <c r="D477" s="62"/>
      <c r="E477" s="63">
        <v>1</v>
      </c>
      <c r="F477" s="63">
        <v>1</v>
      </c>
      <c r="G477" s="63">
        <v>1</v>
      </c>
      <c r="H477" s="63">
        <v>1</v>
      </c>
      <c r="I477" s="344">
        <v>1</v>
      </c>
      <c r="J477" s="344">
        <v>1</v>
      </c>
      <c r="K477" s="344">
        <v>1</v>
      </c>
      <c r="L477" s="345">
        <v>1</v>
      </c>
      <c r="M477" s="25"/>
      <c r="N477" s="25"/>
      <c r="O477" s="33"/>
    </row>
    <row r="478" spans="1:15">
      <c r="B478" s="88" t="s">
        <v>20</v>
      </c>
      <c r="C478" s="80"/>
      <c r="D478" s="54"/>
      <c r="E478" s="55">
        <v>7.9619999999999996E-2</v>
      </c>
      <c r="F478" s="55">
        <v>7.8747999999999999E-2</v>
      </c>
      <c r="G478" s="55">
        <v>8.0235000000000001E-2</v>
      </c>
      <c r="H478" s="55">
        <v>8.0535999999999996E-2</v>
      </c>
      <c r="I478" s="275">
        <v>8.1698151927344531E-2</v>
      </c>
      <c r="J478" s="275">
        <v>8.0833713568703974E-2</v>
      </c>
      <c r="K478" s="275">
        <v>7.9769759999999995E-2</v>
      </c>
      <c r="L478" s="335">
        <v>8.0833713568703974E-2</v>
      </c>
      <c r="M478" s="25"/>
      <c r="N478" s="25"/>
      <c r="O478" s="33"/>
    </row>
    <row r="479" spans="1:15">
      <c r="B479" s="85" t="s">
        <v>22</v>
      </c>
      <c r="C479" s="86"/>
      <c r="D479" s="41">
        <f xml:space="preserve"> ROUND(D476 * D477 * D478,0)</f>
        <v>0</v>
      </c>
      <c r="E479" s="41">
        <f t="shared" ref="E479:H479" si="160" xml:space="preserve"> ROUND(E476 * E477 * E478,0)</f>
        <v>276</v>
      </c>
      <c r="F479" s="41">
        <f t="shared" si="160"/>
        <v>189</v>
      </c>
      <c r="G479" s="41">
        <f t="shared" si="160"/>
        <v>184</v>
      </c>
      <c r="H479" s="41">
        <f t="shared" si="160"/>
        <v>172</v>
      </c>
      <c r="I479" s="41">
        <v>235</v>
      </c>
      <c r="J479" s="337">
        <v>342</v>
      </c>
      <c r="K479" s="380"/>
      <c r="L479" s="337">
        <f t="shared" ref="L479" si="161" xml:space="preserve"> ROUND(L476 * L477 * L478,0)</f>
        <v>0</v>
      </c>
      <c r="M479" s="25"/>
      <c r="N479" s="25"/>
      <c r="O479" s="33"/>
    </row>
    <row r="480" spans="1:15">
      <c r="B480" s="24"/>
      <c r="C480" s="33"/>
      <c r="D480" s="40"/>
      <c r="E480" s="40"/>
      <c r="F480" s="40"/>
      <c r="G480" s="25"/>
      <c r="H480" s="25"/>
      <c r="I480" s="25"/>
      <c r="J480" s="25"/>
      <c r="K480" s="25"/>
      <c r="L480" s="25"/>
      <c r="M480" s="25"/>
      <c r="N480" s="25"/>
      <c r="O480" s="33"/>
    </row>
    <row r="481" spans="1:15" ht="18.75">
      <c r="A481" s="48" t="s">
        <v>119</v>
      </c>
      <c r="C481" s="33"/>
      <c r="D481" s="2">
        <f>'Facility Detail'!$B$1752</f>
        <v>2011</v>
      </c>
      <c r="E481" s="2">
        <f>D481+1</f>
        <v>2012</v>
      </c>
      <c r="F481" s="2">
        <f>E481+1</f>
        <v>2013</v>
      </c>
      <c r="G481" s="2">
        <f>G475</f>
        <v>2014</v>
      </c>
      <c r="H481" s="2">
        <f>H475</f>
        <v>2015</v>
      </c>
      <c r="I481" s="2">
        <f>I475</f>
        <v>2016</v>
      </c>
      <c r="J481" s="2">
        <f>J475</f>
        <v>2017</v>
      </c>
      <c r="K481" s="2">
        <f t="shared" ref="K481:L481" si="162">K475</f>
        <v>2018</v>
      </c>
      <c r="L481" s="2">
        <f t="shared" si="162"/>
        <v>2019</v>
      </c>
      <c r="M481" s="25"/>
      <c r="N481" s="25"/>
      <c r="O481" s="33"/>
    </row>
    <row r="482" spans="1:15">
      <c r="B482" s="88" t="s">
        <v>10</v>
      </c>
      <c r="C482" s="80"/>
      <c r="D482" s="57">
        <f>IF( $E12 = "Eligible", D479 * 'Facility Detail'!$B$1749, 0 )</f>
        <v>0</v>
      </c>
      <c r="E482" s="11">
        <f>IF( $E12 = "Eligible", E479 * 'Facility Detail'!$B$1749, 0 )</f>
        <v>0</v>
      </c>
      <c r="F482" s="11">
        <f>IF( $E12 = "Eligible", F479 * 'Facility Detail'!$B$1749, 0 )</f>
        <v>0</v>
      </c>
      <c r="G482" s="11">
        <v>0</v>
      </c>
      <c r="H482" s="11">
        <v>0</v>
      </c>
      <c r="I482" s="11">
        <v>0</v>
      </c>
      <c r="J482" s="11">
        <v>0</v>
      </c>
      <c r="K482" s="11">
        <v>0</v>
      </c>
      <c r="L482" s="12">
        <v>0</v>
      </c>
      <c r="M482" s="25"/>
      <c r="N482" s="25"/>
      <c r="O482" s="33"/>
    </row>
    <row r="483" spans="1:15">
      <c r="B483" s="88" t="s">
        <v>6</v>
      </c>
      <c r="C483" s="80"/>
      <c r="D483" s="58">
        <f>IF( $F12 = "Eligible", D479, 0 )</f>
        <v>0</v>
      </c>
      <c r="E483" s="59">
        <f>IF( $F12 = "Eligible", E479, 0 )</f>
        <v>0</v>
      </c>
      <c r="F483" s="59">
        <f>IF( $F12 = "Eligible", F479, 0 )</f>
        <v>0</v>
      </c>
      <c r="G483" s="59">
        <f>IF( $E429 = "Eligible", G479, 0 )</f>
        <v>0</v>
      </c>
      <c r="H483" s="59">
        <f>IF( $E429 = "Eligible", H479, 0 )</f>
        <v>0</v>
      </c>
      <c r="I483" s="59">
        <f>IF( $E429 = "Eligible", I479, 0 )</f>
        <v>0</v>
      </c>
      <c r="J483" s="59">
        <f>IF( $E429 = "Eligible", J479, 0 )</f>
        <v>0</v>
      </c>
      <c r="K483" s="59">
        <f t="shared" ref="K483:L483" si="163">IF( $E429 = "Eligible", K479, 0 )</f>
        <v>0</v>
      </c>
      <c r="L483" s="60">
        <f t="shared" si="163"/>
        <v>0</v>
      </c>
      <c r="M483" s="25"/>
      <c r="N483" s="25"/>
      <c r="O483" s="33"/>
    </row>
    <row r="484" spans="1:15">
      <c r="B484" s="87" t="s">
        <v>121</v>
      </c>
      <c r="C484" s="86"/>
      <c r="D484" s="43">
        <f t="shared" ref="D484:I484" si="164">SUM(D482:D483)</f>
        <v>0</v>
      </c>
      <c r="E484" s="44">
        <f t="shared" si="164"/>
        <v>0</v>
      </c>
      <c r="F484" s="44">
        <f t="shared" si="164"/>
        <v>0</v>
      </c>
      <c r="G484" s="44">
        <f t="shared" si="164"/>
        <v>0</v>
      </c>
      <c r="H484" s="44">
        <f t="shared" si="164"/>
        <v>0</v>
      </c>
      <c r="I484" s="44">
        <f t="shared" si="164"/>
        <v>0</v>
      </c>
      <c r="J484" s="44">
        <f t="shared" ref="J484:L484" si="165">SUM(J482:J483)</f>
        <v>0</v>
      </c>
      <c r="K484" s="44">
        <f t="shared" si="165"/>
        <v>0</v>
      </c>
      <c r="L484" s="44">
        <f t="shared" si="165"/>
        <v>0</v>
      </c>
      <c r="M484" s="25"/>
      <c r="N484" s="25"/>
      <c r="O484" s="33"/>
    </row>
    <row r="485" spans="1:15">
      <c r="B485" s="33"/>
      <c r="C485" s="33"/>
      <c r="D485" s="42"/>
      <c r="E485" s="34"/>
      <c r="F485" s="34"/>
      <c r="G485" s="25"/>
      <c r="H485" s="25"/>
      <c r="I485" s="25"/>
      <c r="J485" s="25"/>
      <c r="K485" s="25"/>
      <c r="L485" s="25"/>
      <c r="M485" s="25"/>
      <c r="N485" s="25"/>
      <c r="O485" s="33"/>
    </row>
    <row r="486" spans="1:15" ht="18.75">
      <c r="A486" s="45" t="s">
        <v>30</v>
      </c>
      <c r="C486" s="33"/>
      <c r="D486" s="2">
        <f>'Facility Detail'!$B$1752</f>
        <v>2011</v>
      </c>
      <c r="E486" s="2">
        <f>D486+1</f>
        <v>2012</v>
      </c>
      <c r="F486" s="2">
        <f>E486+1</f>
        <v>2013</v>
      </c>
      <c r="G486" s="2">
        <f>G475</f>
        <v>2014</v>
      </c>
      <c r="H486" s="2">
        <f>H475</f>
        <v>2015</v>
      </c>
      <c r="I486" s="2">
        <f>I475</f>
        <v>2016</v>
      </c>
      <c r="J486" s="2">
        <f>J475</f>
        <v>2017</v>
      </c>
      <c r="K486" s="2">
        <f t="shared" ref="K486:L486" si="166">K475</f>
        <v>2018</v>
      </c>
      <c r="L486" s="2">
        <f t="shared" si="166"/>
        <v>2019</v>
      </c>
      <c r="M486" s="25"/>
      <c r="N486" s="25"/>
      <c r="O486" s="33"/>
    </row>
    <row r="487" spans="1:15">
      <c r="B487" s="88" t="s">
        <v>47</v>
      </c>
      <c r="C487" s="80"/>
      <c r="D487" s="98"/>
      <c r="E487" s="99"/>
      <c r="F487" s="99"/>
      <c r="G487" s="99"/>
      <c r="H487" s="99"/>
      <c r="I487" s="99"/>
      <c r="J487" s="99"/>
      <c r="K487" s="99"/>
      <c r="L487" s="100"/>
      <c r="M487" s="25"/>
      <c r="N487" s="25"/>
      <c r="O487" s="33"/>
    </row>
    <row r="488" spans="1:15">
      <c r="B488" s="89" t="s">
        <v>23</v>
      </c>
      <c r="C488" s="207"/>
      <c r="D488" s="101"/>
      <c r="E488" s="102"/>
      <c r="F488" s="102"/>
      <c r="G488" s="102"/>
      <c r="H488" s="102"/>
      <c r="I488" s="102"/>
      <c r="J488" s="102"/>
      <c r="K488" s="102"/>
      <c r="L488" s="103"/>
      <c r="M488" s="25"/>
      <c r="N488" s="25"/>
      <c r="O488" s="33"/>
    </row>
    <row r="489" spans="1:15">
      <c r="B489" s="104" t="s">
        <v>89</v>
      </c>
      <c r="C489" s="205"/>
      <c r="D489" s="65"/>
      <c r="E489" s="66"/>
      <c r="F489" s="66"/>
      <c r="G489" s="66"/>
      <c r="H489" s="66"/>
      <c r="I489" s="66"/>
      <c r="J489" s="66"/>
      <c r="K489" s="66"/>
      <c r="L489" s="67"/>
      <c r="M489" s="25"/>
      <c r="N489" s="25"/>
      <c r="O489" s="33"/>
    </row>
    <row r="490" spans="1:15">
      <c r="B490" s="36" t="s">
        <v>90</v>
      </c>
      <c r="D490" s="7">
        <f t="shared" ref="D490:I490" si="167">SUM(D487:D489)</f>
        <v>0</v>
      </c>
      <c r="E490" s="7">
        <f t="shared" si="167"/>
        <v>0</v>
      </c>
      <c r="F490" s="7">
        <f t="shared" si="167"/>
        <v>0</v>
      </c>
      <c r="G490" s="7">
        <f t="shared" si="167"/>
        <v>0</v>
      </c>
      <c r="H490" s="7">
        <f t="shared" si="167"/>
        <v>0</v>
      </c>
      <c r="I490" s="7">
        <f t="shared" si="167"/>
        <v>0</v>
      </c>
      <c r="J490" s="7">
        <f t="shared" ref="J490:L490" si="168">SUM(J487:J489)</f>
        <v>0</v>
      </c>
      <c r="K490" s="7">
        <f t="shared" si="168"/>
        <v>0</v>
      </c>
      <c r="L490" s="7">
        <f t="shared" si="168"/>
        <v>0</v>
      </c>
      <c r="M490" s="31"/>
      <c r="N490" s="31"/>
      <c r="O490" s="33"/>
    </row>
    <row r="491" spans="1:15">
      <c r="B491" s="6"/>
      <c r="D491" s="7"/>
      <c r="E491" s="7"/>
      <c r="F491" s="7"/>
      <c r="G491" s="31"/>
      <c r="H491" s="31"/>
      <c r="I491" s="31"/>
      <c r="J491" s="31"/>
      <c r="K491" s="31"/>
      <c r="L491" s="31"/>
      <c r="M491" s="31"/>
      <c r="N491" s="31"/>
      <c r="O491" s="33"/>
    </row>
    <row r="492" spans="1:15" ht="18.75">
      <c r="A492" s="9" t="s">
        <v>100</v>
      </c>
      <c r="D492" s="2">
        <f>'Facility Detail'!$B$1752</f>
        <v>2011</v>
      </c>
      <c r="E492" s="2">
        <f>D492+1</f>
        <v>2012</v>
      </c>
      <c r="F492" s="2">
        <f>E492+1</f>
        <v>2013</v>
      </c>
      <c r="G492" s="2">
        <f>F492+1</f>
        <v>2014</v>
      </c>
      <c r="H492" s="2">
        <f>G492+1</f>
        <v>2015</v>
      </c>
      <c r="I492" s="2">
        <f>H492+1</f>
        <v>2016</v>
      </c>
      <c r="J492" s="2">
        <f t="shared" ref="J492" si="169">I492+1</f>
        <v>2017</v>
      </c>
      <c r="K492" s="2">
        <f t="shared" ref="K492" si="170">J492+1</f>
        <v>2018</v>
      </c>
      <c r="L492" s="2">
        <f t="shared" ref="L492" si="171">K492+1</f>
        <v>2019</v>
      </c>
      <c r="M492" s="31"/>
      <c r="N492" s="31"/>
      <c r="O492" s="33"/>
    </row>
    <row r="493" spans="1:15">
      <c r="B493" s="88" t="str">
        <f xml:space="preserve"> 'Facility Detail'!$B$1752 &amp; " Surplus Applied to " &amp; ( 'Facility Detail'!$B$1752 + 1 )</f>
        <v>2011 Surplus Applied to 2012</v>
      </c>
      <c r="C493" s="33"/>
      <c r="D493" s="3"/>
      <c r="E493" s="68">
        <f>D493</f>
        <v>0</v>
      </c>
      <c r="F493" s="152"/>
      <c r="G493" s="152"/>
      <c r="H493" s="152"/>
      <c r="I493" s="152"/>
      <c r="J493" s="152"/>
      <c r="K493" s="152"/>
      <c r="L493" s="69"/>
      <c r="M493" s="31"/>
      <c r="N493" s="31"/>
      <c r="O493" s="33"/>
    </row>
    <row r="494" spans="1:15">
      <c r="B494" s="88" t="str">
        <f xml:space="preserve"> ( 'Facility Detail'!$B$1752 + 1 ) &amp; " Surplus Applied to " &amp; ( 'Facility Detail'!$B$1752 )</f>
        <v>2012 Surplus Applied to 2011</v>
      </c>
      <c r="C494" s="33"/>
      <c r="D494" s="189">
        <f>E494</f>
        <v>0</v>
      </c>
      <c r="E494" s="10"/>
      <c r="F494" s="83"/>
      <c r="G494" s="83"/>
      <c r="H494" s="83"/>
      <c r="I494" s="83"/>
      <c r="J494" s="83"/>
      <c r="K494" s="83"/>
      <c r="L494" s="190"/>
      <c r="M494" s="31"/>
      <c r="N494" s="31"/>
      <c r="O494" s="33"/>
    </row>
    <row r="495" spans="1:15">
      <c r="B495" s="88" t="str">
        <f xml:space="preserve"> ( 'Facility Detail'!$B$1752 + 1 ) &amp; " Surplus Applied to " &amp; ( 'Facility Detail'!$B$1752 + 2 )</f>
        <v>2012 Surplus Applied to 2013</v>
      </c>
      <c r="C495" s="33"/>
      <c r="D495" s="70"/>
      <c r="E495" s="10"/>
      <c r="F495" s="79">
        <f>E495</f>
        <v>0</v>
      </c>
      <c r="G495" s="83"/>
      <c r="H495" s="83"/>
      <c r="I495" s="83"/>
      <c r="J495" s="83"/>
      <c r="K495" s="83"/>
      <c r="L495" s="190"/>
      <c r="M495" s="31"/>
      <c r="N495" s="31"/>
      <c r="O495" s="33"/>
    </row>
    <row r="496" spans="1:15">
      <c r="B496" s="88" t="str">
        <f xml:space="preserve"> ( 'Facility Detail'!$B$1752 + 2 ) &amp; " Surplus Applied to " &amp; ( 'Facility Detail'!$B$1752 + 1 )</f>
        <v>2013 Surplus Applied to 2012</v>
      </c>
      <c r="C496" s="33"/>
      <c r="D496" s="70"/>
      <c r="E496" s="79">
        <f>F496</f>
        <v>0</v>
      </c>
      <c r="F496" s="188"/>
      <c r="G496" s="83"/>
      <c r="H496" s="83"/>
      <c r="I496" s="83"/>
      <c r="J496" s="83"/>
      <c r="K496" s="83"/>
      <c r="L496" s="190"/>
      <c r="M496" s="31"/>
      <c r="N496" s="31"/>
      <c r="O496" s="33"/>
    </row>
    <row r="497" spans="1:15">
      <c r="B497" s="88" t="str">
        <f xml:space="preserve"> ( 'Facility Detail'!$B$1752 + 2 ) &amp; " Surplus Applied to " &amp; ( 'Facility Detail'!$B$1752 + 3 )</f>
        <v>2013 Surplus Applied to 2014</v>
      </c>
      <c r="C497" s="33"/>
      <c r="D497" s="70"/>
      <c r="E497" s="172"/>
      <c r="F497" s="10"/>
      <c r="G497" s="173">
        <f>F497</f>
        <v>0</v>
      </c>
      <c r="H497" s="83"/>
      <c r="I497" s="83"/>
      <c r="J497" s="83"/>
      <c r="K497" s="83"/>
      <c r="L497" s="190"/>
      <c r="M497" s="31"/>
      <c r="N497" s="31"/>
      <c r="O497" s="33"/>
    </row>
    <row r="498" spans="1:15">
      <c r="B498" s="88" t="str">
        <f xml:space="preserve"> ( 'Facility Detail'!$B$1752 + 3 ) &amp; " Surplus Applied to " &amp; ( 'Facility Detail'!$B$1752 + 2 )</f>
        <v>2014 Surplus Applied to 2013</v>
      </c>
      <c r="C498" s="33"/>
      <c r="D498" s="70"/>
      <c r="E498" s="172"/>
      <c r="F498" s="79">
        <f>G498</f>
        <v>0</v>
      </c>
      <c r="G498" s="10"/>
      <c r="H498" s="83"/>
      <c r="I498" s="83"/>
      <c r="J498" s="83" t="s">
        <v>193</v>
      </c>
      <c r="K498" s="83" t="s">
        <v>193</v>
      </c>
      <c r="L498" s="190" t="s">
        <v>193</v>
      </c>
      <c r="M498" s="31"/>
      <c r="N498" s="31"/>
      <c r="O498" s="33"/>
    </row>
    <row r="499" spans="1:15">
      <c r="B499" s="88" t="str">
        <f xml:space="preserve"> ( 'Facility Detail'!$B$1752 + 3 ) &amp; " Surplus Applied to " &amp; ( 'Facility Detail'!$B$1752 + 4 )</f>
        <v>2014 Surplus Applied to 2015</v>
      </c>
      <c r="C499" s="33"/>
      <c r="D499" s="70"/>
      <c r="E499" s="172"/>
      <c r="F499" s="172"/>
      <c r="G499" s="10"/>
      <c r="H499" s="173">
        <f>G499</f>
        <v>0</v>
      </c>
      <c r="I499" s="172"/>
      <c r="J499" s="172"/>
      <c r="K499" s="172"/>
      <c r="L499" s="176"/>
      <c r="M499" s="31"/>
      <c r="N499" s="31"/>
      <c r="O499" s="33"/>
    </row>
    <row r="500" spans="1:15">
      <c r="B500" s="88" t="str">
        <f xml:space="preserve"> ( 'Facility Detail'!$B$1752 + 4 ) &amp; " Surplus Applied to " &amp; ( 'Facility Detail'!$B$1752 + 3 )</f>
        <v>2015 Surplus Applied to 2014</v>
      </c>
      <c r="C500" s="33"/>
      <c r="D500" s="70"/>
      <c r="E500" s="172"/>
      <c r="F500" s="172"/>
      <c r="G500" s="79">
        <f>H500</f>
        <v>0</v>
      </c>
      <c r="H500" s="175"/>
      <c r="I500" s="172"/>
      <c r="J500" s="172"/>
      <c r="K500" s="172"/>
      <c r="L500" s="176"/>
      <c r="M500" s="31"/>
      <c r="N500" s="31"/>
      <c r="O500" s="33"/>
    </row>
    <row r="501" spans="1:15">
      <c r="B501" s="88" t="str">
        <f xml:space="preserve"> ( 'Facility Detail'!$B$1752 + 4 ) &amp; " Surplus Applied to " &amp; ( 'Facility Detail'!$B$1752 + 5 )</f>
        <v>2015 Surplus Applied to 2016</v>
      </c>
      <c r="C501" s="33"/>
      <c r="D501" s="70"/>
      <c r="E501" s="172"/>
      <c r="F501" s="172"/>
      <c r="G501" s="172"/>
      <c r="H501" s="175"/>
      <c r="I501" s="173">
        <f>H501</f>
        <v>0</v>
      </c>
      <c r="J501" s="83"/>
      <c r="K501" s="83"/>
      <c r="L501" s="190"/>
      <c r="M501" s="31"/>
      <c r="N501" s="31"/>
      <c r="O501" s="33"/>
    </row>
    <row r="502" spans="1:15">
      <c r="B502" s="88" t="str">
        <f xml:space="preserve"> ( 'Facility Detail'!$B$1752 + 5 ) &amp; " Surplus Applied to " &amp; ( 'Facility Detail'!$B$1752 + 4 )</f>
        <v>2016 Surplus Applied to 2015</v>
      </c>
      <c r="C502" s="33"/>
      <c r="D502" s="70"/>
      <c r="E502" s="172"/>
      <c r="F502" s="172"/>
      <c r="G502" s="172"/>
      <c r="H502" s="79">
        <f>I502</f>
        <v>0</v>
      </c>
      <c r="I502" s="175"/>
      <c r="J502" s="83"/>
      <c r="K502" s="83"/>
      <c r="L502" s="190"/>
      <c r="M502" s="31"/>
      <c r="N502" s="31"/>
      <c r="O502" s="33"/>
    </row>
    <row r="503" spans="1:15">
      <c r="B503" s="88" t="str">
        <f xml:space="preserve"> ( 'Facility Detail'!$B$1752 + 5 ) &amp; " Surplus Applied to " &amp; ( 'Facility Detail'!$B$1752 + 6 )</f>
        <v>2016 Surplus Applied to 2017</v>
      </c>
      <c r="C503" s="33"/>
      <c r="D503" s="70"/>
      <c r="E503" s="172"/>
      <c r="F503" s="172"/>
      <c r="G503" s="172"/>
      <c r="H503" s="172"/>
      <c r="I503" s="175">
        <v>0</v>
      </c>
      <c r="J503" s="174"/>
      <c r="K503" s="83"/>
      <c r="L503" s="190"/>
      <c r="M503" s="31"/>
      <c r="N503" s="31"/>
      <c r="O503" s="33"/>
    </row>
    <row r="504" spans="1:15">
      <c r="B504" s="88" t="s">
        <v>191</v>
      </c>
      <c r="C504" s="33"/>
      <c r="D504" s="70"/>
      <c r="E504" s="172"/>
      <c r="F504" s="172"/>
      <c r="G504" s="172"/>
      <c r="H504" s="172"/>
      <c r="I504" s="174">
        <f>J503</f>
        <v>0</v>
      </c>
      <c r="J504" s="175"/>
      <c r="K504" s="172"/>
      <c r="L504" s="190"/>
      <c r="M504" s="31"/>
      <c r="N504" s="31"/>
      <c r="O504" s="33"/>
    </row>
    <row r="505" spans="1:15">
      <c r="B505" s="88" t="s">
        <v>192</v>
      </c>
      <c r="C505" s="33"/>
      <c r="D505" s="70"/>
      <c r="E505" s="172"/>
      <c r="F505" s="172"/>
      <c r="G505" s="172"/>
      <c r="H505" s="172"/>
      <c r="I505" s="172"/>
      <c r="J505" s="175">
        <v>0</v>
      </c>
      <c r="K505" s="79"/>
      <c r="L505" s="176"/>
      <c r="M505" s="31"/>
      <c r="N505" s="31"/>
      <c r="O505" s="33"/>
    </row>
    <row r="506" spans="1:15">
      <c r="B506" s="88" t="s">
        <v>226</v>
      </c>
      <c r="C506" s="33"/>
      <c r="D506" s="70"/>
      <c r="E506" s="172"/>
      <c r="F506" s="172"/>
      <c r="G506" s="172"/>
      <c r="H506" s="172"/>
      <c r="I506" s="172"/>
      <c r="J506" s="174"/>
      <c r="K506" s="175"/>
      <c r="L506" s="176"/>
      <c r="M506" s="31"/>
      <c r="N506" s="31"/>
      <c r="O506" s="33"/>
    </row>
    <row r="507" spans="1:15">
      <c r="B507" s="88" t="s">
        <v>227</v>
      </c>
      <c r="C507" s="33"/>
      <c r="D507" s="71"/>
      <c r="E507" s="154"/>
      <c r="F507" s="154"/>
      <c r="G507" s="154"/>
      <c r="H507" s="154"/>
      <c r="I507" s="154"/>
      <c r="J507" s="154"/>
      <c r="K507" s="177"/>
      <c r="L507" s="332"/>
      <c r="M507" s="31"/>
      <c r="N507" s="31"/>
      <c r="O507" s="33"/>
    </row>
    <row r="508" spans="1:15">
      <c r="B508" s="36" t="s">
        <v>17</v>
      </c>
      <c r="D508" s="214">
        <f xml:space="preserve"> D494 - D493</f>
        <v>0</v>
      </c>
      <c r="E508" s="214">
        <f xml:space="preserve"> E493 + E496 - E495 - E494</f>
        <v>0</v>
      </c>
      <c r="F508" s="214">
        <f>F495 - F496 -F497</f>
        <v>0</v>
      </c>
      <c r="G508" s="214">
        <f>G497-G498-G499</f>
        <v>0</v>
      </c>
      <c r="H508" s="214">
        <f>H499</f>
        <v>0</v>
      </c>
      <c r="I508" s="214">
        <f>I501-I502-I503</f>
        <v>0</v>
      </c>
      <c r="J508" s="214">
        <f>J503-J504-J505</f>
        <v>0</v>
      </c>
      <c r="K508" s="214">
        <f t="shared" ref="K508:L508" si="172">K503-K504-K505</f>
        <v>0</v>
      </c>
      <c r="L508" s="214">
        <f t="shared" si="172"/>
        <v>0</v>
      </c>
      <c r="M508" s="31"/>
      <c r="N508" s="31"/>
      <c r="O508" s="33"/>
    </row>
    <row r="509" spans="1:15">
      <c r="B509" s="6"/>
      <c r="D509" s="7"/>
      <c r="E509" s="7"/>
      <c r="F509" s="7"/>
      <c r="G509" s="7"/>
      <c r="H509" s="7"/>
      <c r="I509" s="7"/>
      <c r="J509" s="7"/>
      <c r="K509" s="7"/>
      <c r="L509" s="7"/>
      <c r="M509" s="31"/>
      <c r="N509" s="31"/>
      <c r="O509" s="33"/>
    </row>
    <row r="510" spans="1:15">
      <c r="B510" s="85" t="s">
        <v>12</v>
      </c>
      <c r="C510" s="80"/>
      <c r="D510" s="111"/>
      <c r="E510" s="112"/>
      <c r="F510" s="112"/>
      <c r="G510" s="112"/>
      <c r="H510" s="112"/>
      <c r="I510" s="112"/>
      <c r="J510" s="112"/>
      <c r="K510" s="112"/>
      <c r="L510" s="113"/>
      <c r="M510" s="31"/>
      <c r="N510" s="31"/>
      <c r="O510" s="33"/>
    </row>
    <row r="511" spans="1:15">
      <c r="B511" s="6"/>
      <c r="D511" s="7"/>
      <c r="E511" s="7"/>
      <c r="F511" s="7"/>
      <c r="G511" s="7"/>
      <c r="H511" s="7"/>
      <c r="I511" s="7"/>
      <c r="J511" s="7"/>
      <c r="K511" s="7"/>
      <c r="L511" s="7"/>
      <c r="M511" s="31"/>
      <c r="N511" s="31"/>
      <c r="O511" s="33"/>
    </row>
    <row r="512" spans="1:15" ht="18.75">
      <c r="A512" s="45" t="s">
        <v>26</v>
      </c>
      <c r="C512" s="80"/>
      <c r="D512" s="49">
        <f xml:space="preserve"> D479 + D484 - D490 + D508 + D510</f>
        <v>0</v>
      </c>
      <c r="E512" s="50">
        <v>276</v>
      </c>
      <c r="F512" s="50">
        <f xml:space="preserve"> F479 + F484 - F490 + F508 + F510</f>
        <v>189</v>
      </c>
      <c r="G512" s="50">
        <f xml:space="preserve"> G479 + G484 - G490 + G508 + G510</f>
        <v>184</v>
      </c>
      <c r="H512" s="186">
        <f xml:space="preserve"> H479 + H484 - H490 + H508 + H510</f>
        <v>172</v>
      </c>
      <c r="I512" s="186">
        <f t="shared" ref="I512:L512" si="173" xml:space="preserve"> I479 + I484 - I490 + I508 + I510</f>
        <v>235</v>
      </c>
      <c r="J512" s="186">
        <f t="shared" si="173"/>
        <v>342</v>
      </c>
      <c r="K512" s="390"/>
      <c r="L512" s="51">
        <f t="shared" si="173"/>
        <v>0</v>
      </c>
      <c r="M512" s="31"/>
      <c r="N512" s="31"/>
      <c r="O512" s="33"/>
    </row>
    <row r="513" spans="1:15">
      <c r="B513" s="6"/>
      <c r="D513" s="7"/>
      <c r="E513" s="7"/>
      <c r="F513" s="7"/>
      <c r="G513" s="31"/>
      <c r="H513" s="31"/>
      <c r="I513" s="31"/>
      <c r="J513" s="31"/>
      <c r="K513" s="31"/>
      <c r="L513" s="31"/>
      <c r="M513" s="31"/>
      <c r="N513" s="31"/>
      <c r="O513" s="33"/>
    </row>
    <row r="514" spans="1:15" ht="15.75" thickBot="1">
      <c r="M514" s="33"/>
      <c r="N514" s="33"/>
      <c r="O514" s="33"/>
    </row>
    <row r="515" spans="1:15">
      <c r="A515" s="8"/>
      <c r="B515" s="8"/>
      <c r="C515" s="8"/>
      <c r="D515" s="8"/>
      <c r="E515" s="8"/>
      <c r="F515" s="8"/>
      <c r="G515" s="8"/>
      <c r="H515" s="8"/>
      <c r="I515" s="8"/>
      <c r="J515" s="8"/>
      <c r="K515" s="8"/>
      <c r="L515" s="8"/>
      <c r="M515" s="33"/>
      <c r="N515" s="33"/>
      <c r="O515" s="33"/>
    </row>
    <row r="516" spans="1:15">
      <c r="B516" s="33"/>
      <c r="C516" s="33"/>
      <c r="D516" s="33"/>
      <c r="E516" s="33"/>
      <c r="F516" s="33"/>
      <c r="G516" s="33"/>
      <c r="H516" s="33"/>
      <c r="I516" s="33"/>
      <c r="J516" s="33"/>
      <c r="K516" s="33"/>
      <c r="L516" s="33"/>
      <c r="M516" s="33"/>
      <c r="N516" s="33"/>
      <c r="O516" s="33"/>
    </row>
    <row r="517" spans="1:15" ht="21">
      <c r="A517" s="14" t="s">
        <v>4</v>
      </c>
      <c r="B517" s="14"/>
      <c r="C517" s="46" t="str">
        <f>B13</f>
        <v>Lemolo 2 (Upgrade 2009)</v>
      </c>
      <c r="D517" s="47"/>
      <c r="E517" s="24"/>
      <c r="F517" s="24"/>
      <c r="M517" s="33"/>
      <c r="N517" s="33"/>
      <c r="O517" s="33"/>
    </row>
    <row r="518" spans="1:15">
      <c r="M518" s="26"/>
      <c r="N518" s="26"/>
      <c r="O518" s="33"/>
    </row>
    <row r="519" spans="1:15" ht="18.75">
      <c r="A519" s="9" t="s">
        <v>21</v>
      </c>
      <c r="B519" s="9"/>
      <c r="D519" s="2">
        <f>'Facility Detail'!$B$1752</f>
        <v>2011</v>
      </c>
      <c r="E519" s="2">
        <f>D519+1</f>
        <v>2012</v>
      </c>
      <c r="F519" s="2">
        <f>E519+1</f>
        <v>2013</v>
      </c>
      <c r="G519" s="2">
        <f>F519+1</f>
        <v>2014</v>
      </c>
      <c r="H519" s="2">
        <f>G519+1</f>
        <v>2015</v>
      </c>
      <c r="I519" s="2">
        <f>H519+1</f>
        <v>2016</v>
      </c>
      <c r="J519" s="2">
        <f t="shared" ref="J519:L519" si="174">I519+1</f>
        <v>2017</v>
      </c>
      <c r="K519" s="2">
        <f t="shared" si="174"/>
        <v>2018</v>
      </c>
      <c r="L519" s="2">
        <f t="shared" si="174"/>
        <v>2019</v>
      </c>
      <c r="M519" s="25"/>
      <c r="N519" s="25"/>
      <c r="O519" s="33"/>
    </row>
    <row r="520" spans="1:15">
      <c r="B520" s="88" t="str">
        <f>"Total MWh Produced / Purchased from " &amp; C517</f>
        <v>Total MWh Produced / Purchased from Lemolo 2 (Upgrade 2009)</v>
      </c>
      <c r="C520" s="80"/>
      <c r="D520" s="3"/>
      <c r="E520" s="4">
        <v>1780.5182</v>
      </c>
      <c r="F520" s="4">
        <v>1290.0086000000001</v>
      </c>
      <c r="G520" s="4">
        <v>1355</v>
      </c>
      <c r="H520" s="4">
        <v>1066</v>
      </c>
      <c r="I520" s="99">
        <v>1144</v>
      </c>
      <c r="J520" s="322">
        <v>1567</v>
      </c>
      <c r="K520" s="391"/>
      <c r="L520" s="334"/>
      <c r="M520" s="25"/>
      <c r="N520" s="25"/>
      <c r="O520" s="33"/>
    </row>
    <row r="521" spans="1:15">
      <c r="B521" s="88" t="s">
        <v>25</v>
      </c>
      <c r="C521" s="80"/>
      <c r="D521" s="62"/>
      <c r="E521" s="63">
        <v>1</v>
      </c>
      <c r="F521" s="63">
        <v>1</v>
      </c>
      <c r="G521" s="63">
        <v>1</v>
      </c>
      <c r="H521" s="63">
        <v>1</v>
      </c>
      <c r="I521" s="63">
        <v>1</v>
      </c>
      <c r="J521" s="344">
        <v>1</v>
      </c>
      <c r="K521" s="344">
        <v>1</v>
      </c>
      <c r="L521" s="345">
        <v>1</v>
      </c>
      <c r="M521" s="25"/>
      <c r="N521" s="25"/>
      <c r="O521" s="33"/>
    </row>
    <row r="522" spans="1:15">
      <c r="B522" s="88" t="s">
        <v>20</v>
      </c>
      <c r="C522" s="80"/>
      <c r="D522" s="54"/>
      <c r="E522" s="55">
        <v>7.9619999999999996E-2</v>
      </c>
      <c r="F522" s="55">
        <v>7.8747999999999999E-2</v>
      </c>
      <c r="G522" s="55">
        <v>8.0235000000000001E-2</v>
      </c>
      <c r="H522" s="55">
        <v>8.0535999999999996E-2</v>
      </c>
      <c r="I522" s="275">
        <v>8.1698151927344531E-2</v>
      </c>
      <c r="J522" s="275">
        <v>8.0833713568703974E-2</v>
      </c>
      <c r="K522" s="275">
        <v>7.9769759999999995E-2</v>
      </c>
      <c r="L522" s="335"/>
      <c r="M522" s="25"/>
      <c r="N522" s="25"/>
      <c r="O522" s="33"/>
    </row>
    <row r="523" spans="1:15">
      <c r="B523" s="85" t="s">
        <v>22</v>
      </c>
      <c r="C523" s="86"/>
      <c r="D523" s="41">
        <f xml:space="preserve"> ROUND(D520 * D521 * D522,0)</f>
        <v>0</v>
      </c>
      <c r="E523" s="41">
        <f t="shared" ref="E523:H523" si="175" xml:space="preserve"> ROUND(E520 * E521 * E522,0)</f>
        <v>142</v>
      </c>
      <c r="F523" s="41">
        <f t="shared" si="175"/>
        <v>102</v>
      </c>
      <c r="G523" s="41">
        <f t="shared" si="175"/>
        <v>109</v>
      </c>
      <c r="H523" s="41">
        <f t="shared" si="175"/>
        <v>86</v>
      </c>
      <c r="I523" s="337">
        <v>95</v>
      </c>
      <c r="J523" s="337">
        <v>127</v>
      </c>
      <c r="K523" s="380"/>
      <c r="L523" s="337"/>
      <c r="M523" s="25"/>
      <c r="N523" s="25"/>
      <c r="O523" s="33"/>
    </row>
    <row r="524" spans="1:15">
      <c r="B524" s="24"/>
      <c r="C524" s="33"/>
      <c r="D524" s="40"/>
      <c r="E524" s="40"/>
      <c r="F524" s="40"/>
      <c r="G524" s="25"/>
      <c r="H524" s="25"/>
      <c r="I524" s="25"/>
      <c r="J524" s="25"/>
      <c r="K524" s="25"/>
      <c r="L524" s="25"/>
      <c r="M524" s="25"/>
      <c r="N524" s="25"/>
      <c r="O524" s="33"/>
    </row>
    <row r="525" spans="1:15" ht="18.75">
      <c r="A525" s="48" t="s">
        <v>119</v>
      </c>
      <c r="C525" s="33"/>
      <c r="D525" s="2">
        <f>'Facility Detail'!$B$1752</f>
        <v>2011</v>
      </c>
      <c r="E525" s="2">
        <f>D525+1</f>
        <v>2012</v>
      </c>
      <c r="F525" s="2">
        <f>E525+1</f>
        <v>2013</v>
      </c>
      <c r="G525" s="2">
        <f>G519</f>
        <v>2014</v>
      </c>
      <c r="H525" s="2">
        <f>H519</f>
        <v>2015</v>
      </c>
      <c r="I525" s="2">
        <f>I519</f>
        <v>2016</v>
      </c>
      <c r="J525" s="2">
        <f t="shared" ref="J525" si="176">J519</f>
        <v>2017</v>
      </c>
      <c r="K525" s="2">
        <f t="shared" ref="K525:L525" si="177">K519</f>
        <v>2018</v>
      </c>
      <c r="L525" s="2">
        <f t="shared" si="177"/>
        <v>2019</v>
      </c>
      <c r="M525" s="25"/>
      <c r="N525" s="25"/>
      <c r="O525" s="33"/>
    </row>
    <row r="526" spans="1:15">
      <c r="B526" s="88" t="s">
        <v>10</v>
      </c>
      <c r="C526" s="80"/>
      <c r="D526" s="57">
        <f>IF( $E13 = "Eligible", D523 * 'Facility Detail'!$B$1749, 0 )</f>
        <v>0</v>
      </c>
      <c r="E526" s="11">
        <f>IF( $E13 = "Eligible", E523 * 'Facility Detail'!$B$1749, 0 )</f>
        <v>0</v>
      </c>
      <c r="F526" s="11">
        <f>IF( $E13 = "Eligible", F523 * 'Facility Detail'!$B$1749, 0 )</f>
        <v>0</v>
      </c>
      <c r="G526" s="11">
        <v>0</v>
      </c>
      <c r="H526" s="11">
        <v>0</v>
      </c>
      <c r="I526" s="11">
        <v>0</v>
      </c>
      <c r="J526" s="11">
        <v>0</v>
      </c>
      <c r="K526" s="11">
        <v>0</v>
      </c>
      <c r="L526" s="12">
        <v>0</v>
      </c>
      <c r="M526" s="31"/>
      <c r="N526" s="31"/>
      <c r="O526" s="33"/>
    </row>
    <row r="527" spans="1:15">
      <c r="B527" s="88" t="s">
        <v>6</v>
      </c>
      <c r="C527" s="80"/>
      <c r="D527" s="58">
        <f>IF( $F13 = "Eligible", D523, 0 )</f>
        <v>0</v>
      </c>
      <c r="E527" s="59">
        <f>IF( $F13 = "Eligible", E523, 0 )</f>
        <v>0</v>
      </c>
      <c r="F527" s="59">
        <f>IF( $F13 = "Eligible", F523, 0 )</f>
        <v>0</v>
      </c>
      <c r="G527" s="59">
        <f>IF( $E473 = "Eligible", G523, 0 )</f>
        <v>0</v>
      </c>
      <c r="H527" s="59">
        <f>IF( $E473 = "Eligible", H523, 0 )</f>
        <v>0</v>
      </c>
      <c r="I527" s="59">
        <f>IF( $E473 = "Eligible", I523, 0 )</f>
        <v>0</v>
      </c>
      <c r="J527" s="59">
        <f t="shared" ref="J527" si="178">IF( $E473 = "Eligible", J523, 0 )</f>
        <v>0</v>
      </c>
      <c r="K527" s="59">
        <f t="shared" ref="K527:L527" si="179">IF( $E473 = "Eligible", K523, 0 )</f>
        <v>0</v>
      </c>
      <c r="L527" s="60">
        <f t="shared" si="179"/>
        <v>0</v>
      </c>
      <c r="M527" s="31"/>
      <c r="N527" s="31"/>
      <c r="O527" s="33"/>
    </row>
    <row r="528" spans="1:15">
      <c r="B528" s="87" t="s">
        <v>121</v>
      </c>
      <c r="C528" s="86"/>
      <c r="D528" s="43">
        <f t="shared" ref="D528:J528" si="180">SUM(D526:D527)</f>
        <v>0</v>
      </c>
      <c r="E528" s="44">
        <f t="shared" si="180"/>
        <v>0</v>
      </c>
      <c r="F528" s="44">
        <f t="shared" si="180"/>
        <v>0</v>
      </c>
      <c r="G528" s="44">
        <f t="shared" si="180"/>
        <v>0</v>
      </c>
      <c r="H528" s="44">
        <f t="shared" si="180"/>
        <v>0</v>
      </c>
      <c r="I528" s="44">
        <f t="shared" si="180"/>
        <v>0</v>
      </c>
      <c r="J528" s="44">
        <f t="shared" si="180"/>
        <v>0</v>
      </c>
      <c r="K528" s="44">
        <f t="shared" ref="K528:L528" si="181">SUM(K526:K527)</f>
        <v>0</v>
      </c>
      <c r="L528" s="44">
        <f t="shared" si="181"/>
        <v>0</v>
      </c>
      <c r="M528" s="33"/>
      <c r="N528" s="33"/>
      <c r="O528" s="33"/>
    </row>
    <row r="529" spans="1:15">
      <c r="B529" s="33"/>
      <c r="C529" s="33"/>
      <c r="D529" s="42"/>
      <c r="E529" s="34"/>
      <c r="F529" s="34"/>
      <c r="G529" s="25"/>
      <c r="H529" s="25"/>
      <c r="I529" s="25"/>
      <c r="J529" s="25"/>
      <c r="K529" s="25"/>
      <c r="L529" s="25"/>
      <c r="M529" s="33"/>
      <c r="N529" s="33"/>
      <c r="O529" s="33"/>
    </row>
    <row r="530" spans="1:15" ht="18.75">
      <c r="A530" s="45" t="s">
        <v>30</v>
      </c>
      <c r="C530" s="33"/>
      <c r="D530" s="2">
        <f>'Facility Detail'!$B$1752</f>
        <v>2011</v>
      </c>
      <c r="E530" s="2">
        <f>D530+1</f>
        <v>2012</v>
      </c>
      <c r="F530" s="2">
        <f>E530+1</f>
        <v>2013</v>
      </c>
      <c r="G530" s="2">
        <f>G519</f>
        <v>2014</v>
      </c>
      <c r="H530" s="2">
        <f>H519</f>
        <v>2015</v>
      </c>
      <c r="I530" s="2">
        <f>I519</f>
        <v>2016</v>
      </c>
      <c r="J530" s="2">
        <f t="shared" ref="J530" si="182">J519</f>
        <v>2017</v>
      </c>
      <c r="K530" s="2">
        <f t="shared" ref="K530:L530" si="183">K519</f>
        <v>2018</v>
      </c>
      <c r="L530" s="2">
        <f t="shared" si="183"/>
        <v>2019</v>
      </c>
      <c r="M530" s="33"/>
      <c r="N530" s="33"/>
      <c r="O530" s="33"/>
    </row>
    <row r="531" spans="1:15">
      <c r="B531" s="88" t="s">
        <v>47</v>
      </c>
      <c r="C531" s="80"/>
      <c r="D531" s="98"/>
      <c r="E531" s="99"/>
      <c r="F531" s="99"/>
      <c r="G531" s="99"/>
      <c r="H531" s="99"/>
      <c r="I531" s="99"/>
      <c r="J531" s="99"/>
      <c r="K531" s="99"/>
      <c r="L531" s="100"/>
      <c r="M531" s="33"/>
      <c r="N531" s="33"/>
      <c r="O531" s="33"/>
    </row>
    <row r="532" spans="1:15">
      <c r="B532" s="89" t="s">
        <v>23</v>
      </c>
      <c r="C532" s="207"/>
      <c r="D532" s="101"/>
      <c r="E532" s="102"/>
      <c r="F532" s="102"/>
      <c r="G532" s="102"/>
      <c r="H532" s="102"/>
      <c r="I532" s="102"/>
      <c r="J532" s="102"/>
      <c r="K532" s="102"/>
      <c r="L532" s="103"/>
      <c r="M532" s="26"/>
      <c r="N532" s="26"/>
      <c r="O532" s="33"/>
    </row>
    <row r="533" spans="1:15">
      <c r="B533" s="104" t="s">
        <v>89</v>
      </c>
      <c r="C533" s="205"/>
      <c r="D533" s="65"/>
      <c r="E533" s="66"/>
      <c r="F533" s="66"/>
      <c r="G533" s="66"/>
      <c r="H533" s="66"/>
      <c r="I533" s="66"/>
      <c r="J533" s="66"/>
      <c r="K533" s="66"/>
      <c r="L533" s="67"/>
      <c r="M533" s="26"/>
      <c r="N533" s="26"/>
      <c r="O533" s="33"/>
    </row>
    <row r="534" spans="1:15">
      <c r="B534" s="36" t="s">
        <v>90</v>
      </c>
      <c r="D534" s="7">
        <f t="shared" ref="D534:I534" si="184">SUM(D531:D533)</f>
        <v>0</v>
      </c>
      <c r="E534" s="7">
        <f t="shared" si="184"/>
        <v>0</v>
      </c>
      <c r="F534" s="7">
        <f t="shared" si="184"/>
        <v>0</v>
      </c>
      <c r="G534" s="7">
        <f t="shared" si="184"/>
        <v>0</v>
      </c>
      <c r="H534" s="7">
        <f t="shared" si="184"/>
        <v>0</v>
      </c>
      <c r="I534" s="7">
        <f t="shared" si="184"/>
        <v>0</v>
      </c>
      <c r="J534" s="7"/>
      <c r="K534" s="7"/>
      <c r="L534" s="7"/>
      <c r="M534" s="25"/>
      <c r="N534" s="25"/>
      <c r="O534" s="33"/>
    </row>
    <row r="535" spans="1:15">
      <c r="B535" s="6"/>
      <c r="D535" s="7"/>
      <c r="E535" s="7"/>
      <c r="F535" s="7"/>
      <c r="G535" s="31"/>
      <c r="H535" s="31"/>
      <c r="I535" s="31"/>
      <c r="J535" s="31"/>
      <c r="K535" s="31"/>
      <c r="L535" s="31"/>
      <c r="M535" s="25"/>
      <c r="N535" s="25"/>
      <c r="O535" s="33"/>
    </row>
    <row r="536" spans="1:15" ht="18.75">
      <c r="A536" s="9" t="s">
        <v>100</v>
      </c>
      <c r="D536" s="2">
        <f>'Facility Detail'!$B$1752</f>
        <v>2011</v>
      </c>
      <c r="E536" s="2">
        <f>D536+1</f>
        <v>2012</v>
      </c>
      <c r="F536" s="2">
        <f>E536+1</f>
        <v>2013</v>
      </c>
      <c r="G536" s="2">
        <f>F536+1</f>
        <v>2014</v>
      </c>
      <c r="H536" s="2">
        <f>G536+1</f>
        <v>2015</v>
      </c>
      <c r="I536" s="2">
        <f>H536+1</f>
        <v>2016</v>
      </c>
      <c r="J536" s="2">
        <f t="shared" ref="J536" si="185">I536+1</f>
        <v>2017</v>
      </c>
      <c r="K536" s="2">
        <f t="shared" ref="K536" si="186">J536+1</f>
        <v>2018</v>
      </c>
      <c r="L536" s="2">
        <f t="shared" ref="L536" si="187">K536+1</f>
        <v>2019</v>
      </c>
      <c r="M536" s="25"/>
      <c r="N536" s="25"/>
      <c r="O536" s="33"/>
    </row>
    <row r="537" spans="1:15">
      <c r="B537" s="88" t="str">
        <f xml:space="preserve"> 'Facility Detail'!$B$1752 &amp; " Surplus Applied to " &amp; ( 'Facility Detail'!$B$1752 + 1 )</f>
        <v>2011 Surplus Applied to 2012</v>
      </c>
      <c r="C537" s="33"/>
      <c r="D537" s="3"/>
      <c r="E537" s="68">
        <f>D537</f>
        <v>0</v>
      </c>
      <c r="F537" s="152"/>
      <c r="G537" s="152"/>
      <c r="H537" s="152"/>
      <c r="I537" s="152"/>
      <c r="J537" s="152"/>
      <c r="K537" s="152"/>
      <c r="L537" s="69"/>
      <c r="M537" s="25"/>
      <c r="N537" s="25"/>
      <c r="O537" s="33"/>
    </row>
    <row r="538" spans="1:15">
      <c r="B538" s="88" t="str">
        <f xml:space="preserve"> ( 'Facility Detail'!$B$1752 + 1 ) &amp; " Surplus Applied to " &amp; ( 'Facility Detail'!$B$1752 )</f>
        <v>2012 Surplus Applied to 2011</v>
      </c>
      <c r="C538" s="33"/>
      <c r="D538" s="189">
        <f>E538</f>
        <v>0</v>
      </c>
      <c r="E538" s="10"/>
      <c r="F538" s="83"/>
      <c r="G538" s="83"/>
      <c r="H538" s="83"/>
      <c r="I538" s="83"/>
      <c r="J538" s="83"/>
      <c r="K538" s="83"/>
      <c r="L538" s="190"/>
      <c r="M538" s="25"/>
      <c r="N538" s="25"/>
      <c r="O538" s="33"/>
    </row>
    <row r="539" spans="1:15">
      <c r="B539" s="88" t="str">
        <f xml:space="preserve"> ( 'Facility Detail'!$B$1752 + 1 ) &amp; " Surplus Applied to " &amp; ( 'Facility Detail'!$B$1752 + 2 )</f>
        <v>2012 Surplus Applied to 2013</v>
      </c>
      <c r="C539" s="33"/>
      <c r="D539" s="70"/>
      <c r="E539" s="10"/>
      <c r="F539" s="79">
        <f>E539</f>
        <v>0</v>
      </c>
      <c r="G539" s="83"/>
      <c r="H539" s="83"/>
      <c r="I539" s="83"/>
      <c r="J539" s="83"/>
      <c r="K539" s="83"/>
      <c r="L539" s="190"/>
      <c r="M539" s="31"/>
      <c r="N539" s="31"/>
      <c r="O539" s="33"/>
    </row>
    <row r="540" spans="1:15">
      <c r="B540" s="88" t="str">
        <f xml:space="preserve"> ( 'Facility Detail'!$B$1752 + 2 ) &amp; " Surplus Applied to " &amp; ( 'Facility Detail'!$B$1752 + 1 )</f>
        <v>2013 Surplus Applied to 2012</v>
      </c>
      <c r="C540" s="33"/>
      <c r="D540" s="70"/>
      <c r="E540" s="79">
        <f>F540</f>
        <v>0</v>
      </c>
      <c r="F540" s="188"/>
      <c r="G540" s="83"/>
      <c r="H540" s="83"/>
      <c r="I540" s="83"/>
      <c r="J540" s="83"/>
      <c r="K540" s="83"/>
      <c r="L540" s="190"/>
      <c r="M540" s="31"/>
      <c r="N540" s="31"/>
      <c r="O540" s="33"/>
    </row>
    <row r="541" spans="1:15">
      <c r="B541" s="88" t="str">
        <f xml:space="preserve"> ( 'Facility Detail'!$B$1752 + 2 ) &amp; " Surplus Applied to " &amp; ( 'Facility Detail'!$B$1752 + 3 )</f>
        <v>2013 Surplus Applied to 2014</v>
      </c>
      <c r="C541" s="33"/>
      <c r="D541" s="70"/>
      <c r="E541" s="172"/>
      <c r="F541" s="10"/>
      <c r="G541" s="173">
        <f>F541</f>
        <v>0</v>
      </c>
      <c r="H541" s="83"/>
      <c r="I541" s="83"/>
      <c r="J541" s="83"/>
      <c r="K541" s="83"/>
      <c r="L541" s="190"/>
      <c r="M541" s="31"/>
      <c r="N541" s="31"/>
      <c r="O541" s="33"/>
    </row>
    <row r="542" spans="1:15">
      <c r="B542" s="88" t="str">
        <f xml:space="preserve"> ( 'Facility Detail'!$B$1752 + 3 ) &amp; " Surplus Applied to " &amp; ( 'Facility Detail'!$B$1752 + 2 )</f>
        <v>2014 Surplus Applied to 2013</v>
      </c>
      <c r="C542" s="33"/>
      <c r="D542" s="70"/>
      <c r="E542" s="172"/>
      <c r="F542" s="79">
        <f>G542</f>
        <v>0</v>
      </c>
      <c r="G542" s="10"/>
      <c r="H542" s="83"/>
      <c r="I542" s="83"/>
      <c r="J542" s="83" t="s">
        <v>193</v>
      </c>
      <c r="K542" s="83" t="s">
        <v>193</v>
      </c>
      <c r="L542" s="190" t="s">
        <v>193</v>
      </c>
      <c r="M542" s="31"/>
      <c r="N542" s="31"/>
      <c r="O542" s="33"/>
    </row>
    <row r="543" spans="1:15">
      <c r="B543" s="88" t="str">
        <f xml:space="preserve"> ( 'Facility Detail'!$B$1752 + 3 ) &amp; " Surplus Applied to " &amp; ( 'Facility Detail'!$B$1752 + 4 )</f>
        <v>2014 Surplus Applied to 2015</v>
      </c>
      <c r="C543" s="33"/>
      <c r="D543" s="70"/>
      <c r="E543" s="172"/>
      <c r="F543" s="172"/>
      <c r="G543" s="10"/>
      <c r="H543" s="173">
        <f>G543</f>
        <v>0</v>
      </c>
      <c r="I543" s="172">
        <f>H543</f>
        <v>0</v>
      </c>
      <c r="J543" s="172"/>
      <c r="K543" s="172"/>
      <c r="L543" s="176"/>
      <c r="M543" s="31"/>
      <c r="N543" s="31"/>
      <c r="O543" s="33"/>
    </row>
    <row r="544" spans="1:15">
      <c r="B544" s="88" t="str">
        <f xml:space="preserve"> ( 'Facility Detail'!$B$1752 + 4 ) &amp; " Surplus Applied to " &amp; ( 'Facility Detail'!$B$1752 + 3 )</f>
        <v>2015 Surplus Applied to 2014</v>
      </c>
      <c r="C544" s="33"/>
      <c r="D544" s="70"/>
      <c r="E544" s="172"/>
      <c r="F544" s="172"/>
      <c r="G544" s="79">
        <f>H544</f>
        <v>0</v>
      </c>
      <c r="H544" s="175"/>
      <c r="I544" s="172"/>
      <c r="J544" s="172"/>
      <c r="K544" s="172"/>
      <c r="L544" s="176"/>
      <c r="M544" s="31"/>
      <c r="N544" s="31"/>
      <c r="O544" s="33"/>
    </row>
    <row r="545" spans="1:15">
      <c r="B545" s="88" t="str">
        <f xml:space="preserve"> ( 'Facility Detail'!$B$1752 + 4 ) &amp; " Surplus Applied to " &amp; ( 'Facility Detail'!$B$1752 + 5 )</f>
        <v>2015 Surplus Applied to 2016</v>
      </c>
      <c r="C545" s="33"/>
      <c r="D545" s="70"/>
      <c r="E545" s="172"/>
      <c r="F545" s="172"/>
      <c r="G545" s="172"/>
      <c r="H545" s="175">
        <v>0</v>
      </c>
      <c r="I545" s="173">
        <f>H545</f>
        <v>0</v>
      </c>
      <c r="J545" s="83"/>
      <c r="K545" s="83"/>
      <c r="L545" s="190"/>
      <c r="M545" s="31"/>
      <c r="N545" s="31"/>
      <c r="O545" s="33"/>
    </row>
    <row r="546" spans="1:15">
      <c r="B546" s="88" t="str">
        <f xml:space="preserve"> ( 'Facility Detail'!$B$1752 + 5 ) &amp; " Surplus Applied to " &amp; ( 'Facility Detail'!$B$1752 + 4 )</f>
        <v>2016 Surplus Applied to 2015</v>
      </c>
      <c r="C546" s="33"/>
      <c r="D546" s="70"/>
      <c r="E546" s="172"/>
      <c r="F546" s="172"/>
      <c r="G546" s="172"/>
      <c r="H546" s="79"/>
      <c r="I546" s="175"/>
      <c r="J546" s="83"/>
      <c r="K546" s="83"/>
      <c r="L546" s="190"/>
      <c r="M546" s="31"/>
      <c r="N546" s="31"/>
      <c r="O546" s="33"/>
    </row>
    <row r="547" spans="1:15">
      <c r="B547" s="88" t="str">
        <f xml:space="preserve"> ( 'Facility Detail'!$B$1752 + 5 ) &amp; " Surplus Applied to " &amp; ( 'Facility Detail'!$B$1752 + 6 )</f>
        <v>2016 Surplus Applied to 2017</v>
      </c>
      <c r="C547" s="33"/>
      <c r="D547" s="70"/>
      <c r="E547" s="172"/>
      <c r="F547" s="172"/>
      <c r="G547" s="172"/>
      <c r="H547" s="172"/>
      <c r="I547" s="175">
        <v>0</v>
      </c>
      <c r="J547" s="174"/>
      <c r="K547" s="83"/>
      <c r="L547" s="190"/>
      <c r="M547" s="31"/>
      <c r="N547" s="31"/>
      <c r="O547" s="33"/>
    </row>
    <row r="548" spans="1:15">
      <c r="B548" s="88" t="s">
        <v>191</v>
      </c>
      <c r="C548" s="33"/>
      <c r="D548" s="70"/>
      <c r="E548" s="172"/>
      <c r="F548" s="172"/>
      <c r="G548" s="172"/>
      <c r="H548" s="172"/>
      <c r="I548" s="174">
        <f>J547</f>
        <v>0</v>
      </c>
      <c r="J548" s="175"/>
      <c r="K548" s="172"/>
      <c r="L548" s="190"/>
      <c r="M548" s="31"/>
      <c r="N548" s="31"/>
      <c r="O548" s="33"/>
    </row>
    <row r="549" spans="1:15">
      <c r="B549" s="88" t="s">
        <v>192</v>
      </c>
      <c r="C549" s="33"/>
      <c r="D549" s="70"/>
      <c r="E549" s="172"/>
      <c r="F549" s="172"/>
      <c r="G549" s="172"/>
      <c r="H549" s="172"/>
      <c r="I549" s="172"/>
      <c r="J549" s="175">
        <v>0</v>
      </c>
      <c r="K549" s="79"/>
      <c r="L549" s="176"/>
      <c r="M549" s="31"/>
      <c r="N549" s="31"/>
      <c r="O549" s="33"/>
    </row>
    <row r="550" spans="1:15">
      <c r="B550" s="88" t="s">
        <v>226</v>
      </c>
      <c r="C550" s="33"/>
      <c r="D550" s="70"/>
      <c r="E550" s="172"/>
      <c r="F550" s="172"/>
      <c r="G550" s="172"/>
      <c r="H550" s="172"/>
      <c r="I550" s="172"/>
      <c r="J550" s="174"/>
      <c r="K550" s="175"/>
      <c r="L550" s="176"/>
      <c r="M550" s="31"/>
      <c r="N550" s="31"/>
      <c r="O550" s="33"/>
    </row>
    <row r="551" spans="1:15">
      <c r="B551" s="88" t="s">
        <v>227</v>
      </c>
      <c r="C551" s="33"/>
      <c r="D551" s="71"/>
      <c r="E551" s="154"/>
      <c r="F551" s="154"/>
      <c r="G551" s="154"/>
      <c r="H551" s="154"/>
      <c r="I551" s="154"/>
      <c r="J551" s="154"/>
      <c r="K551" s="177"/>
      <c r="L551" s="332"/>
      <c r="M551" s="31"/>
      <c r="N551" s="31"/>
      <c r="O551" s="33"/>
    </row>
    <row r="552" spans="1:15">
      <c r="B552" s="36" t="s">
        <v>17</v>
      </c>
      <c r="D552" s="214">
        <f xml:space="preserve"> D538 - D537</f>
        <v>0</v>
      </c>
      <c r="E552" s="214">
        <f xml:space="preserve"> E537 + E540 - E539 - E538</f>
        <v>0</v>
      </c>
      <c r="F552" s="214">
        <f>F539 - F540 -F541</f>
        <v>0</v>
      </c>
      <c r="G552" s="214">
        <f>G541-G542-G543</f>
        <v>0</v>
      </c>
      <c r="H552" s="214">
        <f>H543</f>
        <v>0</v>
      </c>
      <c r="I552" s="214">
        <f>I543</f>
        <v>0</v>
      </c>
      <c r="J552" s="214">
        <f>J547-J548-J549</f>
        <v>0</v>
      </c>
      <c r="K552" s="214">
        <f t="shared" ref="K552:L552" si="188">K547-K548-K549</f>
        <v>0</v>
      </c>
      <c r="L552" s="214">
        <f t="shared" si="188"/>
        <v>0</v>
      </c>
      <c r="M552" s="31"/>
      <c r="N552" s="31"/>
      <c r="O552" s="33"/>
    </row>
    <row r="553" spans="1:15">
      <c r="B553" s="6"/>
      <c r="D553" s="7"/>
      <c r="E553" s="7"/>
      <c r="F553" s="7"/>
      <c r="G553" s="7"/>
      <c r="H553" s="7"/>
      <c r="I553" s="7"/>
      <c r="J553" s="7"/>
      <c r="K553" s="7"/>
      <c r="L553" s="7"/>
      <c r="M553" s="25"/>
      <c r="N553" s="25"/>
      <c r="O553" s="33"/>
    </row>
    <row r="554" spans="1:15">
      <c r="B554" s="85" t="s">
        <v>12</v>
      </c>
      <c r="C554" s="80"/>
      <c r="D554" s="111"/>
      <c r="E554" s="112"/>
      <c r="F554" s="112"/>
      <c r="G554" s="112"/>
      <c r="H554" s="112"/>
      <c r="I554" s="112"/>
      <c r="J554" s="112"/>
      <c r="K554" s="112"/>
      <c r="L554" s="113"/>
      <c r="M554" s="25"/>
      <c r="N554" s="25"/>
      <c r="O554" s="33"/>
    </row>
    <row r="555" spans="1:15">
      <c r="B555" s="6"/>
      <c r="D555" s="7"/>
      <c r="E555" s="7"/>
      <c r="F555" s="7"/>
      <c r="G555" s="7"/>
      <c r="H555" s="214"/>
      <c r="I555" s="242"/>
      <c r="J555" s="7"/>
      <c r="K555" s="7"/>
      <c r="L555" s="7"/>
      <c r="M555" s="25"/>
      <c r="N555" s="25"/>
      <c r="O555" s="33"/>
    </row>
    <row r="556" spans="1:15" ht="18.75">
      <c r="A556" s="45" t="s">
        <v>26</v>
      </c>
      <c r="C556" s="80"/>
      <c r="D556" s="49">
        <f xml:space="preserve"> D523 + D528 - D534 + D552 + D554</f>
        <v>0</v>
      </c>
      <c r="E556" s="50">
        <v>142</v>
      </c>
      <c r="F556" s="50">
        <f xml:space="preserve"> F523 + F528 - F534 + F552 + F554</f>
        <v>102</v>
      </c>
      <c r="G556" s="50">
        <f xml:space="preserve"> G523 + G528 - G534 + G552 + G554</f>
        <v>109</v>
      </c>
      <c r="H556" s="50">
        <f xml:space="preserve"> H523 + H528 - H534 + H552 + H554</f>
        <v>86</v>
      </c>
      <c r="I556" s="50">
        <f t="shared" ref="I556:L556" si="189" xml:space="preserve"> I523 + I528 - I534 + I552 + I554</f>
        <v>95</v>
      </c>
      <c r="J556" s="50">
        <f t="shared" si="189"/>
        <v>127</v>
      </c>
      <c r="K556" s="387"/>
      <c r="L556" s="51">
        <f t="shared" si="189"/>
        <v>0</v>
      </c>
      <c r="M556" s="25"/>
      <c r="N556" s="25"/>
      <c r="O556" s="33"/>
    </row>
    <row r="557" spans="1:15">
      <c r="B557" s="6"/>
      <c r="D557" s="7"/>
      <c r="E557" s="7"/>
      <c r="F557" s="7"/>
      <c r="G557" s="31"/>
      <c r="H557" s="31"/>
      <c r="I557" s="31"/>
      <c r="J557" s="31"/>
      <c r="K557" s="31"/>
      <c r="L557" s="31"/>
      <c r="M557" s="25"/>
      <c r="N557" s="25"/>
      <c r="O557" s="33"/>
    </row>
    <row r="558" spans="1:15" ht="15.75" thickBot="1">
      <c r="M558" s="31"/>
      <c r="N558" s="31"/>
      <c r="O558" s="33"/>
    </row>
    <row r="559" spans="1:15">
      <c r="A559" s="8"/>
      <c r="B559" s="8"/>
      <c r="C559" s="8"/>
      <c r="D559" s="8"/>
      <c r="E559" s="8"/>
      <c r="F559" s="8"/>
      <c r="G559" s="8"/>
      <c r="H559" s="8"/>
      <c r="I559" s="8"/>
      <c r="J559" s="8"/>
      <c r="K559" s="8"/>
      <c r="L559" s="8"/>
      <c r="M559" s="31"/>
      <c r="N559" s="31"/>
      <c r="O559" s="33"/>
    </row>
    <row r="560" spans="1:15">
      <c r="B560" s="33"/>
      <c r="C560" s="33"/>
      <c r="D560" s="33"/>
      <c r="E560" s="33"/>
      <c r="F560" s="33"/>
      <c r="G560" s="33"/>
      <c r="H560" s="33"/>
      <c r="I560" s="33"/>
      <c r="J560" s="33"/>
      <c r="K560" s="33"/>
      <c r="L560" s="33"/>
      <c r="M560" s="33"/>
      <c r="N560" s="33"/>
      <c r="O560" s="33"/>
    </row>
    <row r="561" spans="1:15" ht="21">
      <c r="A561" s="14" t="s">
        <v>4</v>
      </c>
      <c r="B561" s="14"/>
      <c r="C561" s="46" t="str">
        <f>B14</f>
        <v>Seven Mile Hill I</v>
      </c>
      <c r="D561" s="47"/>
      <c r="E561" s="24"/>
      <c r="F561" s="24"/>
      <c r="M561" s="33"/>
      <c r="N561" s="33"/>
      <c r="O561" s="33"/>
    </row>
    <row r="562" spans="1:15">
      <c r="M562" s="33"/>
      <c r="N562" s="33"/>
      <c r="O562" s="33"/>
    </row>
    <row r="563" spans="1:15" ht="18.75">
      <c r="A563" s="9" t="s">
        <v>21</v>
      </c>
      <c r="B563" s="9"/>
      <c r="D563" s="2">
        <f>'Facility Detail'!$B$1752</f>
        <v>2011</v>
      </c>
      <c r="E563" s="2">
        <f t="shared" ref="E563:L563" si="190">D563+1</f>
        <v>2012</v>
      </c>
      <c r="F563" s="2">
        <f t="shared" si="190"/>
        <v>2013</v>
      </c>
      <c r="G563" s="2">
        <f t="shared" si="190"/>
        <v>2014</v>
      </c>
      <c r="H563" s="2">
        <f t="shared" si="190"/>
        <v>2015</v>
      </c>
      <c r="I563" s="2">
        <f t="shared" si="190"/>
        <v>2016</v>
      </c>
      <c r="J563" s="2">
        <f t="shared" si="190"/>
        <v>2017</v>
      </c>
      <c r="K563" s="2">
        <f t="shared" si="190"/>
        <v>2018</v>
      </c>
      <c r="L563" s="2">
        <f t="shared" si="190"/>
        <v>2019</v>
      </c>
      <c r="M563" s="26"/>
      <c r="N563" s="26"/>
      <c r="O563" s="33"/>
    </row>
    <row r="564" spans="1:15">
      <c r="B564" s="88" t="str">
        <f>"Total MWh Produced / Purchased from " &amp; C561</f>
        <v>Total MWh Produced / Purchased from Seven Mile Hill I</v>
      </c>
      <c r="C564" s="80"/>
      <c r="D564" s="3"/>
      <c r="E564" s="4"/>
      <c r="F564" s="4"/>
      <c r="G564" s="4"/>
      <c r="H564" s="206"/>
      <c r="I564" s="4">
        <v>4353</v>
      </c>
      <c r="J564" s="322">
        <v>0</v>
      </c>
      <c r="K564" s="391"/>
      <c r="L564" s="163"/>
      <c r="M564" s="25"/>
      <c r="N564" s="25"/>
      <c r="O564" s="33"/>
    </row>
    <row r="565" spans="1:15">
      <c r="B565" s="88" t="s">
        <v>25</v>
      </c>
      <c r="C565" s="80"/>
      <c r="D565" s="62"/>
      <c r="E565" s="63"/>
      <c r="F565" s="63">
        <v>1</v>
      </c>
      <c r="G565" s="227">
        <v>1</v>
      </c>
      <c r="H565" s="226">
        <v>1</v>
      </c>
      <c r="I565" s="227">
        <v>1</v>
      </c>
      <c r="J565" s="63">
        <v>1</v>
      </c>
      <c r="K565" s="63">
        <v>1</v>
      </c>
      <c r="L565" s="64">
        <v>1</v>
      </c>
      <c r="M565" s="25"/>
      <c r="N565" s="25"/>
      <c r="O565" s="33"/>
    </row>
    <row r="566" spans="1:15">
      <c r="B566" s="88" t="s">
        <v>20</v>
      </c>
      <c r="C566" s="80"/>
      <c r="D566" s="54"/>
      <c r="E566" s="55"/>
      <c r="F566" s="55">
        <v>0</v>
      </c>
      <c r="G566" s="55">
        <v>0</v>
      </c>
      <c r="H566" s="55">
        <v>0</v>
      </c>
      <c r="I566" s="55">
        <v>1</v>
      </c>
      <c r="J566" s="275"/>
      <c r="K566" s="275">
        <v>1</v>
      </c>
      <c r="L566" s="276"/>
      <c r="M566" s="25"/>
      <c r="N566" s="25"/>
      <c r="O566" s="33"/>
    </row>
    <row r="567" spans="1:15">
      <c r="B567" s="85" t="s">
        <v>22</v>
      </c>
      <c r="C567" s="86"/>
      <c r="D567" s="41">
        <f>ROUND(D564 * D565 * D566,0)</f>
        <v>0</v>
      </c>
      <c r="E567" s="41">
        <f t="shared" ref="E567:J567" si="191">ROUND(E564 * E565 * E566,0)</f>
        <v>0</v>
      </c>
      <c r="F567" s="41">
        <f t="shared" si="191"/>
        <v>0</v>
      </c>
      <c r="G567" s="41">
        <f t="shared" si="191"/>
        <v>0</v>
      </c>
      <c r="H567" s="41">
        <f t="shared" si="191"/>
        <v>0</v>
      </c>
      <c r="I567" s="337">
        <f t="shared" si="191"/>
        <v>4353</v>
      </c>
      <c r="J567" s="337">
        <f t="shared" si="191"/>
        <v>0</v>
      </c>
      <c r="K567" s="380"/>
      <c r="L567" s="41">
        <f t="shared" ref="L567" si="192">ROUND(L564 * L565 * L566,0)</f>
        <v>0</v>
      </c>
      <c r="M567" s="25"/>
      <c r="N567" s="25"/>
      <c r="O567" s="33"/>
    </row>
    <row r="568" spans="1:15">
      <c r="B568" s="24"/>
      <c r="C568" s="33"/>
      <c r="D568" s="40"/>
      <c r="E568" s="40"/>
      <c r="F568" s="40"/>
      <c r="G568" s="25"/>
      <c r="H568" s="25"/>
      <c r="I568" s="25"/>
      <c r="J568" s="25"/>
      <c r="K568" s="25"/>
      <c r="L568" s="25"/>
      <c r="M568" s="25"/>
      <c r="N568" s="25"/>
      <c r="O568" s="33"/>
    </row>
    <row r="569" spans="1:15" ht="18.75">
      <c r="A569" s="48" t="s">
        <v>119</v>
      </c>
      <c r="C569" s="33"/>
      <c r="D569" s="196">
        <f>'Facility Detail'!$B$1752</f>
        <v>2011</v>
      </c>
      <c r="E569" s="196">
        <f>D569+1</f>
        <v>2012</v>
      </c>
      <c r="F569" s="196">
        <f>E569+1</f>
        <v>2013</v>
      </c>
      <c r="G569" s="196">
        <f t="shared" ref="G569:L569" si="193">G563</f>
        <v>2014</v>
      </c>
      <c r="H569" s="196">
        <f t="shared" si="193"/>
        <v>2015</v>
      </c>
      <c r="I569" s="196">
        <f t="shared" si="193"/>
        <v>2016</v>
      </c>
      <c r="J569" s="196">
        <f t="shared" si="193"/>
        <v>2017</v>
      </c>
      <c r="K569" s="196">
        <f t="shared" si="193"/>
        <v>2018</v>
      </c>
      <c r="L569" s="196">
        <f t="shared" si="193"/>
        <v>2019</v>
      </c>
      <c r="M569" s="25"/>
      <c r="N569" s="25"/>
      <c r="O569" s="33"/>
    </row>
    <row r="570" spans="1:15">
      <c r="B570" s="88" t="s">
        <v>10</v>
      </c>
      <c r="C570" s="80"/>
      <c r="D570" s="57">
        <f>IF( $E14 = "Eligible", D567 * 'Facility Detail'!$B$1749, 0 )</f>
        <v>0</v>
      </c>
      <c r="E570" s="11">
        <f>IF( $E14 = "Eligible", E567 * 'Facility Detail'!$B$1749, 0 )</f>
        <v>0</v>
      </c>
      <c r="F570" s="11">
        <f>IF( $E14 = "Eligible", F567 * 'Facility Detail'!$B$1749, 0 )</f>
        <v>0</v>
      </c>
      <c r="G570" s="11">
        <v>0</v>
      </c>
      <c r="H570" s="11">
        <v>0</v>
      </c>
      <c r="I570" s="11">
        <v>0</v>
      </c>
      <c r="J570" s="11">
        <v>0</v>
      </c>
      <c r="K570" s="11">
        <v>0</v>
      </c>
      <c r="L570" s="12">
        <v>0</v>
      </c>
      <c r="M570" s="25"/>
      <c r="N570" s="25"/>
      <c r="O570" s="33"/>
    </row>
    <row r="571" spans="1:15">
      <c r="B571" s="88" t="s">
        <v>6</v>
      </c>
      <c r="C571" s="80"/>
      <c r="D571" s="58">
        <f>IF( $F14 = "Eligible", D567, 0 )</f>
        <v>0</v>
      </c>
      <c r="E571" s="59">
        <f>IF( $F14 = "Eligible", E567, 0 )</f>
        <v>0</v>
      </c>
      <c r="F571" s="59">
        <f>IF( $F14 = "Eligible", F567, 0 )</f>
        <v>0</v>
      </c>
      <c r="G571" s="59">
        <f>IF( $E517 = "Eligible", G567, 0 )</f>
        <v>0</v>
      </c>
      <c r="H571" s="59">
        <f>IF( $E517 = "Eligible", H567, 0 )</f>
        <v>0</v>
      </c>
      <c r="I571" s="59">
        <f t="shared" ref="I571" si="194">IF( $E517 = "Eligible", I567, 0 )</f>
        <v>0</v>
      </c>
      <c r="J571" s="59">
        <f t="shared" ref="J571" si="195">IF( $E517 = "Eligible", J567, 0 )</f>
        <v>0</v>
      </c>
      <c r="K571" s="59">
        <f t="shared" ref="K571:L571" si="196">IF( $E517 = "Eligible", K567, 0 )</f>
        <v>0</v>
      </c>
      <c r="L571" s="60">
        <f t="shared" si="196"/>
        <v>0</v>
      </c>
      <c r="M571" s="31"/>
      <c r="N571" s="31"/>
      <c r="O571" s="33"/>
    </row>
    <row r="572" spans="1:15">
      <c r="B572" s="87" t="s">
        <v>121</v>
      </c>
      <c r="C572" s="86"/>
      <c r="D572" s="52">
        <f>SUM(D570:D571)</f>
        <v>0</v>
      </c>
      <c r="E572" s="214">
        <f>SUM(E570:E571)</f>
        <v>0</v>
      </c>
      <c r="F572" s="214">
        <f>SUM(F570:F571)</f>
        <v>0</v>
      </c>
      <c r="G572" s="214">
        <f>SUM(G570:G571)</f>
        <v>0</v>
      </c>
      <c r="H572" s="214">
        <f>SUM(H570:H571)</f>
        <v>0</v>
      </c>
      <c r="I572" s="214">
        <f t="shared" ref="I572:J572" si="197">SUM(I570:I571)</f>
        <v>0</v>
      </c>
      <c r="J572" s="214">
        <f t="shared" si="197"/>
        <v>0</v>
      </c>
      <c r="K572" s="214">
        <f t="shared" ref="K572:L572" si="198">SUM(K570:K571)</f>
        <v>0</v>
      </c>
      <c r="L572" s="214">
        <f t="shared" si="198"/>
        <v>0</v>
      </c>
      <c r="M572" s="31"/>
      <c r="N572" s="31"/>
      <c r="O572" s="33"/>
    </row>
    <row r="573" spans="1:15">
      <c r="B573" s="33"/>
      <c r="C573" s="33"/>
      <c r="D573" s="42"/>
      <c r="E573" s="34"/>
      <c r="F573" s="34"/>
      <c r="G573" s="25"/>
      <c r="H573" s="25"/>
      <c r="I573" s="25"/>
      <c r="J573" s="25"/>
      <c r="K573" s="25"/>
      <c r="L573" s="25"/>
      <c r="M573" s="31"/>
      <c r="N573" s="31"/>
      <c r="O573" s="33"/>
    </row>
    <row r="574" spans="1:15" ht="18.75">
      <c r="A574" s="45" t="s">
        <v>30</v>
      </c>
      <c r="C574" s="33"/>
      <c r="D574" s="2">
        <f>'Facility Detail'!$B$1752</f>
        <v>2011</v>
      </c>
      <c r="E574" s="2">
        <f>D574+1</f>
        <v>2012</v>
      </c>
      <c r="F574" s="2">
        <f>E574+1</f>
        <v>2013</v>
      </c>
      <c r="G574" s="2">
        <f t="shared" ref="G574:L574" si="199">G563</f>
        <v>2014</v>
      </c>
      <c r="H574" s="2">
        <f t="shared" si="199"/>
        <v>2015</v>
      </c>
      <c r="I574" s="2">
        <f t="shared" si="199"/>
        <v>2016</v>
      </c>
      <c r="J574" s="2">
        <f t="shared" si="199"/>
        <v>2017</v>
      </c>
      <c r="K574" s="2">
        <f t="shared" si="199"/>
        <v>2018</v>
      </c>
      <c r="L574" s="2">
        <f t="shared" si="199"/>
        <v>2019</v>
      </c>
      <c r="M574" s="33"/>
      <c r="N574" s="33"/>
      <c r="O574" s="33"/>
    </row>
    <row r="575" spans="1:15">
      <c r="B575" s="88" t="s">
        <v>47</v>
      </c>
      <c r="C575" s="80"/>
      <c r="D575" s="98"/>
      <c r="E575" s="99"/>
      <c r="F575" s="99"/>
      <c r="G575" s="99"/>
      <c r="H575" s="99"/>
      <c r="I575" s="99"/>
      <c r="J575" s="99"/>
      <c r="K575" s="99"/>
      <c r="L575" s="163"/>
      <c r="M575" s="33"/>
      <c r="N575" s="33"/>
      <c r="O575" s="33"/>
    </row>
    <row r="576" spans="1:15">
      <c r="B576" s="89" t="s">
        <v>23</v>
      </c>
      <c r="C576" s="207"/>
      <c r="D576" s="101"/>
      <c r="E576" s="102"/>
      <c r="F576" s="102"/>
      <c r="G576" s="102"/>
      <c r="H576" s="102"/>
      <c r="I576" s="102"/>
      <c r="J576" s="102"/>
      <c r="K576" s="102"/>
      <c r="L576" s="164"/>
      <c r="M576" s="33"/>
      <c r="N576" s="33"/>
      <c r="O576" s="33"/>
    </row>
    <row r="577" spans="1:15">
      <c r="B577" s="104" t="s">
        <v>89</v>
      </c>
      <c r="C577" s="205"/>
      <c r="D577" s="65"/>
      <c r="E577" s="66"/>
      <c r="F577" s="66"/>
      <c r="G577" s="66"/>
      <c r="H577" s="66"/>
      <c r="I577" s="66"/>
      <c r="J577" s="66"/>
      <c r="K577" s="66"/>
      <c r="L577" s="165"/>
      <c r="M577" s="33"/>
      <c r="N577" s="33"/>
      <c r="O577" s="33"/>
    </row>
    <row r="578" spans="1:15">
      <c r="B578" s="36" t="s">
        <v>90</v>
      </c>
      <c r="D578" s="7">
        <f t="shared" ref="D578:J578" si="200">SUM(D575:D577)</f>
        <v>0</v>
      </c>
      <c r="E578" s="7">
        <f t="shared" si="200"/>
        <v>0</v>
      </c>
      <c r="F578" s="7">
        <f t="shared" si="200"/>
        <v>0</v>
      </c>
      <c r="G578" s="7">
        <f t="shared" si="200"/>
        <v>0</v>
      </c>
      <c r="H578" s="7">
        <f t="shared" si="200"/>
        <v>0</v>
      </c>
      <c r="I578" s="7">
        <f t="shared" si="200"/>
        <v>0</v>
      </c>
      <c r="J578" s="7">
        <f t="shared" si="200"/>
        <v>0</v>
      </c>
      <c r="K578" s="7">
        <f t="shared" ref="K578:L578" si="201">SUM(K575:K577)</f>
        <v>0</v>
      </c>
      <c r="L578" s="7">
        <f t="shared" si="201"/>
        <v>0</v>
      </c>
      <c r="M578" s="33"/>
      <c r="N578" s="33"/>
      <c r="O578" s="33"/>
    </row>
    <row r="579" spans="1:15">
      <c r="B579" s="6"/>
      <c r="D579" s="7"/>
      <c r="E579" s="7"/>
      <c r="F579" s="7"/>
      <c r="G579" s="31"/>
      <c r="H579" s="31"/>
      <c r="I579" s="31"/>
      <c r="J579" s="31"/>
      <c r="K579" s="31"/>
      <c r="L579" s="31"/>
      <c r="M579" s="26"/>
      <c r="N579" s="26"/>
      <c r="O579" s="33"/>
    </row>
    <row r="580" spans="1:15" ht="18.75">
      <c r="A580" s="9" t="s">
        <v>100</v>
      </c>
      <c r="D580" s="2">
        <f>'Facility Detail'!$B$1752</f>
        <v>2011</v>
      </c>
      <c r="E580" s="2">
        <f t="shared" ref="E580:L580" si="202">D580+1</f>
        <v>2012</v>
      </c>
      <c r="F580" s="2">
        <f t="shared" si="202"/>
        <v>2013</v>
      </c>
      <c r="G580" s="2">
        <f t="shared" si="202"/>
        <v>2014</v>
      </c>
      <c r="H580" s="2">
        <f t="shared" si="202"/>
        <v>2015</v>
      </c>
      <c r="I580" s="2">
        <f t="shared" si="202"/>
        <v>2016</v>
      </c>
      <c r="J580" s="2">
        <f t="shared" si="202"/>
        <v>2017</v>
      </c>
      <c r="K580" s="2">
        <f t="shared" si="202"/>
        <v>2018</v>
      </c>
      <c r="L580" s="2">
        <f t="shared" si="202"/>
        <v>2019</v>
      </c>
      <c r="M580" s="26"/>
      <c r="N580" s="26"/>
      <c r="O580" s="33"/>
    </row>
    <row r="581" spans="1:15">
      <c r="B581" s="88" t="str">
        <f xml:space="preserve"> 'Facility Detail'!$B$1752 &amp; " Surplus Applied to " &amp; ( 'Facility Detail'!$B$1752 + 1 )</f>
        <v>2011 Surplus Applied to 2012</v>
      </c>
      <c r="C581" s="33"/>
      <c r="D581" s="3"/>
      <c r="E581" s="68">
        <f>D581</f>
        <v>0</v>
      </c>
      <c r="F581" s="152"/>
      <c r="G581" s="152"/>
      <c r="H581" s="152"/>
      <c r="I581" s="152"/>
      <c r="J581" s="152"/>
      <c r="K581" s="152"/>
      <c r="L581" s="69"/>
      <c r="M581" s="26"/>
      <c r="N581" s="26"/>
      <c r="O581" s="33"/>
    </row>
    <row r="582" spans="1:15">
      <c r="B582" s="88" t="str">
        <f xml:space="preserve"> ( 'Facility Detail'!$B$1752 + 1 ) &amp; " Surplus Applied to " &amp; ( 'Facility Detail'!$B$1752 )</f>
        <v>2012 Surplus Applied to 2011</v>
      </c>
      <c r="C582" s="33"/>
      <c r="D582" s="189">
        <f>E582</f>
        <v>0</v>
      </c>
      <c r="E582" s="10"/>
      <c r="F582" s="83"/>
      <c r="G582" s="83"/>
      <c r="H582" s="83"/>
      <c r="I582" s="83"/>
      <c r="J582" s="83"/>
      <c r="K582" s="83"/>
      <c r="L582" s="190"/>
      <c r="M582" s="26"/>
      <c r="N582" s="26"/>
      <c r="O582" s="33"/>
    </row>
    <row r="583" spans="1:15">
      <c r="B583" s="88" t="str">
        <f xml:space="preserve"> ( 'Facility Detail'!$B$1752 + 1 ) &amp; " Surplus Applied to " &amp; ( 'Facility Detail'!$B$1752 + 2 )</f>
        <v>2012 Surplus Applied to 2013</v>
      </c>
      <c r="C583" s="33"/>
      <c r="D583" s="70"/>
      <c r="E583" s="10"/>
      <c r="F583" s="79">
        <f>E583</f>
        <v>0</v>
      </c>
      <c r="G583" s="83"/>
      <c r="H583" s="83"/>
      <c r="I583" s="83"/>
      <c r="J583" s="83"/>
      <c r="K583" s="83"/>
      <c r="L583" s="190"/>
      <c r="M583" s="31"/>
      <c r="N583" s="31"/>
      <c r="O583" s="33"/>
    </row>
    <row r="584" spans="1:15">
      <c r="B584" s="88" t="str">
        <f xml:space="preserve"> ( 'Facility Detail'!$B$1752 + 2 ) &amp; " Surplus Applied to " &amp; ( 'Facility Detail'!$B$1752 + 1 )</f>
        <v>2013 Surplus Applied to 2012</v>
      </c>
      <c r="C584" s="33"/>
      <c r="D584" s="70"/>
      <c r="E584" s="79">
        <f>F584</f>
        <v>0</v>
      </c>
      <c r="F584" s="188"/>
      <c r="G584" s="83"/>
      <c r="H584" s="83"/>
      <c r="I584" s="83"/>
      <c r="J584" s="83"/>
      <c r="K584" s="83"/>
      <c r="L584" s="190"/>
      <c r="M584" s="31"/>
      <c r="N584" s="31"/>
      <c r="O584" s="33"/>
    </row>
    <row r="585" spans="1:15">
      <c r="B585" s="88" t="str">
        <f xml:space="preserve"> ( 'Facility Detail'!$B$1752 + 2 ) &amp; " Surplus Applied to " &amp; ( 'Facility Detail'!$B$1752 + 3 )</f>
        <v>2013 Surplus Applied to 2014</v>
      </c>
      <c r="C585" s="33"/>
      <c r="D585" s="70"/>
      <c r="E585" s="172"/>
      <c r="F585" s="10"/>
      <c r="G585" s="173">
        <f>F585</f>
        <v>0</v>
      </c>
      <c r="H585" s="83"/>
      <c r="I585" s="83"/>
      <c r="J585" s="83"/>
      <c r="K585" s="83"/>
      <c r="L585" s="190"/>
      <c r="M585" s="31"/>
      <c r="N585" s="31"/>
      <c r="O585" s="33"/>
    </row>
    <row r="586" spans="1:15">
      <c r="B586" s="88" t="str">
        <f xml:space="preserve"> ( 'Facility Detail'!$B$1752 + 3 ) &amp; " Surplus Applied to " &amp; ( 'Facility Detail'!$B$1752 + 2 )</f>
        <v>2014 Surplus Applied to 2013</v>
      </c>
      <c r="C586" s="33"/>
      <c r="D586" s="70"/>
      <c r="E586" s="172"/>
      <c r="F586" s="79">
        <f>G586</f>
        <v>0</v>
      </c>
      <c r="G586" s="10"/>
      <c r="H586" s="83"/>
      <c r="I586" s="83"/>
      <c r="J586" s="83" t="s">
        <v>193</v>
      </c>
      <c r="K586" s="83" t="s">
        <v>193</v>
      </c>
      <c r="L586" s="190"/>
      <c r="M586" s="31"/>
      <c r="N586" s="31"/>
      <c r="O586" s="33"/>
    </row>
    <row r="587" spans="1:15">
      <c r="B587" s="88" t="str">
        <f xml:space="preserve"> ( 'Facility Detail'!$B$1752 + 3 ) &amp; " Surplus Applied to " &amp; ( 'Facility Detail'!$B$1752 + 4 )</f>
        <v>2014 Surplus Applied to 2015</v>
      </c>
      <c r="C587" s="33"/>
      <c r="D587" s="70"/>
      <c r="E587" s="172"/>
      <c r="F587" s="172"/>
      <c r="G587" s="10"/>
      <c r="H587" s="173">
        <f>G587</f>
        <v>0</v>
      </c>
      <c r="I587" s="172"/>
      <c r="J587" s="172"/>
      <c r="K587" s="172"/>
      <c r="L587" s="176"/>
      <c r="M587" s="31"/>
      <c r="N587" s="31"/>
      <c r="O587" s="33"/>
    </row>
    <row r="588" spans="1:15">
      <c r="B588" s="88" t="str">
        <f xml:space="preserve"> ( 'Facility Detail'!$B$1752 + 4 ) &amp; " Surplus Applied to " &amp; ( 'Facility Detail'!$B$1752 + 3 )</f>
        <v>2015 Surplus Applied to 2014</v>
      </c>
      <c r="C588" s="33"/>
      <c r="D588" s="70"/>
      <c r="E588" s="172"/>
      <c r="F588" s="172"/>
      <c r="G588" s="174">
        <f>H588</f>
        <v>0</v>
      </c>
      <c r="H588" s="175"/>
      <c r="I588" s="172"/>
      <c r="J588" s="172"/>
      <c r="K588" s="172"/>
      <c r="L588" s="176"/>
      <c r="M588" s="31"/>
      <c r="N588" s="31"/>
      <c r="O588" s="33"/>
    </row>
    <row r="589" spans="1:15">
      <c r="B589" s="88" t="str">
        <f xml:space="preserve"> ( 'Facility Detail'!$B$1752 + 4 ) &amp; " Surplus Applied to " &amp; ( 'Facility Detail'!$B$1752 + 5 )</f>
        <v>2015 Surplus Applied to 2016</v>
      </c>
      <c r="C589" s="33"/>
      <c r="D589" s="70"/>
      <c r="E589" s="172"/>
      <c r="F589" s="172"/>
      <c r="G589" s="172"/>
      <c r="H589" s="358">
        <f>H567</f>
        <v>0</v>
      </c>
      <c r="I589" s="359">
        <f>H589</f>
        <v>0</v>
      </c>
      <c r="J589" s="83"/>
      <c r="K589" s="172"/>
      <c r="L589" s="176"/>
      <c r="M589" s="31"/>
      <c r="N589" s="31"/>
      <c r="O589" s="33"/>
    </row>
    <row r="590" spans="1:15">
      <c r="B590" s="88" t="str">
        <f xml:space="preserve"> ( 'Facility Detail'!$B$1752 + 5 ) &amp; " Surplus Applied to " &amp; ( 'Facility Detail'!$B$1752 + 4 )</f>
        <v>2016 Surplus Applied to 2015</v>
      </c>
      <c r="C590" s="33"/>
      <c r="D590" s="70"/>
      <c r="E590" s="172"/>
      <c r="F590" s="172"/>
      <c r="G590" s="172"/>
      <c r="H590" s="79">
        <f>I590</f>
        <v>0</v>
      </c>
      <c r="I590" s="175"/>
      <c r="J590" s="83"/>
      <c r="K590" s="172"/>
      <c r="L590" s="176"/>
      <c r="M590" s="31"/>
      <c r="N590" s="31"/>
      <c r="O590" s="33"/>
    </row>
    <row r="591" spans="1:15">
      <c r="B591" s="88" t="str">
        <f xml:space="preserve"> ( 'Facility Detail'!$B$1752 + 5 ) &amp; " Surplus Applied to " &amp; ( 'Facility Detail'!$B$1752 + 6 )</f>
        <v>2016 Surplus Applied to 2017</v>
      </c>
      <c r="C591" s="33"/>
      <c r="D591" s="70"/>
      <c r="E591" s="172"/>
      <c r="F591" s="172"/>
      <c r="G591" s="172"/>
      <c r="H591" s="172"/>
      <c r="I591" s="175">
        <f>I567</f>
        <v>4353</v>
      </c>
      <c r="J591" s="174">
        <f>I591</f>
        <v>4353</v>
      </c>
      <c r="K591" s="172"/>
      <c r="L591" s="176"/>
      <c r="M591" s="31"/>
      <c r="N591" s="31"/>
      <c r="O591" s="33"/>
    </row>
    <row r="592" spans="1:15">
      <c r="B592" s="88" t="s">
        <v>191</v>
      </c>
      <c r="C592" s="33"/>
      <c r="D592" s="70"/>
      <c r="E592" s="172"/>
      <c r="F592" s="172"/>
      <c r="G592" s="172"/>
      <c r="H592" s="172"/>
      <c r="I592" s="174"/>
      <c r="J592" s="175"/>
      <c r="K592" s="172"/>
      <c r="L592" s="190"/>
      <c r="M592" s="31"/>
      <c r="N592" s="31"/>
      <c r="O592" s="33"/>
    </row>
    <row r="593" spans="1:15">
      <c r="B593" s="88" t="s">
        <v>192</v>
      </c>
      <c r="C593" s="33"/>
      <c r="D593" s="70"/>
      <c r="E593" s="172"/>
      <c r="F593" s="172"/>
      <c r="G593" s="172"/>
      <c r="H593" s="172"/>
      <c r="I593" s="172"/>
      <c r="J593" s="175">
        <v>0</v>
      </c>
      <c r="K593" s="79"/>
      <c r="L593" s="176">
        <f>K593</f>
        <v>0</v>
      </c>
      <c r="M593" s="31"/>
      <c r="N593" s="31"/>
      <c r="O593" s="33"/>
    </row>
    <row r="594" spans="1:15">
      <c r="B594" s="88" t="s">
        <v>226</v>
      </c>
      <c r="C594" s="33"/>
      <c r="D594" s="70"/>
      <c r="E594" s="172"/>
      <c r="F594" s="172"/>
      <c r="G594" s="172"/>
      <c r="H594" s="172"/>
      <c r="I594" s="172"/>
      <c r="J594" s="174"/>
      <c r="K594" s="175"/>
      <c r="L594" s="176"/>
      <c r="M594" s="31"/>
      <c r="N594" s="31"/>
      <c r="O594" s="33"/>
    </row>
    <row r="595" spans="1:15">
      <c r="B595" s="88" t="s">
        <v>227</v>
      </c>
      <c r="C595" s="33"/>
      <c r="D595" s="71"/>
      <c r="E595" s="154"/>
      <c r="F595" s="154"/>
      <c r="G595" s="154"/>
      <c r="H595" s="154"/>
      <c r="I595" s="154"/>
      <c r="J595" s="154"/>
      <c r="K595" s="177">
        <v>0</v>
      </c>
      <c r="L595" s="332"/>
      <c r="M595" s="31"/>
      <c r="N595" s="31"/>
      <c r="O595" s="33"/>
    </row>
    <row r="596" spans="1:15">
      <c r="B596" s="36" t="s">
        <v>17</v>
      </c>
      <c r="D596" s="214">
        <f xml:space="preserve"> D582 - D581</f>
        <v>0</v>
      </c>
      <c r="E596" s="214">
        <f xml:space="preserve"> E581 + E584 - E583 - E582</f>
        <v>0</v>
      </c>
      <c r="F596" s="214">
        <f>F583 - F584 -F585</f>
        <v>0</v>
      </c>
      <c r="G596" s="214">
        <f>G585-G586-G587</f>
        <v>0</v>
      </c>
      <c r="H596" s="214">
        <f>H587-H588-H589</f>
        <v>0</v>
      </c>
      <c r="I596" s="214">
        <f>I589-I590-I591</f>
        <v>-4353</v>
      </c>
      <c r="J596" s="214">
        <f>J591-J592-J593</f>
        <v>4353</v>
      </c>
      <c r="K596" s="214">
        <f>K593</f>
        <v>0</v>
      </c>
      <c r="L596" s="214">
        <f>L593</f>
        <v>0</v>
      </c>
      <c r="M596" s="31"/>
      <c r="N596" s="31"/>
      <c r="O596" s="33"/>
    </row>
    <row r="597" spans="1:15">
      <c r="B597" s="6"/>
      <c r="D597" s="7"/>
      <c r="E597" s="7"/>
      <c r="F597" s="7"/>
      <c r="G597" s="7"/>
      <c r="H597" s="7"/>
      <c r="I597" s="7"/>
      <c r="J597" s="7"/>
      <c r="K597" s="7"/>
      <c r="L597" s="7"/>
      <c r="M597" s="26"/>
      <c r="N597" s="26"/>
      <c r="O597" s="33"/>
    </row>
    <row r="598" spans="1:15">
      <c r="B598" s="85" t="s">
        <v>12</v>
      </c>
      <c r="C598" s="80"/>
      <c r="D598" s="111"/>
      <c r="E598" s="112"/>
      <c r="F598" s="112"/>
      <c r="G598" s="112"/>
      <c r="H598" s="112"/>
      <c r="I598" s="112"/>
      <c r="J598" s="112"/>
      <c r="K598" s="112"/>
      <c r="L598" s="113"/>
      <c r="M598" s="26"/>
      <c r="N598" s="26"/>
      <c r="O598" s="33"/>
    </row>
    <row r="599" spans="1:15">
      <c r="B599" s="6"/>
      <c r="D599" s="7"/>
      <c r="E599" s="7"/>
      <c r="F599" s="7"/>
      <c r="G599" s="7"/>
      <c r="H599" s="7"/>
      <c r="I599" s="7"/>
      <c r="J599" s="7"/>
      <c r="K599" s="7"/>
      <c r="L599" s="7"/>
      <c r="M599" s="26"/>
      <c r="N599" s="26"/>
      <c r="O599" s="33"/>
    </row>
    <row r="600" spans="1:15" ht="18.75">
      <c r="A600" s="45" t="s">
        <v>26</v>
      </c>
      <c r="C600" s="80"/>
      <c r="D600" s="49">
        <f t="shared" ref="D600:J600" si="203" xml:space="preserve"> D567 + D572 - D578 + D596 + D598</f>
        <v>0</v>
      </c>
      <c r="E600" s="50">
        <f t="shared" si="203"/>
        <v>0</v>
      </c>
      <c r="F600" s="50">
        <f t="shared" si="203"/>
        <v>0</v>
      </c>
      <c r="G600" s="50">
        <f t="shared" si="203"/>
        <v>0</v>
      </c>
      <c r="H600" s="186">
        <f t="shared" si="203"/>
        <v>0</v>
      </c>
      <c r="I600" s="186">
        <f t="shared" si="203"/>
        <v>0</v>
      </c>
      <c r="J600" s="186">
        <f t="shared" si="203"/>
        <v>4353</v>
      </c>
      <c r="K600" s="390"/>
      <c r="L600" s="51">
        <f t="shared" ref="L600" si="204" xml:space="preserve"> L567 + L572 - L578 + L596 + L598</f>
        <v>0</v>
      </c>
      <c r="M600" s="25"/>
      <c r="N600" s="25"/>
      <c r="O600" s="33"/>
    </row>
    <row r="601" spans="1:15">
      <c r="B601" s="6"/>
      <c r="D601" s="7"/>
      <c r="E601" s="7"/>
      <c r="F601" s="7"/>
      <c r="G601" s="31"/>
      <c r="H601" s="31"/>
      <c r="I601" s="31"/>
      <c r="J601" s="31"/>
      <c r="K601" s="31"/>
      <c r="L601" s="31"/>
      <c r="M601" s="25"/>
      <c r="N601" s="25"/>
      <c r="O601" s="33"/>
    </row>
    <row r="602" spans="1:15" ht="15.75" thickBot="1">
      <c r="M602" s="25"/>
      <c r="N602" s="25"/>
      <c r="O602" s="33"/>
    </row>
    <row r="603" spans="1:15">
      <c r="A603" s="8"/>
      <c r="B603" s="8"/>
      <c r="C603" s="8"/>
      <c r="D603" s="8"/>
      <c r="E603" s="8"/>
      <c r="F603" s="8"/>
      <c r="G603" s="8"/>
      <c r="H603" s="8"/>
      <c r="I603" s="8"/>
      <c r="J603" s="8"/>
      <c r="K603" s="8"/>
      <c r="L603" s="8"/>
      <c r="M603" s="25"/>
      <c r="N603" s="25"/>
      <c r="O603" s="33"/>
    </row>
    <row r="604" spans="1:15">
      <c r="B604" s="33"/>
      <c r="C604" s="33"/>
      <c r="D604" s="33"/>
      <c r="E604" s="33"/>
      <c r="F604" s="33"/>
      <c r="G604" s="33"/>
      <c r="H604" s="33"/>
      <c r="I604" s="33"/>
      <c r="J604" s="33"/>
      <c r="K604" s="33"/>
      <c r="L604" s="33"/>
      <c r="M604" s="31"/>
      <c r="N604" s="31"/>
      <c r="O604" s="33"/>
    </row>
    <row r="605" spans="1:15" ht="21">
      <c r="A605" s="14" t="s">
        <v>4</v>
      </c>
      <c r="B605" s="14"/>
      <c r="C605" s="46" t="str">
        <f>B15</f>
        <v>Nine Canyon Wind Project - REC Only</v>
      </c>
      <c r="D605" s="47"/>
      <c r="E605" s="24"/>
      <c r="F605" s="24"/>
      <c r="M605" s="31"/>
      <c r="N605" s="31"/>
      <c r="O605" s="33"/>
    </row>
    <row r="606" spans="1:15">
      <c r="M606" s="31"/>
      <c r="N606" s="31"/>
      <c r="O606" s="33"/>
    </row>
    <row r="607" spans="1:15" ht="18.75">
      <c r="A607" s="9" t="s">
        <v>21</v>
      </c>
      <c r="B607" s="9"/>
      <c r="D607" s="2">
        <f>'Facility Detail'!$B$1752</f>
        <v>2011</v>
      </c>
      <c r="E607" s="2">
        <f t="shared" ref="E607:L607" si="205">D607+1</f>
        <v>2012</v>
      </c>
      <c r="F607" s="2">
        <f t="shared" si="205"/>
        <v>2013</v>
      </c>
      <c r="G607" s="2">
        <f t="shared" si="205"/>
        <v>2014</v>
      </c>
      <c r="H607" s="2">
        <f t="shared" si="205"/>
        <v>2015</v>
      </c>
      <c r="I607" s="2">
        <f t="shared" si="205"/>
        <v>2016</v>
      </c>
      <c r="J607" s="2">
        <f t="shared" si="205"/>
        <v>2017</v>
      </c>
      <c r="K607" s="2">
        <f t="shared" si="205"/>
        <v>2018</v>
      </c>
      <c r="L607" s="2">
        <f t="shared" si="205"/>
        <v>2019</v>
      </c>
      <c r="M607" s="33"/>
      <c r="N607" s="33"/>
      <c r="O607" s="33"/>
    </row>
    <row r="608" spans="1:15">
      <c r="B608" s="88" t="str">
        <f>"Total MWh Produced / Purchased from " &amp; C605</f>
        <v>Total MWh Produced / Purchased from Nine Canyon Wind Project - REC Only</v>
      </c>
      <c r="C608" s="80"/>
      <c r="D608" s="3"/>
      <c r="E608" s="4"/>
      <c r="F608" s="4"/>
      <c r="G608" s="4"/>
      <c r="H608" s="4">
        <v>2500</v>
      </c>
      <c r="I608" s="339">
        <v>8225</v>
      </c>
      <c r="J608" s="99"/>
      <c r="K608" s="163"/>
      <c r="L608" s="163"/>
      <c r="M608" s="33"/>
      <c r="N608" s="33"/>
      <c r="O608" s="33"/>
    </row>
    <row r="609" spans="1:15">
      <c r="B609" s="88" t="s">
        <v>25</v>
      </c>
      <c r="C609" s="80"/>
      <c r="D609" s="62"/>
      <c r="E609" s="63"/>
      <c r="F609" s="63"/>
      <c r="G609" s="63"/>
      <c r="H609" s="63">
        <v>1</v>
      </c>
      <c r="I609" s="63">
        <v>1</v>
      </c>
      <c r="J609" s="63">
        <v>1</v>
      </c>
      <c r="K609" s="64">
        <v>1</v>
      </c>
      <c r="L609" s="64">
        <v>2</v>
      </c>
      <c r="M609" s="33"/>
      <c r="N609" s="33"/>
      <c r="O609" s="33"/>
    </row>
    <row r="610" spans="1:15">
      <c r="B610" s="88" t="s">
        <v>20</v>
      </c>
      <c r="C610" s="80"/>
      <c r="D610" s="54"/>
      <c r="E610" s="55"/>
      <c r="F610" s="55"/>
      <c r="G610" s="55"/>
      <c r="H610" s="193">
        <v>1</v>
      </c>
      <c r="I610" s="193">
        <v>1</v>
      </c>
      <c r="J610" s="275"/>
      <c r="K610" s="276"/>
      <c r="L610" s="276"/>
      <c r="M610" s="33"/>
      <c r="N610" s="33"/>
      <c r="O610" s="33"/>
    </row>
    <row r="611" spans="1:15">
      <c r="B611" s="85" t="s">
        <v>22</v>
      </c>
      <c r="C611" s="86"/>
      <c r="D611" s="41">
        <f xml:space="preserve"> D608 * D609 * D610</f>
        <v>0</v>
      </c>
      <c r="E611" s="41">
        <f xml:space="preserve"> E608 * E609 * E610</f>
        <v>0</v>
      </c>
      <c r="F611" s="41">
        <f xml:space="preserve"> F608 * F609 * F610</f>
        <v>0</v>
      </c>
      <c r="G611" s="41">
        <f t="shared" ref="G611:L611" si="206">G608 * G609 * G610</f>
        <v>0</v>
      </c>
      <c r="H611" s="41">
        <f t="shared" si="206"/>
        <v>2500</v>
      </c>
      <c r="I611" s="337">
        <f t="shared" si="206"/>
        <v>8225</v>
      </c>
      <c r="J611" s="41">
        <f t="shared" si="206"/>
        <v>0</v>
      </c>
      <c r="K611" s="41">
        <f t="shared" si="206"/>
        <v>0</v>
      </c>
      <c r="L611" s="41">
        <f t="shared" si="206"/>
        <v>0</v>
      </c>
      <c r="M611" s="26"/>
      <c r="N611" s="26"/>
      <c r="O611" s="33"/>
    </row>
    <row r="612" spans="1:15">
      <c r="B612" s="24"/>
      <c r="C612" s="33"/>
      <c r="D612" s="40"/>
      <c r="E612" s="40"/>
      <c r="F612" s="40"/>
      <c r="G612" s="25"/>
      <c r="H612" s="25"/>
      <c r="I612" s="25"/>
      <c r="J612" s="25"/>
      <c r="K612" s="25"/>
      <c r="L612" s="25"/>
      <c r="M612" s="25"/>
      <c r="N612" s="25"/>
      <c r="O612" s="33"/>
    </row>
    <row r="613" spans="1:15" ht="18.75">
      <c r="A613" s="48" t="s">
        <v>119</v>
      </c>
      <c r="C613" s="33"/>
      <c r="D613" s="2">
        <f>'Facility Detail'!$B$1752</f>
        <v>2011</v>
      </c>
      <c r="E613" s="2">
        <f>D613+1</f>
        <v>2012</v>
      </c>
      <c r="F613" s="2">
        <f>E613+1</f>
        <v>2013</v>
      </c>
      <c r="G613" s="2">
        <f t="shared" ref="G613:L613" si="207">G607</f>
        <v>2014</v>
      </c>
      <c r="H613" s="2">
        <f t="shared" si="207"/>
        <v>2015</v>
      </c>
      <c r="I613" s="2">
        <f t="shared" si="207"/>
        <v>2016</v>
      </c>
      <c r="J613" s="2">
        <f t="shared" si="207"/>
        <v>2017</v>
      </c>
      <c r="K613" s="2">
        <f t="shared" si="207"/>
        <v>2018</v>
      </c>
      <c r="L613" s="2">
        <f t="shared" si="207"/>
        <v>2019</v>
      </c>
      <c r="M613" s="25"/>
      <c r="N613" s="25"/>
      <c r="O613" s="33"/>
    </row>
    <row r="614" spans="1:15">
      <c r="B614" s="88" t="s">
        <v>10</v>
      </c>
      <c r="C614" s="80"/>
      <c r="D614" s="57">
        <f>IF( $E59 = "Eligible", D611 * 'Facility Detail'!$B$1749, 0 )</f>
        <v>0</v>
      </c>
      <c r="E614" s="11">
        <f>IF( $E59 = "Eligible", E611 * 'Facility Detail'!$B$1749, 0 )</f>
        <v>0</v>
      </c>
      <c r="F614" s="11">
        <f>IF( $E59 = "Eligible", F611 * 'Facility Detail'!$B$1749, 0 )</f>
        <v>0</v>
      </c>
      <c r="G614" s="11">
        <v>0</v>
      </c>
      <c r="H614" s="11">
        <v>0</v>
      </c>
      <c r="I614" s="11">
        <v>0</v>
      </c>
      <c r="J614" s="11">
        <v>0</v>
      </c>
      <c r="K614" s="178"/>
      <c r="L614" s="178"/>
      <c r="M614" s="25"/>
      <c r="N614" s="25"/>
      <c r="O614" s="33"/>
    </row>
    <row r="615" spans="1:15">
      <c r="B615" s="88" t="s">
        <v>6</v>
      </c>
      <c r="C615" s="80"/>
      <c r="D615" s="58">
        <f>IF( $F59 = "Eligible", D611, 0 )</f>
        <v>0</v>
      </c>
      <c r="E615" s="59">
        <f>IF( $F59 = "Eligible", E611, 0 )</f>
        <v>0</v>
      </c>
      <c r="F615" s="59">
        <f>IF( $F59 = "Eligible", F611, 0 )</f>
        <v>0</v>
      </c>
      <c r="G615" s="59">
        <f>IF( $E561 = "Eligible", G611, 0 )</f>
        <v>0</v>
      </c>
      <c r="H615" s="59">
        <f>IF( $E561 = "Eligible", H611, 0 )</f>
        <v>0</v>
      </c>
      <c r="I615" s="59">
        <f>IF( $E561 = "Eligible", I611, 0 )</f>
        <v>0</v>
      </c>
      <c r="J615" s="59">
        <f>IF( $E561 = "Eligible", J611, 0 )</f>
        <v>0</v>
      </c>
      <c r="K615" s="162"/>
      <c r="L615" s="162"/>
      <c r="M615" s="25"/>
      <c r="N615" s="25"/>
      <c r="O615" s="33"/>
    </row>
    <row r="616" spans="1:15">
      <c r="B616" s="87" t="s">
        <v>121</v>
      </c>
      <c r="C616" s="86"/>
      <c r="D616" s="43">
        <f t="shared" ref="D616:I616" si="208">SUM(D614:D615)</f>
        <v>0</v>
      </c>
      <c r="E616" s="44">
        <f t="shared" si="208"/>
        <v>0</v>
      </c>
      <c r="F616" s="44">
        <f t="shared" si="208"/>
        <v>0</v>
      </c>
      <c r="G616" s="44">
        <f t="shared" si="208"/>
        <v>0</v>
      </c>
      <c r="H616" s="44">
        <f t="shared" si="208"/>
        <v>0</v>
      </c>
      <c r="I616" s="44">
        <f t="shared" si="208"/>
        <v>0</v>
      </c>
      <c r="J616" s="44">
        <f t="shared" ref="J616" si="209">SUM(J614:J615)</f>
        <v>0</v>
      </c>
      <c r="K616" s="44"/>
      <c r="L616" s="44"/>
      <c r="M616" s="25"/>
      <c r="N616" s="25"/>
      <c r="O616" s="33"/>
    </row>
    <row r="617" spans="1:15">
      <c r="B617" s="33"/>
      <c r="C617" s="33"/>
      <c r="D617" s="42"/>
      <c r="E617" s="34"/>
      <c r="F617" s="34"/>
      <c r="G617" s="25"/>
      <c r="H617" s="25"/>
      <c r="I617" s="25"/>
      <c r="J617" s="25"/>
      <c r="K617" s="25"/>
      <c r="L617" s="25"/>
      <c r="M617" s="25"/>
      <c r="N617" s="25"/>
      <c r="O617" s="33"/>
    </row>
    <row r="618" spans="1:15" ht="18.75">
      <c r="A618" s="45" t="s">
        <v>30</v>
      </c>
      <c r="C618" s="33"/>
      <c r="D618" s="2">
        <f>'Facility Detail'!$B$1752</f>
        <v>2011</v>
      </c>
      <c r="E618" s="2">
        <f>D618+1</f>
        <v>2012</v>
      </c>
      <c r="F618" s="2">
        <f>E618+1</f>
        <v>2013</v>
      </c>
      <c r="G618" s="2">
        <f t="shared" ref="G618:L618" si="210">G607</f>
        <v>2014</v>
      </c>
      <c r="H618" s="2">
        <f t="shared" si="210"/>
        <v>2015</v>
      </c>
      <c r="I618" s="2">
        <f t="shared" si="210"/>
        <v>2016</v>
      </c>
      <c r="J618" s="2">
        <f t="shared" si="210"/>
        <v>2017</v>
      </c>
      <c r="K618" s="2">
        <f t="shared" si="210"/>
        <v>2018</v>
      </c>
      <c r="L618" s="2">
        <f t="shared" si="210"/>
        <v>2019</v>
      </c>
      <c r="M618" s="31"/>
      <c r="N618" s="31"/>
      <c r="O618" s="33"/>
    </row>
    <row r="619" spans="1:15">
      <c r="B619" s="88" t="s">
        <v>47</v>
      </c>
      <c r="C619" s="80"/>
      <c r="D619" s="98"/>
      <c r="E619" s="99"/>
      <c r="F619" s="99"/>
      <c r="G619" s="99"/>
      <c r="H619" s="99"/>
      <c r="I619" s="99"/>
      <c r="J619" s="99"/>
      <c r="K619" s="163"/>
      <c r="L619" s="163"/>
      <c r="M619" s="31"/>
      <c r="N619" s="31"/>
      <c r="O619" s="33"/>
    </row>
    <row r="620" spans="1:15">
      <c r="B620" s="89" t="s">
        <v>23</v>
      </c>
      <c r="C620" s="207"/>
      <c r="D620" s="101"/>
      <c r="E620" s="102"/>
      <c r="F620" s="102"/>
      <c r="G620" s="102"/>
      <c r="H620" s="102"/>
      <c r="I620" s="102"/>
      <c r="J620" s="102"/>
      <c r="K620" s="164"/>
      <c r="L620" s="164"/>
      <c r="M620" s="31"/>
      <c r="N620" s="31"/>
      <c r="O620" s="33"/>
    </row>
    <row r="621" spans="1:15">
      <c r="B621" s="104" t="s">
        <v>89</v>
      </c>
      <c r="C621" s="205"/>
      <c r="D621" s="65"/>
      <c r="E621" s="66"/>
      <c r="F621" s="66"/>
      <c r="G621" s="66"/>
      <c r="H621" s="66"/>
      <c r="I621" s="66"/>
      <c r="J621" s="66"/>
      <c r="K621" s="165"/>
      <c r="L621" s="165"/>
      <c r="M621" s="31"/>
      <c r="N621" s="31"/>
      <c r="O621" s="33"/>
    </row>
    <row r="622" spans="1:15">
      <c r="B622" s="36" t="s">
        <v>90</v>
      </c>
      <c r="D622" s="7">
        <f t="shared" ref="D622:I622" si="211">SUM(D619:D621)</f>
        <v>0</v>
      </c>
      <c r="E622" s="7">
        <f t="shared" si="211"/>
        <v>0</v>
      </c>
      <c r="F622" s="7">
        <f t="shared" si="211"/>
        <v>0</v>
      </c>
      <c r="G622" s="7">
        <f t="shared" si="211"/>
        <v>0</v>
      </c>
      <c r="H622" s="7">
        <f t="shared" si="211"/>
        <v>0</v>
      </c>
      <c r="I622" s="7">
        <f t="shared" si="211"/>
        <v>0</v>
      </c>
      <c r="J622" s="7">
        <f t="shared" ref="J622" si="212">SUM(J619:J621)</f>
        <v>0</v>
      </c>
      <c r="K622" s="7"/>
      <c r="L622" s="7"/>
      <c r="M622" s="33"/>
      <c r="N622" s="33"/>
      <c r="O622" s="33"/>
    </row>
    <row r="623" spans="1:15">
      <c r="B623" s="6"/>
      <c r="D623" s="7"/>
      <c r="E623" s="7"/>
      <c r="F623" s="7"/>
      <c r="G623" s="31"/>
      <c r="H623" s="31"/>
      <c r="I623" s="31"/>
      <c r="J623" s="31"/>
      <c r="K623" s="31"/>
      <c r="L623" s="31"/>
      <c r="M623" s="33"/>
      <c r="N623" s="33"/>
      <c r="O623" s="33"/>
    </row>
    <row r="624" spans="1:15" ht="18.75">
      <c r="A624" s="9" t="s">
        <v>100</v>
      </c>
      <c r="D624" s="2">
        <f>'Facility Detail'!$B$1752</f>
        <v>2011</v>
      </c>
      <c r="E624" s="2">
        <f t="shared" ref="E624:L624" si="213">D624+1</f>
        <v>2012</v>
      </c>
      <c r="F624" s="2">
        <f t="shared" si="213"/>
        <v>2013</v>
      </c>
      <c r="G624" s="2">
        <f t="shared" si="213"/>
        <v>2014</v>
      </c>
      <c r="H624" s="2">
        <f t="shared" si="213"/>
        <v>2015</v>
      </c>
      <c r="I624" s="2">
        <f t="shared" si="213"/>
        <v>2016</v>
      </c>
      <c r="J624" s="2">
        <f t="shared" si="213"/>
        <v>2017</v>
      </c>
      <c r="K624" s="2">
        <f t="shared" si="213"/>
        <v>2018</v>
      </c>
      <c r="L624" s="2">
        <f t="shared" si="213"/>
        <v>2019</v>
      </c>
      <c r="M624" s="33"/>
      <c r="N624" s="33"/>
      <c r="O624" s="33"/>
    </row>
    <row r="625" spans="2:15">
      <c r="B625" s="88" t="str">
        <f xml:space="preserve"> 'Facility Detail'!$B$1752 &amp; " Surplus Applied to " &amp; ( 'Facility Detail'!$B$1752 + 1 )</f>
        <v>2011 Surplus Applied to 2012</v>
      </c>
      <c r="C625" s="80"/>
      <c r="D625" s="3">
        <f>D611</f>
        <v>0</v>
      </c>
      <c r="E625" s="68">
        <f>D625</f>
        <v>0</v>
      </c>
      <c r="F625" s="152"/>
      <c r="G625" s="152"/>
      <c r="H625" s="152"/>
      <c r="I625" s="152"/>
      <c r="J625" s="152"/>
      <c r="K625" s="152"/>
      <c r="L625" s="69"/>
      <c r="M625" s="33"/>
      <c r="N625" s="33"/>
      <c r="O625" s="33"/>
    </row>
    <row r="626" spans="2:15">
      <c r="B626" s="88" t="str">
        <f xml:space="preserve"> ( 'Facility Detail'!$B$1752 + 1 ) &amp; " Surplus Applied to " &amp; ( 'Facility Detail'!$B$1752 )</f>
        <v>2012 Surplus Applied to 2011</v>
      </c>
      <c r="C626" s="80"/>
      <c r="D626" s="189">
        <f>E626</f>
        <v>0</v>
      </c>
      <c r="E626" s="10"/>
      <c r="F626" s="83"/>
      <c r="G626" s="83"/>
      <c r="H626" s="83"/>
      <c r="I626" s="83"/>
      <c r="J626" s="83"/>
      <c r="K626" s="83"/>
      <c r="L626" s="190"/>
      <c r="M626" s="33"/>
      <c r="N626" s="33"/>
      <c r="O626" s="33"/>
    </row>
    <row r="627" spans="2:15">
      <c r="B627" s="88" t="str">
        <f xml:space="preserve"> ( 'Facility Detail'!$B$1752 + 1 ) &amp; " Surplus Applied to " &amp; ( 'Facility Detail'!$B$1752 + 2 )</f>
        <v>2012 Surplus Applied to 2013</v>
      </c>
      <c r="C627" s="80"/>
      <c r="D627" s="70"/>
      <c r="E627" s="10">
        <f>E611</f>
        <v>0</v>
      </c>
      <c r="F627" s="79">
        <f>E627</f>
        <v>0</v>
      </c>
      <c r="G627" s="83"/>
      <c r="H627" s="83"/>
      <c r="I627" s="83"/>
      <c r="J627" s="83"/>
      <c r="K627" s="83"/>
      <c r="L627" s="190"/>
      <c r="M627" s="33"/>
      <c r="N627" s="33"/>
      <c r="O627" s="33"/>
    </row>
    <row r="628" spans="2:15">
      <c r="B628" s="88" t="str">
        <f xml:space="preserve"> ( 'Facility Detail'!$B$1752 + 2 ) &amp; " Surplus Applied to " &amp; ( 'Facility Detail'!$B$1752 + 1 )</f>
        <v>2013 Surplus Applied to 2012</v>
      </c>
      <c r="C628" s="80"/>
      <c r="D628" s="70"/>
      <c r="E628" s="79">
        <f>F628</f>
        <v>0</v>
      </c>
      <c r="F628" s="188"/>
      <c r="G628" s="83"/>
      <c r="H628" s="83"/>
      <c r="I628" s="83"/>
      <c r="J628" s="83"/>
      <c r="K628" s="83"/>
      <c r="L628" s="190"/>
      <c r="M628" s="33"/>
      <c r="N628" s="33"/>
      <c r="O628" s="33"/>
    </row>
    <row r="629" spans="2:15">
      <c r="B629" s="88" t="str">
        <f xml:space="preserve"> ( 'Facility Detail'!$B$1752 + 2 ) &amp; " Surplus Applied to " &amp; ( 'Facility Detail'!$B$1752 + 3 )</f>
        <v>2013 Surplus Applied to 2014</v>
      </c>
      <c r="C629" s="80"/>
      <c r="D629" s="70"/>
      <c r="E629" s="172"/>
      <c r="F629" s="10">
        <f>F611</f>
        <v>0</v>
      </c>
      <c r="G629" s="173">
        <f>F629</f>
        <v>0</v>
      </c>
      <c r="H629" s="83"/>
      <c r="I629" s="83"/>
      <c r="J629" s="83"/>
      <c r="K629" s="83"/>
      <c r="L629" s="190"/>
      <c r="M629" s="33"/>
      <c r="N629" s="33"/>
      <c r="O629" s="33"/>
    </row>
    <row r="630" spans="2:15">
      <c r="B630" s="88" t="str">
        <f xml:space="preserve"> ( 'Facility Detail'!$B$1752 + 3 ) &amp; " Surplus Applied to " &amp; ( 'Facility Detail'!$B$1752 + 2 )</f>
        <v>2014 Surplus Applied to 2013</v>
      </c>
      <c r="C630" s="80"/>
      <c r="D630" s="70"/>
      <c r="E630" s="172"/>
      <c r="F630" s="79">
        <f>G630</f>
        <v>0</v>
      </c>
      <c r="G630" s="10"/>
      <c r="H630" s="83"/>
      <c r="I630" s="83"/>
      <c r="J630" s="83" t="s">
        <v>193</v>
      </c>
      <c r="K630" s="83" t="s">
        <v>193</v>
      </c>
      <c r="L630" s="190"/>
      <c r="M630" s="33"/>
      <c r="N630" s="33"/>
      <c r="O630" s="33"/>
    </row>
    <row r="631" spans="2:15">
      <c r="B631" s="88" t="str">
        <f xml:space="preserve"> ( 'Facility Detail'!$B$1752 + 3 ) &amp; " Surplus Applied to " &amp; ( 'Facility Detail'!$B$1752 + 4 )</f>
        <v>2014 Surplus Applied to 2015</v>
      </c>
      <c r="C631" s="80"/>
      <c r="D631" s="70"/>
      <c r="E631" s="172"/>
      <c r="F631" s="172"/>
      <c r="G631" s="10">
        <f>G611</f>
        <v>0</v>
      </c>
      <c r="H631" s="173">
        <f>G631</f>
        <v>0</v>
      </c>
      <c r="I631" s="172"/>
      <c r="J631" s="172"/>
      <c r="K631" s="172"/>
      <c r="L631" s="176"/>
      <c r="M631" s="33"/>
      <c r="N631" s="33"/>
      <c r="O631" s="33"/>
    </row>
    <row r="632" spans="2:15">
      <c r="B632" s="88" t="str">
        <f xml:space="preserve"> ( 'Facility Detail'!$B$1752 + 4 ) &amp; " Surplus Applied to " &amp; ( 'Facility Detail'!$B$1752 + 3 )</f>
        <v>2015 Surplus Applied to 2014</v>
      </c>
      <c r="C632" s="80"/>
      <c r="D632" s="70"/>
      <c r="E632" s="172"/>
      <c r="F632" s="172"/>
      <c r="G632" s="174"/>
      <c r="H632" s="10"/>
      <c r="I632" s="172"/>
      <c r="J632" s="172"/>
      <c r="K632" s="172"/>
      <c r="L632" s="176"/>
      <c r="M632" s="33"/>
      <c r="N632" s="33"/>
      <c r="O632" s="33"/>
    </row>
    <row r="633" spans="2:15">
      <c r="B633" s="88" t="str">
        <f xml:space="preserve"> ( 'Facility Detail'!$B$1752 + 4 ) &amp; " Surplus Applied to " &amp; ( 'Facility Detail'!$B$1752 + 5 )</f>
        <v>2015 Surplus Applied to 2016</v>
      </c>
      <c r="C633" s="80"/>
      <c r="D633" s="70"/>
      <c r="E633" s="172"/>
      <c r="F633" s="172"/>
      <c r="G633" s="172"/>
      <c r="H633" s="10">
        <f>H611</f>
        <v>2500</v>
      </c>
      <c r="I633" s="173">
        <f>H633</f>
        <v>2500</v>
      </c>
      <c r="J633" s="83"/>
      <c r="K633" s="83"/>
      <c r="L633" s="176"/>
      <c r="M633" s="33"/>
      <c r="N633" s="33"/>
      <c r="O633" s="33"/>
    </row>
    <row r="634" spans="2:15">
      <c r="B634" s="88" t="str">
        <f xml:space="preserve"> ( 'Facility Detail'!$B$1752 + 5 ) &amp; " Surplus Applied to " &amp; ( 'Facility Detail'!$B$1752 + 4 )</f>
        <v>2016 Surplus Applied to 2015</v>
      </c>
      <c r="C634" s="33"/>
      <c r="D634" s="70"/>
      <c r="E634" s="172"/>
      <c r="F634" s="172"/>
      <c r="G634" s="172"/>
      <c r="H634" s="79"/>
      <c r="I634" s="175"/>
      <c r="J634" s="83"/>
      <c r="K634" s="83"/>
      <c r="L634" s="176"/>
      <c r="M634" s="33"/>
      <c r="N634" s="33"/>
      <c r="O634" s="33"/>
    </row>
    <row r="635" spans="2:15">
      <c r="B635" s="88" t="str">
        <f xml:space="preserve"> ( 'Facility Detail'!$B$1752 + 5 ) &amp; " Surplus Applied to " &amp; ( 'Facility Detail'!$B$1752 + 6 )</f>
        <v>2016 Surplus Applied to 2017</v>
      </c>
      <c r="C635" s="33"/>
      <c r="D635" s="70"/>
      <c r="E635" s="172"/>
      <c r="F635" s="172"/>
      <c r="G635" s="172"/>
      <c r="H635" s="172"/>
      <c r="I635" s="175">
        <f>I611</f>
        <v>8225</v>
      </c>
      <c r="J635" s="79">
        <f>I635</f>
        <v>8225</v>
      </c>
      <c r="K635" s="83"/>
      <c r="L635" s="190"/>
      <c r="M635" s="33"/>
      <c r="N635" s="33"/>
      <c r="O635" s="33"/>
    </row>
    <row r="636" spans="2:15">
      <c r="B636" s="88" t="s">
        <v>191</v>
      </c>
      <c r="C636" s="33"/>
      <c r="D636" s="70"/>
      <c r="E636" s="172"/>
      <c r="F636" s="172"/>
      <c r="G636" s="172"/>
      <c r="H636" s="172"/>
      <c r="I636" s="174"/>
      <c r="J636" s="175"/>
      <c r="K636" s="83"/>
      <c r="L636" s="190"/>
      <c r="M636" s="33"/>
      <c r="N636" s="33"/>
      <c r="O636" s="33"/>
    </row>
    <row r="637" spans="2:15">
      <c r="B637" s="88" t="s">
        <v>192</v>
      </c>
      <c r="C637" s="33"/>
      <c r="D637" s="71"/>
      <c r="E637" s="154"/>
      <c r="F637" s="154"/>
      <c r="G637" s="154"/>
      <c r="H637" s="154"/>
      <c r="I637" s="154"/>
      <c r="J637" s="177"/>
      <c r="K637" s="234"/>
      <c r="L637" s="362"/>
      <c r="M637" s="33"/>
      <c r="N637" s="33"/>
      <c r="O637" s="33"/>
    </row>
    <row r="638" spans="2:15">
      <c r="B638" s="36" t="s">
        <v>17</v>
      </c>
      <c r="D638" s="7">
        <f xml:space="preserve"> D626 - D625</f>
        <v>0</v>
      </c>
      <c r="E638" s="7">
        <f xml:space="preserve"> E625 + E628 - E627 - E626</f>
        <v>0</v>
      </c>
      <c r="F638" s="7">
        <f>F627 - F628 -F629</f>
        <v>0</v>
      </c>
      <c r="G638" s="7">
        <f>G629-G630-G631</f>
        <v>0</v>
      </c>
      <c r="H638" s="7">
        <f>H631-H632-H633</f>
        <v>-2500</v>
      </c>
      <c r="I638" s="340">
        <f>I633-I634-I635</f>
        <v>-5725</v>
      </c>
      <c r="J638" s="340">
        <f>J635-J636-J637</f>
        <v>8225</v>
      </c>
      <c r="K638" s="7">
        <f>K637</f>
        <v>0</v>
      </c>
      <c r="L638" s="7">
        <f>L637</f>
        <v>0</v>
      </c>
      <c r="M638" s="33"/>
      <c r="N638" s="33"/>
      <c r="O638" s="33"/>
    </row>
    <row r="639" spans="2:15">
      <c r="B639" s="6"/>
      <c r="D639" s="7"/>
      <c r="E639" s="7"/>
      <c r="F639" s="7"/>
      <c r="G639" s="31"/>
      <c r="H639" s="31"/>
      <c r="I639" s="31"/>
      <c r="J639" s="31"/>
      <c r="K639" s="31"/>
      <c r="L639" s="31"/>
      <c r="M639" s="33"/>
      <c r="N639" s="33"/>
      <c r="O639" s="33"/>
    </row>
    <row r="640" spans="2:15">
      <c r="B640" s="85" t="s">
        <v>12</v>
      </c>
      <c r="C640" s="80"/>
      <c r="D640" s="111"/>
      <c r="E640" s="112"/>
      <c r="F640" s="112"/>
      <c r="G640" s="112"/>
      <c r="H640" s="112"/>
      <c r="I640" s="112"/>
      <c r="J640" s="112"/>
      <c r="K640" s="166"/>
      <c r="L640" s="166"/>
      <c r="M640" s="33"/>
      <c r="N640" s="33"/>
      <c r="O640" s="33"/>
    </row>
    <row r="641" spans="1:15">
      <c r="B641" s="6"/>
      <c r="D641" s="7"/>
      <c r="E641" s="7"/>
      <c r="F641" s="7"/>
      <c r="G641" s="31"/>
      <c r="H641" s="31"/>
      <c r="I641" s="31"/>
      <c r="J641" s="31"/>
      <c r="K641" s="31"/>
      <c r="L641" s="31"/>
      <c r="M641" s="33"/>
      <c r="N641" s="33"/>
      <c r="O641" s="33"/>
    </row>
    <row r="642" spans="1:15" ht="18.75">
      <c r="A642" s="45" t="s">
        <v>26</v>
      </c>
      <c r="C642" s="80"/>
      <c r="D642" s="49">
        <f t="shared" ref="D642:I642" si="214" xml:space="preserve"> D611 + D616 - D622 + D638 + D640</f>
        <v>0</v>
      </c>
      <c r="E642" s="50">
        <f t="shared" si="214"/>
        <v>0</v>
      </c>
      <c r="F642" s="50">
        <f t="shared" si="214"/>
        <v>0</v>
      </c>
      <c r="G642" s="50">
        <f t="shared" si="214"/>
        <v>0</v>
      </c>
      <c r="H642" s="50">
        <f t="shared" si="214"/>
        <v>0</v>
      </c>
      <c r="I642" s="50">
        <f t="shared" si="214"/>
        <v>2500</v>
      </c>
      <c r="J642" s="50">
        <f t="shared" ref="J642" si="215" xml:space="preserve"> J611 + J616 - J622 + J638 + J640</f>
        <v>8225</v>
      </c>
      <c r="K642" s="51">
        <f t="shared" ref="K642:L642" si="216" xml:space="preserve"> K611 + K616 - K622 + K638 + K640</f>
        <v>0</v>
      </c>
      <c r="L642" s="51">
        <f t="shared" si="216"/>
        <v>0</v>
      </c>
      <c r="M642" s="33"/>
      <c r="N642" s="33"/>
      <c r="O642" s="33"/>
    </row>
    <row r="643" spans="1:15">
      <c r="B643" s="6"/>
      <c r="D643" s="7"/>
      <c r="E643" s="7"/>
      <c r="F643" s="7"/>
      <c r="G643" s="31"/>
      <c r="H643" s="31"/>
      <c r="I643" s="31"/>
      <c r="J643" s="31"/>
      <c r="K643" s="31"/>
      <c r="L643" s="31"/>
      <c r="M643" s="26"/>
      <c r="N643" s="26"/>
      <c r="O643" s="33"/>
    </row>
    <row r="644" spans="1:15" ht="15.75" thickBot="1">
      <c r="M644" s="25"/>
      <c r="N644" s="25"/>
      <c r="O644" s="33"/>
    </row>
    <row r="645" spans="1:15">
      <c r="A645" s="8"/>
      <c r="B645" s="8"/>
      <c r="C645" s="8"/>
      <c r="D645" s="8"/>
      <c r="E645" s="8"/>
      <c r="F645" s="8"/>
      <c r="G645" s="8"/>
      <c r="H645" s="8"/>
      <c r="I645" s="8"/>
      <c r="J645" s="8"/>
      <c r="K645" s="8"/>
      <c r="L645" s="8"/>
      <c r="M645" s="25"/>
      <c r="N645" s="25"/>
      <c r="O645" s="33"/>
    </row>
    <row r="646" spans="1:15">
      <c r="B646" s="33"/>
      <c r="C646" s="33"/>
      <c r="D646" s="33"/>
      <c r="E646" s="33"/>
      <c r="F646" s="33"/>
      <c r="G646" s="33"/>
      <c r="H646" s="33"/>
      <c r="I646" s="33"/>
      <c r="J646" s="33"/>
      <c r="K646" s="33"/>
      <c r="L646" s="33"/>
      <c r="M646" s="25"/>
      <c r="N646" s="25"/>
      <c r="O646" s="33"/>
    </row>
    <row r="647" spans="1:15" ht="21">
      <c r="A647" s="14" t="s">
        <v>4</v>
      </c>
      <c r="B647" s="14"/>
      <c r="C647" s="46" t="str">
        <f>B16</f>
        <v>Top of the World</v>
      </c>
      <c r="D647" s="47"/>
      <c r="E647" s="24"/>
      <c r="F647" s="24"/>
      <c r="M647" s="25"/>
      <c r="N647" s="25"/>
      <c r="O647" s="33"/>
    </row>
    <row r="648" spans="1:15">
      <c r="M648" s="31"/>
      <c r="N648" s="31"/>
      <c r="O648" s="33"/>
    </row>
    <row r="649" spans="1:15" ht="18.75">
      <c r="A649" s="9" t="s">
        <v>21</v>
      </c>
      <c r="B649" s="9"/>
      <c r="D649" s="2">
        <f>'Facility Detail'!$B$1752</f>
        <v>2011</v>
      </c>
      <c r="E649" s="2">
        <f t="shared" ref="E649:L649" si="217">D649+1</f>
        <v>2012</v>
      </c>
      <c r="F649" s="2">
        <f t="shared" si="217"/>
        <v>2013</v>
      </c>
      <c r="G649" s="2">
        <f t="shared" si="217"/>
        <v>2014</v>
      </c>
      <c r="H649" s="2">
        <f t="shared" si="217"/>
        <v>2015</v>
      </c>
      <c r="I649" s="2">
        <f t="shared" si="217"/>
        <v>2016</v>
      </c>
      <c r="J649" s="2">
        <f t="shared" si="217"/>
        <v>2017</v>
      </c>
      <c r="K649" s="2">
        <f t="shared" si="217"/>
        <v>2018</v>
      </c>
      <c r="L649" s="2">
        <f t="shared" si="217"/>
        <v>2019</v>
      </c>
      <c r="M649" s="31"/>
      <c r="N649" s="31"/>
      <c r="O649" s="33"/>
    </row>
    <row r="650" spans="1:15">
      <c r="B650" s="88" t="str">
        <f>"Total MWh Produced / Purchased from " &amp; C647</f>
        <v>Total MWh Produced / Purchased from Top of the World</v>
      </c>
      <c r="C650" s="80"/>
      <c r="D650" s="3"/>
      <c r="E650" s="4"/>
      <c r="F650" s="4"/>
      <c r="G650" s="4"/>
      <c r="H650" s="4">
        <v>570069</v>
      </c>
      <c r="I650" s="360">
        <v>651049</v>
      </c>
      <c r="J650" s="322">
        <v>611543</v>
      </c>
      <c r="K650" s="391"/>
      <c r="L650" s="334"/>
      <c r="M650" s="31"/>
      <c r="N650" s="31"/>
      <c r="O650" s="33"/>
    </row>
    <row r="651" spans="1:15">
      <c r="B651" s="88" t="s">
        <v>25</v>
      </c>
      <c r="C651" s="80"/>
      <c r="D651" s="62"/>
      <c r="E651" s="63"/>
      <c r="F651" s="63"/>
      <c r="G651" s="63"/>
      <c r="H651" s="63">
        <v>1</v>
      </c>
      <c r="I651" s="223">
        <v>1</v>
      </c>
      <c r="J651" s="63">
        <v>1</v>
      </c>
      <c r="K651" s="63">
        <v>1</v>
      </c>
      <c r="L651" s="64"/>
      <c r="M651" s="31"/>
      <c r="N651" s="31"/>
      <c r="O651" s="33"/>
    </row>
    <row r="652" spans="1:15">
      <c r="B652" s="88" t="s">
        <v>20</v>
      </c>
      <c r="C652" s="80"/>
      <c r="D652" s="54"/>
      <c r="E652" s="55"/>
      <c r="F652" s="55"/>
      <c r="G652" s="55"/>
      <c r="H652" s="55">
        <v>8.0535999999999996E-2</v>
      </c>
      <c r="I652" s="55">
        <v>8.1698151927344531E-2</v>
      </c>
      <c r="J652" s="275">
        <v>8.0833713568703974E-2</v>
      </c>
      <c r="K652" s="275">
        <v>7.9769759999999995E-2</v>
      </c>
      <c r="L652" s="335"/>
      <c r="M652" s="33"/>
      <c r="N652" s="33"/>
      <c r="O652" s="33"/>
    </row>
    <row r="653" spans="1:15">
      <c r="B653" s="85" t="s">
        <v>22</v>
      </c>
      <c r="C653" s="86"/>
      <c r="D653" s="41">
        <f xml:space="preserve"> ROUND(D650 * D651 * D652,0)</f>
        <v>0</v>
      </c>
      <c r="E653" s="41">
        <f t="shared" ref="E653:H653" si="218" xml:space="preserve"> ROUND(E650 * E651 * E652,0)</f>
        <v>0</v>
      </c>
      <c r="F653" s="41">
        <f t="shared" si="218"/>
        <v>0</v>
      </c>
      <c r="G653" s="41">
        <f t="shared" si="218"/>
        <v>0</v>
      </c>
      <c r="H653" s="41">
        <f t="shared" si="218"/>
        <v>45911</v>
      </c>
      <c r="I653" s="337">
        <v>53189</v>
      </c>
      <c r="J653" s="337">
        <v>49434</v>
      </c>
      <c r="K653" s="380"/>
      <c r="L653" s="337">
        <f t="shared" ref="L653" si="219" xml:space="preserve"> ROUND(L650 * L651 * L652,0)</f>
        <v>0</v>
      </c>
      <c r="M653" s="33"/>
      <c r="N653" s="33"/>
      <c r="O653" s="33"/>
    </row>
    <row r="654" spans="1:15">
      <c r="B654" s="24"/>
      <c r="C654" s="33"/>
      <c r="D654" s="40"/>
      <c r="E654" s="40"/>
      <c r="F654" s="40"/>
      <c r="G654" s="25"/>
      <c r="H654" s="25"/>
      <c r="I654" s="25"/>
      <c r="J654" s="25"/>
      <c r="K654" s="25"/>
      <c r="L654" s="25"/>
      <c r="M654" s="33"/>
      <c r="N654" s="33"/>
      <c r="O654" s="33"/>
    </row>
    <row r="655" spans="1:15" ht="18.75">
      <c r="A655" s="48" t="s">
        <v>119</v>
      </c>
      <c r="C655" s="33"/>
      <c r="D655" s="2">
        <f>'Facility Detail'!$B$1752</f>
        <v>2011</v>
      </c>
      <c r="E655" s="2">
        <f t="shared" ref="E655:L655" si="220">D655+1</f>
        <v>2012</v>
      </c>
      <c r="F655" s="2">
        <f t="shared" si="220"/>
        <v>2013</v>
      </c>
      <c r="G655" s="2">
        <f t="shared" si="220"/>
        <v>2014</v>
      </c>
      <c r="H655" s="2">
        <f t="shared" si="220"/>
        <v>2015</v>
      </c>
      <c r="I655" s="2">
        <f t="shared" si="220"/>
        <v>2016</v>
      </c>
      <c r="J655" s="2">
        <f t="shared" si="220"/>
        <v>2017</v>
      </c>
      <c r="K655" s="2">
        <f t="shared" si="220"/>
        <v>2018</v>
      </c>
      <c r="L655" s="2">
        <f t="shared" si="220"/>
        <v>2019</v>
      </c>
      <c r="M655" s="33"/>
      <c r="N655" s="33"/>
      <c r="O655" s="33"/>
    </row>
    <row r="656" spans="1:15">
      <c r="B656" s="88" t="s">
        <v>10</v>
      </c>
      <c r="C656" s="80"/>
      <c r="D656" s="57">
        <f>IF( $E16 = "Eligible", D653 * 'Facility Detail'!$B$1749, 0 )</f>
        <v>0</v>
      </c>
      <c r="E656" s="11">
        <f>IF( $E16 = "Eligible", E653 * 'Facility Detail'!$B$1749, 0 )</f>
        <v>0</v>
      </c>
      <c r="F656" s="11">
        <f>IF( $E16 = "Eligible", F653 * 'Facility Detail'!$B$1749, 0 )</f>
        <v>0</v>
      </c>
      <c r="G656" s="217">
        <f>IF( $E16 = "Eligible", G653 * 'Facility Detail'!$B$1749, 0 )</f>
        <v>0</v>
      </c>
      <c r="H656" s="217">
        <f>IF( $E16 = "Eligible", H653 * 'Facility Detail'!$B$1749, 0 )</f>
        <v>0</v>
      </c>
      <c r="I656" s="11">
        <f>IF( $E16 = "Eligible", I653 * 'Facility Detail'!$B$1749, 0 )</f>
        <v>0</v>
      </c>
      <c r="J656" s="11">
        <f>IF( $E16 = "Eligible", J653 * 'Facility Detail'!$B$1749, 0 )</f>
        <v>0</v>
      </c>
      <c r="K656" s="11"/>
      <c r="L656" s="12"/>
      <c r="M656" s="25"/>
      <c r="N656" s="25"/>
      <c r="O656" s="33"/>
    </row>
    <row r="657" spans="1:15">
      <c r="B657" s="88" t="s">
        <v>6</v>
      </c>
      <c r="C657" s="80"/>
      <c r="D657" s="58">
        <f t="shared" ref="D657:J657" si="221">IF( $F16 = "Eligible", D653, 0 )</f>
        <v>0</v>
      </c>
      <c r="E657" s="59">
        <f t="shared" si="221"/>
        <v>0</v>
      </c>
      <c r="F657" s="59">
        <f t="shared" si="221"/>
        <v>0</v>
      </c>
      <c r="G657" s="218">
        <f t="shared" si="221"/>
        <v>0</v>
      </c>
      <c r="H657" s="218">
        <f t="shared" si="221"/>
        <v>0</v>
      </c>
      <c r="I657" s="59">
        <f t="shared" si="221"/>
        <v>0</v>
      </c>
      <c r="J657" s="59">
        <f t="shared" si="221"/>
        <v>0</v>
      </c>
      <c r="K657" s="59"/>
      <c r="L657" s="60"/>
      <c r="M657" s="25"/>
      <c r="N657" s="25"/>
      <c r="O657" s="33"/>
    </row>
    <row r="658" spans="1:15">
      <c r="B658" s="87" t="s">
        <v>121</v>
      </c>
      <c r="C658" s="86"/>
      <c r="D658" s="43">
        <f t="shared" ref="D658:J658" si="222">SUM(D656:D657)</f>
        <v>0</v>
      </c>
      <c r="E658" s="44">
        <f t="shared" si="222"/>
        <v>0</v>
      </c>
      <c r="F658" s="44">
        <f t="shared" si="222"/>
        <v>0</v>
      </c>
      <c r="G658" s="44">
        <f t="shared" si="222"/>
        <v>0</v>
      </c>
      <c r="H658" s="44">
        <f t="shared" si="222"/>
        <v>0</v>
      </c>
      <c r="I658" s="44">
        <f t="shared" si="222"/>
        <v>0</v>
      </c>
      <c r="J658" s="44">
        <f t="shared" si="222"/>
        <v>0</v>
      </c>
      <c r="K658" s="44">
        <f t="shared" ref="K658:L658" si="223">SUM(K656:K657)</f>
        <v>0</v>
      </c>
      <c r="L658" s="44">
        <f t="shared" si="223"/>
        <v>0</v>
      </c>
      <c r="M658" s="25"/>
      <c r="N658" s="25"/>
      <c r="O658" s="33"/>
    </row>
    <row r="659" spans="1:15">
      <c r="B659" s="33"/>
      <c r="C659" s="33"/>
      <c r="D659" s="42"/>
      <c r="E659" s="34"/>
      <c r="F659" s="34"/>
      <c r="G659" s="25"/>
      <c r="H659" s="25"/>
      <c r="I659" s="25"/>
      <c r="J659" s="25"/>
      <c r="K659" s="25"/>
      <c r="L659" s="25"/>
      <c r="M659" s="25"/>
      <c r="N659" s="25"/>
      <c r="O659" s="33"/>
    </row>
    <row r="660" spans="1:15" ht="18.75">
      <c r="A660" s="45" t="s">
        <v>30</v>
      </c>
      <c r="C660" s="33"/>
      <c r="D660" s="2">
        <f>'Facility Detail'!$B$1752</f>
        <v>2011</v>
      </c>
      <c r="E660" s="2">
        <f t="shared" ref="E660:L660" si="224">D660+1</f>
        <v>2012</v>
      </c>
      <c r="F660" s="2">
        <f t="shared" si="224"/>
        <v>2013</v>
      </c>
      <c r="G660" s="2">
        <f t="shared" si="224"/>
        <v>2014</v>
      </c>
      <c r="H660" s="2">
        <f t="shared" si="224"/>
        <v>2015</v>
      </c>
      <c r="I660" s="2">
        <f t="shared" si="224"/>
        <v>2016</v>
      </c>
      <c r="J660" s="2">
        <f t="shared" si="224"/>
        <v>2017</v>
      </c>
      <c r="K660" s="2">
        <f t="shared" si="224"/>
        <v>2018</v>
      </c>
      <c r="L660" s="2">
        <f t="shared" si="224"/>
        <v>2019</v>
      </c>
      <c r="M660" s="25"/>
      <c r="N660" s="25"/>
      <c r="O660" s="33"/>
    </row>
    <row r="661" spans="1:15">
      <c r="B661" s="88" t="s">
        <v>47</v>
      </c>
      <c r="C661" s="80"/>
      <c r="D661" s="98"/>
      <c r="E661" s="99"/>
      <c r="F661" s="99"/>
      <c r="G661" s="180"/>
      <c r="H661" s="180"/>
      <c r="I661" s="180"/>
      <c r="J661" s="180"/>
      <c r="K661" s="180"/>
      <c r="L661" s="163"/>
      <c r="M661" s="25"/>
      <c r="N661" s="25"/>
      <c r="O661" s="33"/>
    </row>
    <row r="662" spans="1:15">
      <c r="B662" s="89" t="s">
        <v>23</v>
      </c>
      <c r="C662" s="207"/>
      <c r="D662" s="101"/>
      <c r="E662" s="102"/>
      <c r="F662" s="102"/>
      <c r="G662" s="181"/>
      <c r="H662" s="181"/>
      <c r="I662" s="181"/>
      <c r="J662" s="181"/>
      <c r="K662" s="181"/>
      <c r="L662" s="164"/>
      <c r="M662" s="25"/>
      <c r="N662" s="25"/>
      <c r="O662" s="33"/>
    </row>
    <row r="663" spans="1:15">
      <c r="B663" s="104" t="s">
        <v>89</v>
      </c>
      <c r="C663" s="205"/>
      <c r="D663" s="65"/>
      <c r="E663" s="66"/>
      <c r="F663" s="66"/>
      <c r="G663" s="182"/>
      <c r="H663" s="182"/>
      <c r="I663" s="182"/>
      <c r="J663" s="182"/>
      <c r="K663" s="182"/>
      <c r="L663" s="165"/>
      <c r="M663" s="25"/>
      <c r="N663" s="25"/>
      <c r="O663" s="33"/>
    </row>
    <row r="664" spans="1:15">
      <c r="B664" s="36" t="s">
        <v>90</v>
      </c>
      <c r="D664" s="7">
        <f t="shared" ref="D664:J664" si="225">SUM(D661:D663)</f>
        <v>0</v>
      </c>
      <c r="E664" s="7">
        <f t="shared" si="225"/>
        <v>0</v>
      </c>
      <c r="F664" s="7">
        <f t="shared" si="225"/>
        <v>0</v>
      </c>
      <c r="G664" s="7">
        <f t="shared" si="225"/>
        <v>0</v>
      </c>
      <c r="H664" s="7">
        <f t="shared" si="225"/>
        <v>0</v>
      </c>
      <c r="I664" s="7">
        <f t="shared" si="225"/>
        <v>0</v>
      </c>
      <c r="J664" s="7">
        <f t="shared" si="225"/>
        <v>0</v>
      </c>
      <c r="K664" s="7">
        <f t="shared" ref="K664:L664" si="226">SUM(K661:K663)</f>
        <v>0</v>
      </c>
      <c r="L664" s="7">
        <f t="shared" si="226"/>
        <v>0</v>
      </c>
      <c r="M664" s="31"/>
      <c r="N664" s="31"/>
      <c r="O664" s="33"/>
    </row>
    <row r="665" spans="1:15">
      <c r="B665" s="6"/>
      <c r="D665" s="7"/>
      <c r="E665" s="7"/>
      <c r="F665" s="7"/>
      <c r="G665" s="31"/>
      <c r="H665" s="31"/>
      <c r="I665" s="31"/>
      <c r="J665" s="31"/>
      <c r="K665" s="31"/>
      <c r="L665" s="31"/>
      <c r="M665" s="31"/>
      <c r="N665" s="31"/>
      <c r="O665" s="33"/>
    </row>
    <row r="666" spans="1:15" ht="18.75">
      <c r="A666" s="9" t="s">
        <v>100</v>
      </c>
      <c r="D666" s="2">
        <f>'Facility Detail'!$B$1752</f>
        <v>2011</v>
      </c>
      <c r="E666" s="2">
        <f t="shared" ref="E666:L666" si="227">D666+1</f>
        <v>2012</v>
      </c>
      <c r="F666" s="2">
        <f t="shared" si="227"/>
        <v>2013</v>
      </c>
      <c r="G666" s="2">
        <f t="shared" si="227"/>
        <v>2014</v>
      </c>
      <c r="H666" s="2">
        <f t="shared" si="227"/>
        <v>2015</v>
      </c>
      <c r="I666" s="2">
        <f t="shared" si="227"/>
        <v>2016</v>
      </c>
      <c r="J666" s="2">
        <f t="shared" si="227"/>
        <v>2017</v>
      </c>
      <c r="K666" s="2">
        <f t="shared" si="227"/>
        <v>2018</v>
      </c>
      <c r="L666" s="2">
        <f t="shared" si="227"/>
        <v>2019</v>
      </c>
      <c r="M666" s="31"/>
      <c r="N666" s="31"/>
      <c r="O666" s="33"/>
    </row>
    <row r="667" spans="1:15">
      <c r="B667" s="88" t="str">
        <f xml:space="preserve"> 'Facility Detail'!$B$1752 &amp; " Surplus Applied to " &amp; ( 'Facility Detail'!$B$1752 + 1 )</f>
        <v>2011 Surplus Applied to 2012</v>
      </c>
      <c r="C667" s="33"/>
      <c r="D667" s="3">
        <f>D653</f>
        <v>0</v>
      </c>
      <c r="E667" s="68">
        <f>D667</f>
        <v>0</v>
      </c>
      <c r="F667" s="152"/>
      <c r="G667" s="152"/>
      <c r="H667" s="152"/>
      <c r="I667" s="152"/>
      <c r="J667" s="152"/>
      <c r="K667" s="152"/>
      <c r="L667" s="69"/>
      <c r="M667" s="31"/>
      <c r="N667" s="31"/>
      <c r="O667" s="33"/>
    </row>
    <row r="668" spans="1:15">
      <c r="B668" s="88" t="str">
        <f xml:space="preserve"> ( 'Facility Detail'!$B$1752 + 1 ) &amp; " Surplus Applied to " &amp; ( 'Facility Detail'!$B$1752 )</f>
        <v>2012 Surplus Applied to 2011</v>
      </c>
      <c r="C668" s="33"/>
      <c r="D668" s="189">
        <f>E668</f>
        <v>0</v>
      </c>
      <c r="E668" s="10"/>
      <c r="F668" s="83"/>
      <c r="G668" s="83"/>
      <c r="H668" s="83"/>
      <c r="I668" s="83"/>
      <c r="J668" s="83"/>
      <c r="K668" s="83"/>
      <c r="L668" s="190"/>
      <c r="M668" s="31"/>
      <c r="N668" s="31"/>
      <c r="O668" s="33"/>
    </row>
    <row r="669" spans="1:15">
      <c r="B669" s="88" t="str">
        <f xml:space="preserve"> ( 'Facility Detail'!$B$1752 + 1 ) &amp; " Surplus Applied to " &amp; ( 'Facility Detail'!$B$1752 + 2 )</f>
        <v>2012 Surplus Applied to 2013</v>
      </c>
      <c r="C669" s="33"/>
      <c r="D669" s="70"/>
      <c r="E669" s="10">
        <f>E653</f>
        <v>0</v>
      </c>
      <c r="F669" s="79">
        <f>E669</f>
        <v>0</v>
      </c>
      <c r="G669" s="83"/>
      <c r="H669" s="83"/>
      <c r="I669" s="83"/>
      <c r="J669" s="83"/>
      <c r="K669" s="83"/>
      <c r="L669" s="190"/>
      <c r="M669" s="31"/>
      <c r="N669" s="31"/>
      <c r="O669" s="33"/>
    </row>
    <row r="670" spans="1:15">
      <c r="B670" s="88" t="str">
        <f xml:space="preserve"> ( 'Facility Detail'!$B$1752 + 2 ) &amp; " Surplus Applied to " &amp; ( 'Facility Detail'!$B$1752 + 1 )</f>
        <v>2013 Surplus Applied to 2012</v>
      </c>
      <c r="C670" s="33"/>
      <c r="D670" s="70"/>
      <c r="E670" s="79">
        <f>F670</f>
        <v>0</v>
      </c>
      <c r="F670" s="188"/>
      <c r="G670" s="83"/>
      <c r="H670" s="83"/>
      <c r="I670" s="83"/>
      <c r="J670" s="83"/>
      <c r="K670" s="83"/>
      <c r="L670" s="190"/>
      <c r="M670" s="31"/>
      <c r="N670" s="31"/>
      <c r="O670" s="33"/>
    </row>
    <row r="671" spans="1:15">
      <c r="B671" s="88" t="str">
        <f xml:space="preserve"> ( 'Facility Detail'!$B$1752 + 2 ) &amp; " Surplus Applied to " &amp; ( 'Facility Detail'!$B$1752 + 3 )</f>
        <v>2013 Surplus Applied to 2014</v>
      </c>
      <c r="C671" s="33"/>
      <c r="D671" s="70"/>
      <c r="E671" s="172"/>
      <c r="F671" s="10">
        <f>F653</f>
        <v>0</v>
      </c>
      <c r="G671" s="173">
        <f>F671</f>
        <v>0</v>
      </c>
      <c r="H671" s="83"/>
      <c r="I671" s="83"/>
      <c r="J671" s="83"/>
      <c r="K671" s="83"/>
      <c r="L671" s="190"/>
      <c r="M671" s="31"/>
      <c r="N671" s="31"/>
      <c r="O671" s="33"/>
    </row>
    <row r="672" spans="1:15">
      <c r="B672" s="88" t="str">
        <f xml:space="preserve"> ( 'Facility Detail'!$B$1752 + 3 ) &amp; " Surplus Applied to " &amp; ( 'Facility Detail'!$B$1752 + 2 )</f>
        <v>2014 Surplus Applied to 2013</v>
      </c>
      <c r="C672" s="33"/>
      <c r="D672" s="70"/>
      <c r="E672" s="172"/>
      <c r="F672" s="79">
        <f>G672</f>
        <v>0</v>
      </c>
      <c r="G672" s="10"/>
      <c r="H672" s="83"/>
      <c r="I672" s="83"/>
      <c r="J672" s="83" t="s">
        <v>193</v>
      </c>
      <c r="K672" s="83"/>
      <c r="L672" s="190"/>
      <c r="M672" s="31"/>
      <c r="N672" s="31"/>
      <c r="O672" s="33"/>
    </row>
    <row r="673" spans="1:15">
      <c r="B673" s="88" t="str">
        <f xml:space="preserve"> ( 'Facility Detail'!$B$1752 + 3 ) &amp; " Surplus Applied to " &amp; ( 'Facility Detail'!$B$1752 + 4 )</f>
        <v>2014 Surplus Applied to 2015</v>
      </c>
      <c r="C673" s="33"/>
      <c r="D673" s="70"/>
      <c r="E673" s="172"/>
      <c r="F673" s="172"/>
      <c r="G673" s="10">
        <f>G653</f>
        <v>0</v>
      </c>
      <c r="H673" s="173">
        <f>G673</f>
        <v>0</v>
      </c>
      <c r="I673" s="172"/>
      <c r="J673" s="172"/>
      <c r="K673" s="172"/>
      <c r="L673" s="176"/>
      <c r="M673" s="31"/>
      <c r="N673" s="31"/>
      <c r="O673" s="33"/>
    </row>
    <row r="674" spans="1:15">
      <c r="B674" s="88" t="str">
        <f xml:space="preserve"> ( 'Facility Detail'!$B$1752 + 4 ) &amp; " Surplus Applied to " &amp; ( 'Facility Detail'!$B$1752 + 3 )</f>
        <v>2015 Surplus Applied to 2014</v>
      </c>
      <c r="C674" s="33"/>
      <c r="D674" s="70"/>
      <c r="E674" s="172"/>
      <c r="F674" s="172"/>
      <c r="G674" s="174"/>
      <c r="H674" s="175"/>
      <c r="I674" s="172"/>
      <c r="J674" s="172"/>
      <c r="K674" s="172"/>
      <c r="L674" s="176"/>
      <c r="M674" s="31"/>
      <c r="N674" s="31"/>
      <c r="O674" s="33"/>
    </row>
    <row r="675" spans="1:15">
      <c r="B675" s="88" t="str">
        <f xml:space="preserve"> ( 'Facility Detail'!$B$1752 + 4 ) &amp; " Surplus Applied to " &amp; ( 'Facility Detail'!$B$1752 + 5 )</f>
        <v>2015 Surplus Applied to 2016</v>
      </c>
      <c r="C675" s="33"/>
      <c r="D675" s="70"/>
      <c r="E675" s="172"/>
      <c r="F675" s="172"/>
      <c r="G675" s="172"/>
      <c r="H675" s="358">
        <f>H653</f>
        <v>45911</v>
      </c>
      <c r="I675" s="359">
        <f>H675</f>
        <v>45911</v>
      </c>
      <c r="J675" s="83"/>
      <c r="K675" s="172"/>
      <c r="L675" s="176"/>
      <c r="M675" s="31"/>
      <c r="N675" s="31"/>
      <c r="O675" s="33"/>
    </row>
    <row r="676" spans="1:15">
      <c r="B676" s="88" t="str">
        <f xml:space="preserve"> ( 'Facility Detail'!$B$1752 + 5 ) &amp; " Surplus Applied to " &amp; ( 'Facility Detail'!$B$1752 + 4 )</f>
        <v>2016 Surplus Applied to 2015</v>
      </c>
      <c r="C676" s="33"/>
      <c r="D676" s="70"/>
      <c r="E676" s="172"/>
      <c r="F676" s="172"/>
      <c r="G676" s="172"/>
      <c r="H676" s="79"/>
      <c r="I676" s="175"/>
      <c r="J676" s="83"/>
      <c r="K676" s="172"/>
      <c r="L676" s="176"/>
      <c r="M676" s="31"/>
      <c r="N676" s="31"/>
      <c r="O676" s="33"/>
    </row>
    <row r="677" spans="1:15">
      <c r="B677" s="88" t="str">
        <f xml:space="preserve"> ( 'Facility Detail'!$B$1752 + 5 ) &amp; " Surplus Applied to " &amp; ( 'Facility Detail'!$B$1752 + 6 )</f>
        <v>2016 Surplus Applied to 2017</v>
      </c>
      <c r="C677" s="33"/>
      <c r="D677" s="70"/>
      <c r="E677" s="172"/>
      <c r="F677" s="172"/>
      <c r="G677" s="172"/>
      <c r="H677" s="172"/>
      <c r="I677" s="175">
        <f>I653</f>
        <v>53189</v>
      </c>
      <c r="J677" s="174">
        <f>I677</f>
        <v>53189</v>
      </c>
      <c r="K677" s="172"/>
      <c r="L677" s="176"/>
      <c r="M677" s="31"/>
      <c r="N677" s="31"/>
      <c r="O677" s="33"/>
    </row>
    <row r="678" spans="1:15">
      <c r="B678" s="88" t="s">
        <v>191</v>
      </c>
      <c r="C678" s="33"/>
      <c r="D678" s="70"/>
      <c r="E678" s="172"/>
      <c r="F678" s="172"/>
      <c r="G678" s="172"/>
      <c r="H678" s="172"/>
      <c r="I678" s="174"/>
      <c r="J678" s="175"/>
      <c r="K678" s="172"/>
      <c r="L678" s="190"/>
      <c r="M678" s="31"/>
      <c r="N678" s="31"/>
      <c r="O678" s="33"/>
    </row>
    <row r="679" spans="1:15">
      <c r="B679" s="88" t="s">
        <v>192</v>
      </c>
      <c r="C679" s="33"/>
      <c r="D679" s="70"/>
      <c r="E679" s="172"/>
      <c r="F679" s="172"/>
      <c r="G679" s="172"/>
      <c r="H679" s="172"/>
      <c r="I679" s="172"/>
      <c r="J679" s="175">
        <v>0</v>
      </c>
      <c r="K679" s="79">
        <f>J679</f>
        <v>0</v>
      </c>
      <c r="L679" s="176"/>
      <c r="M679" s="31"/>
      <c r="N679" s="31"/>
      <c r="O679" s="33"/>
    </row>
    <row r="680" spans="1:15">
      <c r="B680" s="88" t="s">
        <v>226</v>
      </c>
      <c r="C680" s="33"/>
      <c r="D680" s="70"/>
      <c r="E680" s="172"/>
      <c r="F680" s="172"/>
      <c r="G680" s="172"/>
      <c r="H680" s="172"/>
      <c r="I680" s="172"/>
      <c r="J680" s="174"/>
      <c r="K680" s="175"/>
      <c r="L680" s="176"/>
      <c r="M680" s="31"/>
      <c r="N680" s="31"/>
      <c r="O680" s="33"/>
    </row>
    <row r="681" spans="1:15">
      <c r="B681" s="88" t="s">
        <v>227</v>
      </c>
      <c r="C681" s="33"/>
      <c r="D681" s="71"/>
      <c r="E681" s="154"/>
      <c r="F681" s="154"/>
      <c r="G681" s="154"/>
      <c r="H681" s="154"/>
      <c r="I681" s="154"/>
      <c r="J681" s="154"/>
      <c r="K681" s="377"/>
      <c r="L681" s="332"/>
      <c r="M681" s="31"/>
      <c r="N681" s="31"/>
      <c r="O681" s="33"/>
    </row>
    <row r="682" spans="1:15">
      <c r="B682" s="36" t="s">
        <v>17</v>
      </c>
      <c r="D682" s="214">
        <f xml:space="preserve"> D673 - D672</f>
        <v>0</v>
      </c>
      <c r="E682" s="214">
        <f xml:space="preserve"> E672 + E675 - E674 - E673</f>
        <v>0</v>
      </c>
      <c r="F682" s="214">
        <v>0</v>
      </c>
      <c r="G682" s="214">
        <f>G671-G672-G673</f>
        <v>0</v>
      </c>
      <c r="H682" s="31">
        <f>H673-H674-H675</f>
        <v>-45911</v>
      </c>
      <c r="I682" s="31">
        <f>I675-I676-I677</f>
        <v>-7278</v>
      </c>
      <c r="J682" s="31">
        <f>J677-J678-J679</f>
        <v>53189</v>
      </c>
      <c r="K682" s="388"/>
      <c r="L682" s="31">
        <f>L679</f>
        <v>0</v>
      </c>
      <c r="M682" s="31"/>
      <c r="N682" s="31"/>
      <c r="O682" s="33"/>
    </row>
    <row r="683" spans="1:15">
      <c r="B683" s="6"/>
      <c r="D683" s="7"/>
      <c r="E683" s="7"/>
      <c r="F683" s="7"/>
      <c r="G683" s="31"/>
      <c r="H683" s="228"/>
      <c r="I683" s="228"/>
      <c r="J683" s="228"/>
      <c r="K683" s="228"/>
      <c r="L683" s="228"/>
      <c r="M683" s="31"/>
      <c r="N683" s="31"/>
      <c r="O683" s="33"/>
    </row>
    <row r="684" spans="1:15">
      <c r="B684" s="85" t="s">
        <v>12</v>
      </c>
      <c r="C684" s="80"/>
      <c r="D684" s="111"/>
      <c r="E684" s="112"/>
      <c r="F684" s="185"/>
      <c r="G684" s="112"/>
      <c r="H684" s="229"/>
      <c r="I684" s="230"/>
      <c r="J684" s="230"/>
      <c r="K684" s="230"/>
      <c r="L684" s="361"/>
      <c r="M684" s="31"/>
      <c r="N684" s="31"/>
      <c r="O684" s="33"/>
    </row>
    <row r="685" spans="1:15">
      <c r="B685" s="6"/>
      <c r="D685" s="7"/>
      <c r="E685" s="7"/>
      <c r="F685" s="7"/>
      <c r="G685" s="7"/>
      <c r="H685" s="231"/>
      <c r="I685" s="231"/>
      <c r="J685" s="231"/>
      <c r="K685" s="231"/>
      <c r="L685" s="231"/>
      <c r="M685" s="31"/>
      <c r="N685" s="31"/>
      <c r="O685" s="33"/>
    </row>
    <row r="686" spans="1:15" ht="18.75">
      <c r="A686" s="45" t="s">
        <v>26</v>
      </c>
      <c r="C686" s="80"/>
      <c r="D686" s="49">
        <f t="shared" ref="D686:J686" si="228" xml:space="preserve"> D653 + D658 - D664 + D682 + D684</f>
        <v>0</v>
      </c>
      <c r="E686" s="50">
        <f t="shared" si="228"/>
        <v>0</v>
      </c>
      <c r="F686" s="186">
        <f t="shared" si="228"/>
        <v>0</v>
      </c>
      <c r="G686" s="186">
        <f t="shared" si="228"/>
        <v>0</v>
      </c>
      <c r="H686" s="186">
        <f t="shared" si="228"/>
        <v>0</v>
      </c>
      <c r="I686" s="186">
        <f t="shared" si="228"/>
        <v>45911</v>
      </c>
      <c r="J686" s="186">
        <f t="shared" si="228"/>
        <v>102623</v>
      </c>
      <c r="K686" s="390"/>
      <c r="L686" s="51">
        <f t="shared" ref="L686" si="229" xml:space="preserve"> L653 + L658 - L664 + L682 + L684</f>
        <v>0</v>
      </c>
      <c r="M686" s="33"/>
      <c r="N686" s="33"/>
      <c r="O686" s="33"/>
    </row>
    <row r="687" spans="1:15">
      <c r="B687" s="6"/>
      <c r="D687" s="7"/>
      <c r="E687" s="7"/>
      <c r="F687" s="7"/>
      <c r="G687" s="31"/>
      <c r="H687" s="31"/>
      <c r="I687" s="31"/>
      <c r="J687" s="31"/>
      <c r="K687" s="31"/>
      <c r="L687" s="31"/>
      <c r="M687" s="33"/>
      <c r="N687" s="33"/>
      <c r="O687" s="33"/>
    </row>
    <row r="688" spans="1:15" ht="15.75" thickBot="1">
      <c r="M688" s="26"/>
      <c r="N688" s="26"/>
      <c r="O688" s="33"/>
    </row>
    <row r="689" spans="1:15">
      <c r="A689" s="8"/>
      <c r="B689" s="8"/>
      <c r="C689" s="8"/>
      <c r="D689" s="8"/>
      <c r="E689" s="8"/>
      <c r="F689" s="8"/>
      <c r="G689" s="8"/>
      <c r="H689" s="8"/>
      <c r="I689" s="8"/>
      <c r="J689" s="8"/>
      <c r="K689" s="8"/>
      <c r="L689" s="8"/>
      <c r="M689" s="25"/>
      <c r="N689" s="25"/>
      <c r="O689" s="33"/>
    </row>
    <row r="690" spans="1:15">
      <c r="B690" s="33"/>
      <c r="C690" s="33"/>
      <c r="D690" s="33"/>
      <c r="E690" s="33"/>
      <c r="F690" s="33"/>
      <c r="G690" s="33"/>
      <c r="H690" s="33"/>
      <c r="I690" s="33"/>
      <c r="J690" s="33"/>
      <c r="K690" s="33"/>
      <c r="L690" s="33"/>
      <c r="M690" s="25"/>
      <c r="N690" s="25"/>
      <c r="O690" s="33"/>
    </row>
    <row r="691" spans="1:15" ht="21">
      <c r="A691" s="14" t="s">
        <v>4</v>
      </c>
      <c r="B691" s="14"/>
      <c r="C691" s="46" t="str">
        <f>B17</f>
        <v>Dunlap I</v>
      </c>
      <c r="D691" s="47"/>
      <c r="E691" s="24"/>
      <c r="F691" s="24"/>
      <c r="M691" s="25"/>
      <c r="N691" s="25"/>
      <c r="O691" s="33"/>
    </row>
    <row r="692" spans="1:15">
      <c r="M692" s="25"/>
      <c r="N692" s="25"/>
      <c r="O692" s="33"/>
    </row>
    <row r="693" spans="1:15" ht="18.75">
      <c r="A693" s="9" t="s">
        <v>21</v>
      </c>
      <c r="B693" s="9"/>
      <c r="D693" s="2">
        <f>'Facility Detail'!$B$1752</f>
        <v>2011</v>
      </c>
      <c r="E693" s="2">
        <f>D693+1</f>
        <v>2012</v>
      </c>
      <c r="F693" s="2">
        <f>E693+1</f>
        <v>2013</v>
      </c>
      <c r="G693" s="2">
        <f t="shared" ref="G693:K693" si="230">F693+1</f>
        <v>2014</v>
      </c>
      <c r="H693" s="2">
        <f t="shared" si="230"/>
        <v>2015</v>
      </c>
      <c r="I693" s="2">
        <f t="shared" si="230"/>
        <v>2016</v>
      </c>
      <c r="J693" s="2">
        <f t="shared" si="230"/>
        <v>2017</v>
      </c>
      <c r="K693" s="2">
        <f t="shared" si="230"/>
        <v>2018</v>
      </c>
      <c r="L693" s="2">
        <v>2019</v>
      </c>
      <c r="M693" s="25"/>
      <c r="N693" s="25"/>
      <c r="O693" s="33"/>
    </row>
    <row r="694" spans="1:15">
      <c r="B694" s="88" t="str">
        <f>"Total MWh Produced / Purchased from " &amp; C691</f>
        <v>Total MWh Produced / Purchased from Dunlap I</v>
      </c>
      <c r="C694" s="80"/>
      <c r="D694" s="3"/>
      <c r="E694" s="4"/>
      <c r="F694" s="4"/>
      <c r="G694" s="221"/>
      <c r="H694" s="4">
        <v>339706</v>
      </c>
      <c r="I694" s="4">
        <v>388498</v>
      </c>
      <c r="J694" s="4">
        <v>351261</v>
      </c>
      <c r="K694" s="381"/>
      <c r="L694" s="163"/>
      <c r="M694" s="25"/>
      <c r="N694" s="25"/>
      <c r="O694" s="33"/>
    </row>
    <row r="695" spans="1:15">
      <c r="B695" s="88" t="s">
        <v>25</v>
      </c>
      <c r="C695" s="80"/>
      <c r="D695" s="62"/>
      <c r="E695" s="63"/>
      <c r="F695" s="63"/>
      <c r="G695" s="223"/>
      <c r="H695" s="63">
        <v>1</v>
      </c>
      <c r="I695" s="63">
        <v>1</v>
      </c>
      <c r="J695" s="63">
        <v>1</v>
      </c>
      <c r="K695" s="63">
        <v>1</v>
      </c>
      <c r="L695" s="64"/>
      <c r="M695" s="25"/>
      <c r="N695" s="25"/>
      <c r="O695" s="33"/>
    </row>
    <row r="696" spans="1:15">
      <c r="B696" s="88" t="s">
        <v>20</v>
      </c>
      <c r="C696" s="80"/>
      <c r="D696" s="54"/>
      <c r="E696" s="55"/>
      <c r="F696" s="55"/>
      <c r="G696" s="216"/>
      <c r="H696" s="55">
        <v>8.0535999999999996E-2</v>
      </c>
      <c r="I696" s="55">
        <v>8.1698151927344531E-2</v>
      </c>
      <c r="J696" s="55">
        <v>8.0833713568703974E-2</v>
      </c>
      <c r="K696" s="55">
        <v>7.9769759999999995E-2</v>
      </c>
      <c r="L696" s="276"/>
      <c r="M696" s="31"/>
      <c r="N696" s="31"/>
      <c r="O696" s="33"/>
    </row>
    <row r="697" spans="1:15">
      <c r="B697" s="85" t="s">
        <v>22</v>
      </c>
      <c r="C697" s="86"/>
      <c r="D697" s="41">
        <f xml:space="preserve"> ROUND(D694 * D695 * D696,0)</f>
        <v>0</v>
      </c>
      <c r="E697" s="41">
        <f t="shared" ref="E697:H697" si="231" xml:space="preserve"> ROUND(E694 * E695 * E696,0)</f>
        <v>0</v>
      </c>
      <c r="F697" s="41">
        <f t="shared" si="231"/>
        <v>0</v>
      </c>
      <c r="G697" s="41">
        <f t="shared" si="231"/>
        <v>0</v>
      </c>
      <c r="H697" s="41">
        <f t="shared" si="231"/>
        <v>27359</v>
      </c>
      <c r="I697" s="41">
        <v>31741</v>
      </c>
      <c r="J697" s="41">
        <v>25412</v>
      </c>
      <c r="K697" s="380"/>
      <c r="L697" s="41">
        <f t="shared" ref="L697" si="232" xml:space="preserve"> ROUND(L694 * L695 * L696,0)</f>
        <v>0</v>
      </c>
      <c r="M697" s="31"/>
      <c r="N697" s="31"/>
      <c r="O697" s="33"/>
    </row>
    <row r="698" spans="1:15">
      <c r="B698" s="24"/>
      <c r="C698" s="33"/>
      <c r="D698" s="40"/>
      <c r="E698" s="40"/>
      <c r="F698" s="40"/>
      <c r="G698" s="40"/>
      <c r="H698" s="40"/>
      <c r="I698" s="40"/>
      <c r="J698" s="40"/>
      <c r="K698" s="40"/>
      <c r="L698" s="40"/>
      <c r="M698" s="31"/>
      <c r="N698" s="31"/>
      <c r="O698" s="33"/>
    </row>
    <row r="699" spans="1:15" ht="18.75">
      <c r="A699" s="48" t="s">
        <v>119</v>
      </c>
      <c r="C699" s="33"/>
      <c r="D699" s="2">
        <f>'Facility Detail'!$B$1752</f>
        <v>2011</v>
      </c>
      <c r="E699" s="2">
        <f>D699+1</f>
        <v>2012</v>
      </c>
      <c r="F699" s="2">
        <f>E699+1</f>
        <v>2013</v>
      </c>
      <c r="G699" s="2">
        <f t="shared" ref="G699:K699" si="233">F699+1</f>
        <v>2014</v>
      </c>
      <c r="H699" s="2">
        <f t="shared" si="233"/>
        <v>2015</v>
      </c>
      <c r="I699" s="2">
        <f t="shared" si="233"/>
        <v>2016</v>
      </c>
      <c r="J699" s="2">
        <f t="shared" si="233"/>
        <v>2017</v>
      </c>
      <c r="K699" s="2">
        <f t="shared" si="233"/>
        <v>2018</v>
      </c>
      <c r="L699" s="2">
        <v>2019</v>
      </c>
      <c r="M699" s="33"/>
      <c r="N699" s="33"/>
      <c r="O699" s="33"/>
    </row>
    <row r="700" spans="1:15">
      <c r="B700" s="88" t="s">
        <v>10</v>
      </c>
      <c r="C700" s="80"/>
      <c r="D700" s="57">
        <f>IF( $E17 = "Eligible", D697 * 'Facility Detail'!$B$1749, 0 )</f>
        <v>0</v>
      </c>
      <c r="E700" s="11">
        <f>IF( $E17 = "Eligible", E697 * 'Facility Detail'!$B$1749, 0 )</f>
        <v>0</v>
      </c>
      <c r="F700" s="11">
        <f>IF( $E17 = "Eligible", F697 * 'Facility Detail'!$B$1749, 0 )</f>
        <v>0</v>
      </c>
      <c r="G700" s="11">
        <f>IF( $E17 = "Eligible", G697 * 'Facility Detail'!$B$1749, 0 )</f>
        <v>0</v>
      </c>
      <c r="H700" s="217">
        <f>IF( $E17 = "Eligible", H697 * 'Facility Detail'!$B$1749, 0 )</f>
        <v>0</v>
      </c>
      <c r="I700" s="217">
        <f>IF( $E17 = "Eligible", I697 * 'Facility Detail'!$B$1749, 0 )</f>
        <v>0</v>
      </c>
      <c r="J700" s="217">
        <f>IF( $E17 = "Eligible", J697 * 'Facility Detail'!$B$1749, 0 )</f>
        <v>0</v>
      </c>
      <c r="K700" s="217">
        <f>IF( $E17 = "Eligible", K697 * 'Facility Detail'!$B$1749, 0 )</f>
        <v>0</v>
      </c>
      <c r="L700" s="178"/>
      <c r="M700" s="33"/>
      <c r="N700" s="33"/>
      <c r="O700" s="33"/>
    </row>
    <row r="701" spans="1:15">
      <c r="B701" s="88" t="s">
        <v>6</v>
      </c>
      <c r="C701" s="80"/>
      <c r="D701" s="58">
        <f t="shared" ref="D701:K701" si="234">IF( $F17 = "Eligible", D697, 0 )</f>
        <v>0</v>
      </c>
      <c r="E701" s="59">
        <f t="shared" si="234"/>
        <v>0</v>
      </c>
      <c r="F701" s="59">
        <f t="shared" si="234"/>
        <v>0</v>
      </c>
      <c r="G701" s="59">
        <f t="shared" si="234"/>
        <v>0</v>
      </c>
      <c r="H701" s="218">
        <f t="shared" si="234"/>
        <v>0</v>
      </c>
      <c r="I701" s="218">
        <f t="shared" si="234"/>
        <v>0</v>
      </c>
      <c r="J701" s="218">
        <f t="shared" si="234"/>
        <v>0</v>
      </c>
      <c r="K701" s="218">
        <f t="shared" si="234"/>
        <v>0</v>
      </c>
      <c r="L701" s="162"/>
      <c r="M701" s="33"/>
      <c r="N701" s="33"/>
      <c r="O701" s="33"/>
    </row>
    <row r="702" spans="1:15">
      <c r="B702" s="87" t="s">
        <v>121</v>
      </c>
      <c r="C702" s="86"/>
      <c r="D702" s="43">
        <f>SUM(D700:D701)</f>
        <v>0</v>
      </c>
      <c r="E702" s="44">
        <f>SUM(E700:E701)</f>
        <v>0</v>
      </c>
      <c r="F702" s="44">
        <f>SUM(F700:F701)</f>
        <v>0</v>
      </c>
      <c r="G702" s="44">
        <f t="shared" ref="G702:I702" si="235">SUM(G700:G701)</f>
        <v>0</v>
      </c>
      <c r="H702" s="44">
        <f t="shared" si="235"/>
        <v>0</v>
      </c>
      <c r="I702" s="44">
        <f t="shared" si="235"/>
        <v>0</v>
      </c>
      <c r="J702" s="44">
        <f t="shared" ref="J702:K702" si="236">SUM(J700:J701)</f>
        <v>0</v>
      </c>
      <c r="K702" s="44">
        <f t="shared" si="236"/>
        <v>0</v>
      </c>
      <c r="L702" s="44"/>
      <c r="M702" s="26"/>
      <c r="N702" s="26"/>
      <c r="O702" s="33"/>
    </row>
    <row r="703" spans="1:15">
      <c r="B703" s="33"/>
      <c r="C703" s="33"/>
      <c r="D703" s="42"/>
      <c r="E703" s="34"/>
      <c r="F703" s="34"/>
      <c r="G703" s="34"/>
      <c r="H703" s="34"/>
      <c r="I703" s="34"/>
      <c r="J703" s="34"/>
      <c r="K703" s="34"/>
      <c r="L703" s="34"/>
      <c r="M703" s="25"/>
      <c r="N703" s="25"/>
      <c r="O703" s="33"/>
    </row>
    <row r="704" spans="1:15" ht="18.75">
      <c r="A704" s="45" t="s">
        <v>30</v>
      </c>
      <c r="C704" s="33"/>
      <c r="D704" s="2">
        <f>'Facility Detail'!$B$1752</f>
        <v>2011</v>
      </c>
      <c r="E704" s="2">
        <f>D704+1</f>
        <v>2012</v>
      </c>
      <c r="F704" s="2">
        <f>E704+1</f>
        <v>2013</v>
      </c>
      <c r="G704" s="2">
        <f t="shared" ref="G704:K704" si="237">F704+1</f>
        <v>2014</v>
      </c>
      <c r="H704" s="2">
        <f t="shared" si="237"/>
        <v>2015</v>
      </c>
      <c r="I704" s="2">
        <f t="shared" si="237"/>
        <v>2016</v>
      </c>
      <c r="J704" s="2">
        <f t="shared" si="237"/>
        <v>2017</v>
      </c>
      <c r="K704" s="2">
        <f t="shared" si="237"/>
        <v>2018</v>
      </c>
      <c r="L704" s="2">
        <v>2019</v>
      </c>
      <c r="M704" s="25"/>
      <c r="N704" s="25"/>
      <c r="O704" s="33"/>
    </row>
    <row r="705" spans="1:15">
      <c r="B705" s="88" t="s">
        <v>47</v>
      </c>
      <c r="C705" s="80"/>
      <c r="D705" s="98"/>
      <c r="E705" s="99"/>
      <c r="F705" s="99"/>
      <c r="G705" s="99"/>
      <c r="H705" s="180"/>
      <c r="I705" s="180"/>
      <c r="J705" s="180"/>
      <c r="K705" s="163"/>
      <c r="L705" s="163"/>
      <c r="M705" s="25"/>
      <c r="N705" s="25"/>
      <c r="O705" s="33"/>
    </row>
    <row r="706" spans="1:15">
      <c r="B706" s="89" t="s">
        <v>23</v>
      </c>
      <c r="C706" s="207"/>
      <c r="D706" s="101"/>
      <c r="E706" s="102"/>
      <c r="F706" s="102"/>
      <c r="G706" s="181"/>
      <c r="H706" s="181"/>
      <c r="I706" s="181"/>
      <c r="J706" s="181"/>
      <c r="K706" s="164"/>
      <c r="L706" s="164"/>
      <c r="M706" s="25"/>
      <c r="N706" s="25"/>
      <c r="O706" s="33"/>
    </row>
    <row r="707" spans="1:15">
      <c r="B707" s="104" t="s">
        <v>89</v>
      </c>
      <c r="C707" s="205"/>
      <c r="D707" s="65"/>
      <c r="E707" s="66"/>
      <c r="F707" s="66"/>
      <c r="G707" s="182"/>
      <c r="H707" s="182"/>
      <c r="I707" s="182"/>
      <c r="J707" s="182"/>
      <c r="K707" s="165"/>
      <c r="L707" s="165"/>
      <c r="M707" s="25"/>
      <c r="N707" s="25"/>
      <c r="O707" s="33"/>
    </row>
    <row r="708" spans="1:15">
      <c r="B708" s="36" t="s">
        <v>90</v>
      </c>
      <c r="D708" s="7">
        <f>SUM(D705:D707)</f>
        <v>0</v>
      </c>
      <c r="E708" s="7">
        <f>SUM(E705:E707)</f>
        <v>0</v>
      </c>
      <c r="F708" s="7">
        <f>SUM(F705:F707)</f>
        <v>0</v>
      </c>
      <c r="G708" s="7">
        <f t="shared" ref="G708:I708" si="238">SUM(G705:G707)</f>
        <v>0</v>
      </c>
      <c r="H708" s="7">
        <f t="shared" si="238"/>
        <v>0</v>
      </c>
      <c r="I708" s="7">
        <f t="shared" si="238"/>
        <v>0</v>
      </c>
      <c r="J708" s="7">
        <f t="shared" ref="J708:K708" si="239">SUM(J705:J707)</f>
        <v>0</v>
      </c>
      <c r="K708" s="7">
        <f t="shared" si="239"/>
        <v>0</v>
      </c>
      <c r="L708" s="7"/>
      <c r="M708" s="25"/>
      <c r="N708" s="25"/>
      <c r="O708" s="33"/>
    </row>
    <row r="709" spans="1:15">
      <c r="B709" s="6"/>
      <c r="D709" s="7"/>
      <c r="E709" s="7"/>
      <c r="F709" s="7"/>
      <c r="G709" s="7"/>
      <c r="H709" s="7"/>
      <c r="I709" s="7"/>
      <c r="J709" s="7"/>
      <c r="K709" s="7"/>
      <c r="L709" s="7"/>
      <c r="M709" s="25"/>
      <c r="N709" s="25"/>
      <c r="O709" s="33"/>
    </row>
    <row r="710" spans="1:15" ht="18.75">
      <c r="A710" s="9" t="s">
        <v>100</v>
      </c>
      <c r="D710" s="2">
        <f>'Facility Detail'!$B$1752</f>
        <v>2011</v>
      </c>
      <c r="E710" s="2">
        <f>D710+1</f>
        <v>2012</v>
      </c>
      <c r="F710" s="2">
        <f>E710+1</f>
        <v>2013</v>
      </c>
      <c r="G710" s="2">
        <f t="shared" ref="G710:K710" si="240">F710+1</f>
        <v>2014</v>
      </c>
      <c r="H710" s="2">
        <f t="shared" si="240"/>
        <v>2015</v>
      </c>
      <c r="I710" s="2">
        <f t="shared" si="240"/>
        <v>2016</v>
      </c>
      <c r="J710" s="2">
        <f t="shared" si="240"/>
        <v>2017</v>
      </c>
      <c r="K710" s="2">
        <f t="shared" si="240"/>
        <v>2018</v>
      </c>
      <c r="L710" s="2"/>
      <c r="M710" s="25"/>
      <c r="N710" s="25"/>
      <c r="O710" s="33"/>
    </row>
    <row r="711" spans="1:15">
      <c r="B711" s="88" t="str">
        <f xml:space="preserve"> 'Facility Detail'!$B$1752 &amp; " Surplus Applied to " &amp; ( 'Facility Detail'!$B$1752 + 1 )</f>
        <v>2011 Surplus Applied to 2012</v>
      </c>
      <c r="C711" s="33"/>
      <c r="D711" s="3">
        <f>D697</f>
        <v>0</v>
      </c>
      <c r="E711" s="68">
        <f>D711</f>
        <v>0</v>
      </c>
      <c r="F711" s="152"/>
      <c r="G711" s="152"/>
      <c r="H711" s="152"/>
      <c r="I711" s="152"/>
      <c r="J711" s="152"/>
      <c r="K711" s="152"/>
      <c r="L711" s="69"/>
      <c r="M711" s="25"/>
      <c r="N711" s="25"/>
      <c r="O711" s="33"/>
    </row>
    <row r="712" spans="1:15">
      <c r="B712" s="88" t="str">
        <f xml:space="preserve"> ( 'Facility Detail'!$B$1752 + 1 ) &amp; " Surplus Applied to " &amp; ( 'Facility Detail'!$B$1752 )</f>
        <v>2012 Surplus Applied to 2011</v>
      </c>
      <c r="C712" s="33"/>
      <c r="D712" s="189">
        <f>E712</f>
        <v>0</v>
      </c>
      <c r="E712" s="10"/>
      <c r="F712" s="83"/>
      <c r="G712" s="83"/>
      <c r="H712" s="83"/>
      <c r="I712" s="83"/>
      <c r="J712" s="83"/>
      <c r="K712" s="83"/>
      <c r="L712" s="190"/>
      <c r="M712" s="25"/>
      <c r="N712" s="25"/>
      <c r="O712" s="33"/>
    </row>
    <row r="713" spans="1:15">
      <c r="B713" s="88" t="str">
        <f xml:space="preserve"> ( 'Facility Detail'!$B$1752 + 1 ) &amp; " Surplus Applied to " &amp; ( 'Facility Detail'!$B$1752 + 2 )</f>
        <v>2012 Surplus Applied to 2013</v>
      </c>
      <c r="C713" s="33"/>
      <c r="D713" s="70"/>
      <c r="E713" s="10">
        <f>E697</f>
        <v>0</v>
      </c>
      <c r="F713" s="79">
        <f>E713</f>
        <v>0</v>
      </c>
      <c r="G713" s="83"/>
      <c r="H713" s="83"/>
      <c r="I713" s="83"/>
      <c r="J713" s="83"/>
      <c r="K713" s="83"/>
      <c r="L713" s="190"/>
      <c r="M713" s="25"/>
      <c r="N713" s="25"/>
      <c r="O713" s="33"/>
    </row>
    <row r="714" spans="1:15">
      <c r="B714" s="88" t="str">
        <f xml:space="preserve"> ( 'Facility Detail'!$B$1752 + 2 ) &amp; " Surplus Applied to " &amp; ( 'Facility Detail'!$B$1752 + 1 )</f>
        <v>2013 Surplus Applied to 2012</v>
      </c>
      <c r="C714" s="33"/>
      <c r="D714" s="70"/>
      <c r="E714" s="79">
        <f>F714</f>
        <v>0</v>
      </c>
      <c r="F714" s="188"/>
      <c r="G714" s="83"/>
      <c r="H714" s="83"/>
      <c r="I714" s="83"/>
      <c r="J714" s="83"/>
      <c r="K714" s="83"/>
      <c r="L714" s="190"/>
      <c r="M714" s="25"/>
      <c r="N714" s="25"/>
      <c r="O714" s="33"/>
    </row>
    <row r="715" spans="1:15">
      <c r="B715" s="88" t="str">
        <f xml:space="preserve"> ( 'Facility Detail'!$B$1752 + 2 ) &amp; " Surplus Applied to " &amp; ( 'Facility Detail'!$B$1752 + 3 )</f>
        <v>2013 Surplus Applied to 2014</v>
      </c>
      <c r="C715" s="33"/>
      <c r="D715" s="70"/>
      <c r="E715" s="172"/>
      <c r="F715" s="10">
        <f>F697</f>
        <v>0</v>
      </c>
      <c r="G715" s="173">
        <f>F715</f>
        <v>0</v>
      </c>
      <c r="H715" s="83"/>
      <c r="I715" s="83"/>
      <c r="J715" s="83"/>
      <c r="K715" s="83"/>
      <c r="L715" s="190"/>
      <c r="M715" s="25"/>
      <c r="N715" s="25"/>
      <c r="O715" s="33"/>
    </row>
    <row r="716" spans="1:15">
      <c r="B716" s="88" t="str">
        <f xml:space="preserve"> ( 'Facility Detail'!$B$1752 + 3 ) &amp; " Surplus Applied to " &amp; ( 'Facility Detail'!$B$1752 + 2 )</f>
        <v>2014 Surplus Applied to 2013</v>
      </c>
      <c r="C716" s="33"/>
      <c r="D716" s="70"/>
      <c r="E716" s="172"/>
      <c r="F716" s="79">
        <f>G716</f>
        <v>0</v>
      </c>
      <c r="G716" s="10"/>
      <c r="H716" s="83"/>
      <c r="I716" s="83"/>
      <c r="J716" s="83" t="s">
        <v>193</v>
      </c>
      <c r="K716" s="83"/>
      <c r="L716" s="190"/>
      <c r="M716" s="25"/>
      <c r="N716" s="25"/>
      <c r="O716" s="33"/>
    </row>
    <row r="717" spans="1:15">
      <c r="B717" s="88" t="str">
        <f xml:space="preserve"> ( 'Facility Detail'!$B$1752 + 3 ) &amp; " Surplus Applied to " &amp; ( 'Facility Detail'!$B$1752 + 4 )</f>
        <v>2014 Surplus Applied to 2015</v>
      </c>
      <c r="C717" s="33"/>
      <c r="D717" s="70"/>
      <c r="E717" s="172"/>
      <c r="F717" s="172"/>
      <c r="G717" s="10"/>
      <c r="H717" s="173">
        <f>G717</f>
        <v>0</v>
      </c>
      <c r="I717" s="172"/>
      <c r="J717" s="172"/>
      <c r="K717" s="172"/>
      <c r="L717" s="176"/>
      <c r="M717" s="25"/>
      <c r="N717" s="25"/>
      <c r="O717" s="33"/>
    </row>
    <row r="718" spans="1:15">
      <c r="B718" s="88" t="str">
        <f xml:space="preserve"> ( 'Facility Detail'!$B$1752 + 4 ) &amp; " Surplus Applied to " &amp; ( 'Facility Detail'!$B$1752 + 3 )</f>
        <v>2015 Surplus Applied to 2014</v>
      </c>
      <c r="C718" s="33"/>
      <c r="D718" s="70"/>
      <c r="E718" s="172"/>
      <c r="F718" s="172"/>
      <c r="G718" s="174"/>
      <c r="H718" s="175"/>
      <c r="I718" s="172"/>
      <c r="J718" s="172"/>
      <c r="K718" s="172"/>
      <c r="L718" s="176"/>
      <c r="M718" s="25"/>
      <c r="N718" s="25"/>
      <c r="O718" s="33"/>
    </row>
    <row r="719" spans="1:15">
      <c r="B719" s="88" t="str">
        <f xml:space="preserve"> ( 'Facility Detail'!$B$1752 + 4 ) &amp; " Surplus Applied to " &amp; ( 'Facility Detail'!$B$1752 + 5 )</f>
        <v>2015 Surplus Applied to 2016</v>
      </c>
      <c r="C719" s="33"/>
      <c r="D719" s="70"/>
      <c r="E719" s="172"/>
      <c r="F719" s="172"/>
      <c r="G719" s="172"/>
      <c r="H719" s="358">
        <f>H697</f>
        <v>27359</v>
      </c>
      <c r="I719" s="359">
        <f>H719</f>
        <v>27359</v>
      </c>
      <c r="J719" s="83"/>
      <c r="K719" s="172"/>
      <c r="L719" s="176"/>
      <c r="M719" s="25"/>
      <c r="N719" s="25"/>
      <c r="O719" s="33"/>
    </row>
    <row r="720" spans="1:15">
      <c r="B720" s="88" t="str">
        <f xml:space="preserve"> ( 'Facility Detail'!$B$1752 + 5 ) &amp; " Surplus Applied to " &amp; ( 'Facility Detail'!$B$1752 + 4 )</f>
        <v>2016 Surplus Applied to 2015</v>
      </c>
      <c r="C720" s="33"/>
      <c r="D720" s="70"/>
      <c r="E720" s="172"/>
      <c r="F720" s="172"/>
      <c r="G720" s="172"/>
      <c r="H720" s="79"/>
      <c r="I720" s="175"/>
      <c r="J720" s="83"/>
      <c r="K720" s="172"/>
      <c r="L720" s="176"/>
      <c r="M720" s="25"/>
      <c r="N720" s="25"/>
      <c r="O720" s="33"/>
    </row>
    <row r="721" spans="1:15">
      <c r="B721" s="88" t="str">
        <f xml:space="preserve"> ( 'Facility Detail'!$B$1752 + 5 ) &amp; " Surplus Applied to " &amp; ( 'Facility Detail'!$B$1752 + 6 )</f>
        <v>2016 Surplus Applied to 2017</v>
      </c>
      <c r="C721" s="33"/>
      <c r="D721" s="70"/>
      <c r="E721" s="172"/>
      <c r="F721" s="172"/>
      <c r="G721" s="172"/>
      <c r="H721" s="172"/>
      <c r="I721" s="175">
        <v>0</v>
      </c>
      <c r="J721" s="174">
        <f>I721</f>
        <v>0</v>
      </c>
      <c r="K721" s="172"/>
      <c r="L721" s="176"/>
      <c r="M721" s="25"/>
      <c r="N721" s="25"/>
      <c r="O721" s="33"/>
    </row>
    <row r="722" spans="1:15">
      <c r="B722" s="88" t="s">
        <v>191</v>
      </c>
      <c r="C722" s="33"/>
      <c r="D722" s="70"/>
      <c r="E722" s="172"/>
      <c r="F722" s="172"/>
      <c r="G722" s="172"/>
      <c r="H722" s="172"/>
      <c r="I722" s="174"/>
      <c r="J722" s="175"/>
      <c r="K722" s="172"/>
      <c r="L722" s="190"/>
      <c r="M722" s="25"/>
      <c r="N722" s="25"/>
      <c r="O722" s="33"/>
    </row>
    <row r="723" spans="1:15">
      <c r="B723" s="88" t="s">
        <v>192</v>
      </c>
      <c r="C723" s="33"/>
      <c r="D723" s="70"/>
      <c r="E723" s="172"/>
      <c r="F723" s="172"/>
      <c r="G723" s="172"/>
      <c r="H723" s="172"/>
      <c r="I723" s="172"/>
      <c r="J723" s="175">
        <v>24513</v>
      </c>
      <c r="K723" s="389"/>
      <c r="L723" s="176"/>
      <c r="M723" s="25"/>
      <c r="N723" s="25"/>
      <c r="O723" s="33"/>
    </row>
    <row r="724" spans="1:15">
      <c r="B724" s="88" t="s">
        <v>226</v>
      </c>
      <c r="C724" s="33"/>
      <c r="D724" s="70"/>
      <c r="E724" s="172"/>
      <c r="F724" s="172"/>
      <c r="G724" s="172"/>
      <c r="H724" s="172"/>
      <c r="I724" s="172"/>
      <c r="J724" s="174"/>
      <c r="K724" s="175"/>
      <c r="L724" s="176"/>
      <c r="M724" s="25"/>
      <c r="N724" s="25"/>
      <c r="O724" s="33"/>
    </row>
    <row r="725" spans="1:15">
      <c r="B725" s="88" t="s">
        <v>227</v>
      </c>
      <c r="C725" s="33"/>
      <c r="D725" s="71"/>
      <c r="E725" s="154"/>
      <c r="F725" s="154"/>
      <c r="G725" s="154"/>
      <c r="H725" s="154"/>
      <c r="I725" s="154"/>
      <c r="J725" s="154"/>
      <c r="K725" s="177">
        <v>0</v>
      </c>
      <c r="L725" s="332"/>
      <c r="M725" s="25"/>
      <c r="N725" s="25"/>
      <c r="O725" s="33"/>
    </row>
    <row r="726" spans="1:15">
      <c r="B726" s="36" t="s">
        <v>17</v>
      </c>
      <c r="D726" s="214">
        <f xml:space="preserve"> D717 - D716</f>
        <v>0</v>
      </c>
      <c r="E726" s="214">
        <f xml:space="preserve"> E716 + E719 - E718 - E717</f>
        <v>0</v>
      </c>
      <c r="F726" s="214">
        <v>0</v>
      </c>
      <c r="G726" s="214">
        <f>G715-G716-G717</f>
        <v>0</v>
      </c>
      <c r="H726" s="214">
        <f>H717-H718-H719</f>
        <v>-27359</v>
      </c>
      <c r="I726" s="31">
        <f>I719-I720-I721</f>
        <v>27359</v>
      </c>
      <c r="J726" s="31">
        <f>J721-J722-J723</f>
        <v>-24513</v>
      </c>
      <c r="K726" s="388"/>
      <c r="L726" s="31">
        <f>L723-L724-L725</f>
        <v>0</v>
      </c>
      <c r="M726" s="25"/>
      <c r="N726" s="25"/>
      <c r="O726" s="33"/>
    </row>
    <row r="727" spans="1:15">
      <c r="B727" s="6"/>
      <c r="D727" s="7"/>
      <c r="E727" s="7"/>
      <c r="F727" s="7"/>
      <c r="G727" s="7"/>
      <c r="H727" s="7"/>
      <c r="I727" s="340"/>
      <c r="J727" s="340"/>
      <c r="K727" s="340"/>
      <c r="L727" s="340"/>
      <c r="M727" s="25"/>
      <c r="N727" s="25"/>
      <c r="O727" s="33"/>
    </row>
    <row r="728" spans="1:15">
      <c r="B728" s="85" t="s">
        <v>12</v>
      </c>
      <c r="C728" s="80"/>
      <c r="D728" s="111"/>
      <c r="E728" s="112"/>
      <c r="F728" s="112"/>
      <c r="G728" s="184"/>
      <c r="H728" s="112"/>
      <c r="I728" s="112"/>
      <c r="J728" s="112"/>
      <c r="K728" s="112"/>
      <c r="L728" s="113"/>
      <c r="M728" s="25"/>
      <c r="N728" s="25"/>
      <c r="O728" s="33"/>
    </row>
    <row r="729" spans="1:15">
      <c r="B729" s="6"/>
      <c r="D729" s="7"/>
      <c r="E729" s="7"/>
      <c r="F729" s="7"/>
      <c r="G729" s="7"/>
      <c r="H729" s="7"/>
      <c r="I729" s="7"/>
      <c r="J729" s="7"/>
      <c r="K729" s="7"/>
      <c r="L729" s="7"/>
      <c r="M729" s="25"/>
      <c r="N729" s="25"/>
      <c r="O729" s="33"/>
    </row>
    <row r="730" spans="1:15" ht="18.75">
      <c r="A730" s="45" t="s">
        <v>26</v>
      </c>
      <c r="C730" s="80"/>
      <c r="D730" s="49">
        <f xml:space="preserve"> D697 + D702 - D708 + D726 + D728</f>
        <v>0</v>
      </c>
      <c r="E730" s="50">
        <f xml:space="preserve"> E697 + E702 - E708 + E726 + E728</f>
        <v>0</v>
      </c>
      <c r="F730" s="186">
        <f xml:space="preserve"> F697 + F702 - F708 + F726 + F728</f>
        <v>0</v>
      </c>
      <c r="G730" s="50">
        <f t="shared" ref="G730:I730" si="241" xml:space="preserve"> G697 + G702 - G708 + G726 + G728</f>
        <v>0</v>
      </c>
      <c r="H730" s="183">
        <f t="shared" si="241"/>
        <v>0</v>
      </c>
      <c r="I730" s="50">
        <f t="shared" si="241"/>
        <v>59100</v>
      </c>
      <c r="J730" s="50">
        <f xml:space="preserve"> J697 + J702 - J708 + J726 + J728</f>
        <v>899</v>
      </c>
      <c r="K730" s="387"/>
      <c r="L730" s="51">
        <f t="shared" ref="L730" si="242" xml:space="preserve"> L697 + L702 - L708 + L726 + L728</f>
        <v>0</v>
      </c>
      <c r="M730" s="31"/>
      <c r="N730" s="31"/>
      <c r="O730" s="33"/>
    </row>
    <row r="731" spans="1:15">
      <c r="B731" s="6"/>
      <c r="D731" s="7"/>
      <c r="E731" s="7"/>
      <c r="F731" s="7"/>
      <c r="G731" s="31"/>
      <c r="H731" s="31"/>
      <c r="I731" s="31"/>
      <c r="J731" s="31"/>
      <c r="K731" s="31"/>
      <c r="L731" s="31"/>
      <c r="M731" s="31"/>
      <c r="N731" s="31"/>
      <c r="O731" s="33"/>
    </row>
    <row r="732" spans="1:15" ht="15.75" thickBot="1">
      <c r="M732" s="33"/>
      <c r="N732" s="33"/>
      <c r="O732" s="33"/>
    </row>
    <row r="733" spans="1:15">
      <c r="A733" s="8"/>
      <c r="B733" s="8"/>
      <c r="C733" s="8"/>
      <c r="D733" s="8"/>
      <c r="E733" s="8"/>
      <c r="F733" s="8"/>
      <c r="G733" s="8"/>
      <c r="H733" s="8"/>
      <c r="I733" s="8"/>
      <c r="J733" s="8"/>
      <c r="K733" s="8"/>
      <c r="L733" s="8"/>
      <c r="M733" s="33"/>
      <c r="N733" s="33"/>
      <c r="O733" s="33"/>
    </row>
    <row r="734" spans="1:15">
      <c r="B734" s="33"/>
      <c r="C734" s="33"/>
      <c r="D734" s="33"/>
      <c r="E734" s="33"/>
      <c r="F734" s="33"/>
      <c r="G734" s="33"/>
      <c r="H734" s="33"/>
      <c r="I734" s="33"/>
      <c r="J734" s="33"/>
      <c r="K734" s="33"/>
      <c r="L734" s="33"/>
      <c r="M734" s="33"/>
      <c r="N734" s="33"/>
      <c r="O734" s="33"/>
    </row>
    <row r="735" spans="1:15" ht="21">
      <c r="A735" s="14" t="s">
        <v>4</v>
      </c>
      <c r="B735" s="14"/>
      <c r="C735" s="46" t="str">
        <f>B18</f>
        <v>Campbell Hill/Three Buttes</v>
      </c>
      <c r="D735" s="47"/>
      <c r="E735" s="24"/>
      <c r="F735" s="24"/>
      <c r="M735" s="26"/>
      <c r="N735" s="26"/>
      <c r="O735" s="33"/>
    </row>
    <row r="736" spans="1:15">
      <c r="M736" s="25"/>
      <c r="N736" s="25"/>
      <c r="O736" s="33"/>
    </row>
    <row r="737" spans="1:15" ht="18.75">
      <c r="A737" s="9" t="s">
        <v>21</v>
      </c>
      <c r="B737" s="9"/>
      <c r="D737" s="2">
        <f>'Facility Detail'!$B$1752</f>
        <v>2011</v>
      </c>
      <c r="E737" s="2">
        <f>D737+1</f>
        <v>2012</v>
      </c>
      <c r="F737" s="2">
        <f>E737+1</f>
        <v>2013</v>
      </c>
      <c r="G737" s="2">
        <f t="shared" ref="G737:K737" si="243">F737+1</f>
        <v>2014</v>
      </c>
      <c r="H737" s="2">
        <f t="shared" si="243"/>
        <v>2015</v>
      </c>
      <c r="I737" s="2">
        <f t="shared" si="243"/>
        <v>2016</v>
      </c>
      <c r="J737" s="2">
        <f t="shared" si="243"/>
        <v>2017</v>
      </c>
      <c r="K737" s="2">
        <f t="shared" si="243"/>
        <v>2018</v>
      </c>
      <c r="L737" s="2">
        <v>2019</v>
      </c>
      <c r="M737" s="25"/>
      <c r="N737" s="25"/>
      <c r="O737" s="33"/>
    </row>
    <row r="738" spans="1:15">
      <c r="B738" s="88" t="str">
        <f>"Total MWh Produced / Purchased from " &amp; C735</f>
        <v>Total MWh Produced / Purchased from Campbell Hill/Three Buttes</v>
      </c>
      <c r="C738" s="80"/>
      <c r="D738" s="3"/>
      <c r="E738" s="4"/>
      <c r="F738" s="4"/>
      <c r="G738" s="4"/>
      <c r="H738" s="4">
        <v>294027</v>
      </c>
      <c r="I738" s="4">
        <v>333872</v>
      </c>
      <c r="J738" s="4">
        <v>311597</v>
      </c>
      <c r="K738" s="381"/>
      <c r="L738" s="163"/>
      <c r="M738" s="25"/>
      <c r="N738" s="25"/>
      <c r="O738" s="33"/>
    </row>
    <row r="739" spans="1:15">
      <c r="B739" s="88" t="s">
        <v>25</v>
      </c>
      <c r="C739" s="80"/>
      <c r="D739" s="62"/>
      <c r="E739" s="63"/>
      <c r="F739" s="225"/>
      <c r="G739" s="225"/>
      <c r="H739" s="225">
        <v>1</v>
      </c>
      <c r="I739" s="225">
        <v>1</v>
      </c>
      <c r="J739" s="225">
        <v>1</v>
      </c>
      <c r="K739" s="225">
        <v>1</v>
      </c>
      <c r="L739" s="64"/>
      <c r="M739" s="25"/>
      <c r="N739" s="25"/>
      <c r="O739" s="33"/>
    </row>
    <row r="740" spans="1:15">
      <c r="B740" s="88" t="s">
        <v>20</v>
      </c>
      <c r="C740" s="80"/>
      <c r="D740" s="54"/>
      <c r="E740" s="55"/>
      <c r="F740" s="212"/>
      <c r="G740" s="212"/>
      <c r="H740" s="55">
        <v>8.0535999999999996E-2</v>
      </c>
      <c r="I740" s="55">
        <v>8.1698151927344531E-2</v>
      </c>
      <c r="J740" s="55">
        <v>8.0833713568703974E-2</v>
      </c>
      <c r="K740" s="55">
        <v>7.9769759999999995E-2</v>
      </c>
      <c r="L740" s="276"/>
      <c r="M740" s="25"/>
      <c r="N740" s="25"/>
      <c r="O740" s="33"/>
    </row>
    <row r="741" spans="1:15">
      <c r="B741" s="85" t="s">
        <v>22</v>
      </c>
      <c r="C741" s="86"/>
      <c r="D741" s="41">
        <f xml:space="preserve"> ROUND(D738 * D739 * D740,0)</f>
        <v>0</v>
      </c>
      <c r="E741" s="41">
        <f t="shared" ref="E741:H741" si="244" xml:space="preserve"> ROUND(E738 * E739 * E740,0)</f>
        <v>0</v>
      </c>
      <c r="F741" s="41">
        <f t="shared" si="244"/>
        <v>0</v>
      </c>
      <c r="G741" s="41">
        <f t="shared" si="244"/>
        <v>0</v>
      </c>
      <c r="H741" s="41">
        <f t="shared" si="244"/>
        <v>23680</v>
      </c>
      <c r="I741" s="41">
        <v>27276</v>
      </c>
      <c r="J741" s="41">
        <v>25187</v>
      </c>
      <c r="K741" s="380"/>
      <c r="L741" s="41"/>
      <c r="M741" s="25"/>
      <c r="N741" s="25"/>
      <c r="O741" s="33"/>
    </row>
    <row r="742" spans="1:15">
      <c r="B742" s="24"/>
      <c r="C742" s="33"/>
      <c r="D742" s="40"/>
      <c r="E742" s="40"/>
      <c r="F742" s="40"/>
      <c r="G742" s="40"/>
      <c r="H742" s="40"/>
      <c r="I742" s="40"/>
      <c r="J742" s="40"/>
      <c r="K742" s="40"/>
      <c r="L742" s="40"/>
      <c r="M742" s="25"/>
      <c r="N742" s="25"/>
      <c r="O742" s="33"/>
    </row>
    <row r="743" spans="1:15" ht="18.75">
      <c r="A743" s="48" t="s">
        <v>119</v>
      </c>
      <c r="C743" s="33"/>
      <c r="D743" s="2">
        <f>'Facility Detail'!$B$1752</f>
        <v>2011</v>
      </c>
      <c r="E743" s="2">
        <f>D743+1</f>
        <v>2012</v>
      </c>
      <c r="F743" s="2">
        <f>E743+1</f>
        <v>2013</v>
      </c>
      <c r="G743" s="2">
        <f t="shared" ref="G743:K743" si="245">F743+1</f>
        <v>2014</v>
      </c>
      <c r="H743" s="2">
        <f t="shared" si="245"/>
        <v>2015</v>
      </c>
      <c r="I743" s="2">
        <f t="shared" si="245"/>
        <v>2016</v>
      </c>
      <c r="J743" s="2">
        <f t="shared" si="245"/>
        <v>2017</v>
      </c>
      <c r="K743" s="2">
        <f t="shared" si="245"/>
        <v>2018</v>
      </c>
      <c r="L743" s="2">
        <v>2019</v>
      </c>
      <c r="M743" s="31"/>
      <c r="N743" s="31"/>
      <c r="O743" s="33"/>
    </row>
    <row r="744" spans="1:15">
      <c r="B744" s="88" t="s">
        <v>10</v>
      </c>
      <c r="C744" s="80"/>
      <c r="D744" s="57">
        <f>IF( $E18 = "Eligible", D741 * 'Facility Detail'!$B$1749, 0 )</f>
        <v>0</v>
      </c>
      <c r="E744" s="11">
        <f>IF( $E18 = "Eligible", E741 * 'Facility Detail'!$B$1749, 0 )</f>
        <v>0</v>
      </c>
      <c r="F744" s="11">
        <f>IF( $E18 = "Eligible", F741 * 'Facility Detail'!$B$1749, 0 )</f>
        <v>0</v>
      </c>
      <c r="G744" s="11">
        <f>IF( $E18 = "Eligible", G741 * 'Facility Detail'!$B$1749, 0 )</f>
        <v>0</v>
      </c>
      <c r="H744" s="11">
        <f>IF( $E18 = "Eligible", H741 * 'Facility Detail'!$B$1749, 0 )</f>
        <v>0</v>
      </c>
      <c r="I744" s="217">
        <f>IF( $E18 = "Eligible", I741 * 'Facility Detail'!$B$1749, 0 )</f>
        <v>0</v>
      </c>
      <c r="J744" s="217">
        <f>IF( $E18 = "Eligible", J741 * 'Facility Detail'!$B$1749, 0 )</f>
        <v>0</v>
      </c>
      <c r="K744" s="217">
        <f>IF( $E18 = "Eligible", K741 * 'Facility Detail'!$B$1749, 0 )</f>
        <v>0</v>
      </c>
      <c r="L744" s="178"/>
      <c r="M744" s="31"/>
      <c r="N744" s="31"/>
      <c r="O744" s="33"/>
    </row>
    <row r="745" spans="1:15">
      <c r="B745" s="88" t="s">
        <v>6</v>
      </c>
      <c r="C745" s="80"/>
      <c r="D745" s="58">
        <f t="shared" ref="D745:K745" si="246">IF( $F18 = "Eligible", D741, 0 )</f>
        <v>0</v>
      </c>
      <c r="E745" s="59">
        <f t="shared" si="246"/>
        <v>0</v>
      </c>
      <c r="F745" s="59">
        <f t="shared" si="246"/>
        <v>0</v>
      </c>
      <c r="G745" s="59">
        <f t="shared" ref="G745:H745" si="247">IF( $F18 = "Eligible", G741, 0 )</f>
        <v>0</v>
      </c>
      <c r="H745" s="59">
        <f t="shared" si="247"/>
        <v>0</v>
      </c>
      <c r="I745" s="218">
        <f t="shared" si="246"/>
        <v>0</v>
      </c>
      <c r="J745" s="218">
        <f t="shared" si="246"/>
        <v>0</v>
      </c>
      <c r="K745" s="218">
        <f t="shared" si="246"/>
        <v>0</v>
      </c>
      <c r="L745" s="162"/>
      <c r="M745" s="33"/>
      <c r="N745" s="33"/>
      <c r="O745" s="33"/>
    </row>
    <row r="746" spans="1:15">
      <c r="B746" s="87" t="s">
        <v>121</v>
      </c>
      <c r="C746" s="86"/>
      <c r="D746" s="43">
        <f>SUM(D744:D745)</f>
        <v>0</v>
      </c>
      <c r="E746" s="44">
        <f>SUM(E744:E745)</f>
        <v>0</v>
      </c>
      <c r="F746" s="44">
        <f>SUM(F744:F745)</f>
        <v>0</v>
      </c>
      <c r="G746" s="44">
        <f t="shared" ref="G746:I746" si="248">SUM(G744:G745)</f>
        <v>0</v>
      </c>
      <c r="H746" s="44">
        <f t="shared" si="248"/>
        <v>0</v>
      </c>
      <c r="I746" s="44">
        <f t="shared" si="248"/>
        <v>0</v>
      </c>
      <c r="J746" s="44">
        <f t="shared" ref="J746:K746" si="249">SUM(J744:J745)</f>
        <v>0</v>
      </c>
      <c r="K746" s="44">
        <f t="shared" si="249"/>
        <v>0</v>
      </c>
      <c r="L746" s="44"/>
      <c r="M746" s="33"/>
      <c r="N746" s="33"/>
      <c r="O746" s="33"/>
    </row>
    <row r="747" spans="1:15">
      <c r="B747" s="33"/>
      <c r="C747" s="33"/>
      <c r="D747" s="42"/>
      <c r="E747" s="34"/>
      <c r="F747" s="34"/>
      <c r="G747" s="34"/>
      <c r="H747" s="34"/>
      <c r="I747" s="34"/>
      <c r="J747" s="34"/>
      <c r="K747" s="34"/>
      <c r="L747" s="34"/>
      <c r="M747" s="33"/>
      <c r="N747" s="33"/>
      <c r="O747" s="33"/>
    </row>
    <row r="748" spans="1:15" ht="18.75">
      <c r="A748" s="45" t="s">
        <v>30</v>
      </c>
      <c r="C748" s="33"/>
      <c r="D748" s="2">
        <f>'Facility Detail'!$B$1752</f>
        <v>2011</v>
      </c>
      <c r="E748" s="2">
        <f>D748+1</f>
        <v>2012</v>
      </c>
      <c r="F748" s="2">
        <f>E748+1</f>
        <v>2013</v>
      </c>
      <c r="G748" s="2">
        <f t="shared" ref="G748:K748" si="250">F748+1</f>
        <v>2014</v>
      </c>
      <c r="H748" s="2">
        <f t="shared" si="250"/>
        <v>2015</v>
      </c>
      <c r="I748" s="2">
        <f t="shared" si="250"/>
        <v>2016</v>
      </c>
      <c r="J748" s="2">
        <f t="shared" si="250"/>
        <v>2017</v>
      </c>
      <c r="K748" s="2">
        <f t="shared" si="250"/>
        <v>2018</v>
      </c>
      <c r="L748" s="2">
        <v>2019</v>
      </c>
      <c r="M748" s="33"/>
      <c r="N748" s="33"/>
      <c r="O748" s="33"/>
    </row>
    <row r="749" spans="1:15">
      <c r="B749" s="88" t="s">
        <v>47</v>
      </c>
      <c r="C749" s="80"/>
      <c r="D749" s="98"/>
      <c r="E749" s="99"/>
      <c r="F749" s="99"/>
      <c r="G749" s="180"/>
      <c r="H749" s="180"/>
      <c r="I749" s="99"/>
      <c r="J749" s="99"/>
      <c r="K749" s="99"/>
      <c r="L749" s="163"/>
      <c r="M749" s="26"/>
      <c r="N749" s="26"/>
      <c r="O749" s="33"/>
    </row>
    <row r="750" spans="1:15">
      <c r="B750" s="89" t="s">
        <v>23</v>
      </c>
      <c r="C750" s="207"/>
      <c r="D750" s="101"/>
      <c r="E750" s="102"/>
      <c r="F750" s="102"/>
      <c r="G750" s="181"/>
      <c r="H750" s="181"/>
      <c r="I750" s="102"/>
      <c r="J750" s="102"/>
      <c r="K750" s="102"/>
      <c r="L750" s="164"/>
      <c r="M750" s="25"/>
      <c r="N750" s="25"/>
      <c r="O750" s="33"/>
    </row>
    <row r="751" spans="1:15">
      <c r="B751" s="104" t="s">
        <v>89</v>
      </c>
      <c r="C751" s="205"/>
      <c r="D751" s="65"/>
      <c r="E751" s="66"/>
      <c r="F751" s="66"/>
      <c r="G751" s="182"/>
      <c r="H751" s="182"/>
      <c r="I751" s="66"/>
      <c r="J751" s="66"/>
      <c r="K751" s="66"/>
      <c r="L751" s="165"/>
      <c r="M751" s="25"/>
      <c r="N751" s="25"/>
      <c r="O751" s="33"/>
    </row>
    <row r="752" spans="1:15">
      <c r="B752" s="36" t="s">
        <v>90</v>
      </c>
      <c r="D752" s="7">
        <f>SUM(D749:D751)</f>
        <v>0</v>
      </c>
      <c r="E752" s="7">
        <f>SUM(E749:E751)</f>
        <v>0</v>
      </c>
      <c r="F752" s="7">
        <f>SUM(F749:F751)</f>
        <v>0</v>
      </c>
      <c r="G752" s="7">
        <f t="shared" ref="G752:J752" si="251">SUM(G749:G751)</f>
        <v>0</v>
      </c>
      <c r="H752" s="7">
        <f t="shared" si="251"/>
        <v>0</v>
      </c>
      <c r="I752" s="7">
        <f t="shared" si="251"/>
        <v>0</v>
      </c>
      <c r="J752" s="7">
        <f t="shared" si="251"/>
        <v>0</v>
      </c>
      <c r="K752" s="7">
        <f t="shared" ref="K752" si="252">SUM(K749:K751)</f>
        <v>0</v>
      </c>
      <c r="L752" s="7"/>
      <c r="M752" s="25"/>
      <c r="N752" s="25"/>
      <c r="O752" s="33"/>
    </row>
    <row r="753" spans="1:15">
      <c r="B753" s="6"/>
      <c r="D753" s="7"/>
      <c r="E753" s="7"/>
      <c r="F753" s="7"/>
      <c r="G753" s="7"/>
      <c r="H753" s="7"/>
      <c r="I753" s="7"/>
      <c r="J753" s="7"/>
      <c r="K753" s="7"/>
      <c r="L753" s="7"/>
      <c r="M753" s="25"/>
      <c r="N753" s="25"/>
      <c r="O753" s="33"/>
    </row>
    <row r="754" spans="1:15" ht="18.75">
      <c r="A754" s="9" t="s">
        <v>100</v>
      </c>
      <c r="D754" s="2">
        <f>'Facility Detail'!$B$1752</f>
        <v>2011</v>
      </c>
      <c r="E754" s="2">
        <f>D754+1</f>
        <v>2012</v>
      </c>
      <c r="F754" s="2">
        <f>E754+1</f>
        <v>2013</v>
      </c>
      <c r="G754" s="2">
        <f t="shared" ref="G754:K754" si="253">F754+1</f>
        <v>2014</v>
      </c>
      <c r="H754" s="2">
        <f t="shared" si="253"/>
        <v>2015</v>
      </c>
      <c r="I754" s="2">
        <f t="shared" si="253"/>
        <v>2016</v>
      </c>
      <c r="J754" s="2">
        <f t="shared" si="253"/>
        <v>2017</v>
      </c>
      <c r="K754" s="2">
        <f t="shared" si="253"/>
        <v>2018</v>
      </c>
      <c r="L754" s="2">
        <v>2019</v>
      </c>
      <c r="M754" s="25"/>
      <c r="N754" s="25"/>
      <c r="O754" s="33"/>
    </row>
    <row r="755" spans="1:15" ht="14.25" customHeight="1">
      <c r="A755" s="9"/>
      <c r="B755" s="88" t="str">
        <f xml:space="preserve"> 'Facility Detail'!$B$1752 &amp; " Surplus Applied to " &amp; ( 'Facility Detail'!$B$1752 + 1 )</f>
        <v>2011 Surplus Applied to 2012</v>
      </c>
      <c r="C755" s="33"/>
      <c r="D755" s="3"/>
      <c r="E755" s="68">
        <f>D755</f>
        <v>0</v>
      </c>
      <c r="F755" s="152"/>
      <c r="G755" s="152"/>
      <c r="H755" s="152"/>
      <c r="I755" s="152"/>
      <c r="J755" s="152"/>
      <c r="K755" s="152"/>
      <c r="L755" s="69"/>
      <c r="M755" s="25"/>
      <c r="N755" s="25"/>
      <c r="O755" s="33"/>
    </row>
    <row r="756" spans="1:15" ht="14.25" customHeight="1">
      <c r="A756" s="9"/>
      <c r="B756" s="88" t="str">
        <f xml:space="preserve"> ( 'Facility Detail'!$B$1752 + 1 ) &amp; " Surplus Applied to " &amp; ( 'Facility Detail'!$B$1752 )</f>
        <v>2012 Surplus Applied to 2011</v>
      </c>
      <c r="C756" s="33"/>
      <c r="D756" s="189">
        <f>E756</f>
        <v>0</v>
      </c>
      <c r="E756" s="10"/>
      <c r="F756" s="83"/>
      <c r="G756" s="83"/>
      <c r="H756" s="83"/>
      <c r="I756" s="83"/>
      <c r="J756" s="83"/>
      <c r="K756" s="83"/>
      <c r="L756" s="190"/>
      <c r="M756" s="25"/>
      <c r="N756" s="25"/>
      <c r="O756" s="33"/>
    </row>
    <row r="757" spans="1:15" ht="14.25" customHeight="1">
      <c r="A757" s="9"/>
      <c r="B757" s="88" t="str">
        <f xml:space="preserve"> ( 'Facility Detail'!$B$1752 + 1 ) &amp; " Surplus Applied to " &amp; ( 'Facility Detail'!$B$1752 + 2 )</f>
        <v>2012 Surplus Applied to 2013</v>
      </c>
      <c r="C757" s="33"/>
      <c r="D757" s="70"/>
      <c r="E757" s="10">
        <f>E741</f>
        <v>0</v>
      </c>
      <c r="F757" s="79">
        <f>E757</f>
        <v>0</v>
      </c>
      <c r="G757" s="83"/>
      <c r="H757" s="83"/>
      <c r="I757" s="83"/>
      <c r="J757" s="83"/>
      <c r="K757" s="83"/>
      <c r="L757" s="190"/>
      <c r="M757" s="25"/>
      <c r="N757" s="25"/>
      <c r="O757" s="33"/>
    </row>
    <row r="758" spans="1:15" ht="14.25" customHeight="1">
      <c r="A758" s="9"/>
      <c r="B758" s="88" t="str">
        <f xml:space="preserve"> ( 'Facility Detail'!$B$1752 + 2 ) &amp; " Surplus Applied to " &amp; ( 'Facility Detail'!$B$1752 + 1 )</f>
        <v>2013 Surplus Applied to 2012</v>
      </c>
      <c r="C758" s="33"/>
      <c r="D758" s="70"/>
      <c r="E758" s="79">
        <f>F758</f>
        <v>0</v>
      </c>
      <c r="F758" s="188"/>
      <c r="G758" s="83"/>
      <c r="H758" s="83"/>
      <c r="I758" s="83"/>
      <c r="J758" s="83"/>
      <c r="K758" s="83"/>
      <c r="L758" s="190"/>
      <c r="M758" s="25"/>
      <c r="N758" s="25"/>
      <c r="O758" s="33"/>
    </row>
    <row r="759" spans="1:15" ht="14.25" customHeight="1">
      <c r="A759" s="9"/>
      <c r="B759" s="88" t="str">
        <f xml:space="preserve"> ( 'Facility Detail'!$B$1752 + 2 ) &amp; " Surplus Applied to " &amp; ( 'Facility Detail'!$B$1752 + 3 )</f>
        <v>2013 Surplus Applied to 2014</v>
      </c>
      <c r="C759" s="33"/>
      <c r="D759" s="70"/>
      <c r="E759" s="172"/>
      <c r="F759" s="10">
        <f>F741</f>
        <v>0</v>
      </c>
      <c r="G759" s="173">
        <f>F759</f>
        <v>0</v>
      </c>
      <c r="H759" s="83"/>
      <c r="I759" s="83"/>
      <c r="J759" s="83"/>
      <c r="K759" s="83"/>
      <c r="L759" s="190"/>
      <c r="M759" s="25"/>
      <c r="N759" s="25"/>
      <c r="O759" s="33"/>
    </row>
    <row r="760" spans="1:15" ht="14.25" customHeight="1">
      <c r="B760" s="88" t="str">
        <f xml:space="preserve"> ( 'Facility Detail'!$B$1752 + 3 ) &amp; " Surplus Applied to " &amp; ( 'Facility Detail'!$B$1752 + 2 )</f>
        <v>2014 Surplus Applied to 2013</v>
      </c>
      <c r="C760" s="33"/>
      <c r="D760" s="70"/>
      <c r="E760" s="172"/>
      <c r="F760" s="79">
        <f>G760</f>
        <v>0</v>
      </c>
      <c r="G760" s="10"/>
      <c r="H760" s="83"/>
      <c r="I760" s="83"/>
      <c r="J760" s="83" t="s">
        <v>193</v>
      </c>
      <c r="K760" s="83"/>
      <c r="L760" s="190"/>
      <c r="M760" s="25"/>
      <c r="N760" s="25"/>
      <c r="O760" s="33"/>
    </row>
    <row r="761" spans="1:15" ht="14.25" customHeight="1">
      <c r="B761" s="88" t="str">
        <f xml:space="preserve"> ( 'Facility Detail'!$B$1752 + 3 ) &amp; " Surplus Applied to " &amp; ( 'Facility Detail'!$B$1752 + 4 )</f>
        <v>2014 Surplus Applied to 2015</v>
      </c>
      <c r="C761" s="33"/>
      <c r="D761" s="70"/>
      <c r="E761" s="172"/>
      <c r="F761" s="172"/>
      <c r="G761" s="10"/>
      <c r="H761" s="173">
        <f>G761</f>
        <v>0</v>
      </c>
      <c r="I761" s="172">
        <f>H761</f>
        <v>0</v>
      </c>
      <c r="J761" s="172"/>
      <c r="K761" s="172"/>
      <c r="L761" s="176"/>
      <c r="M761" s="25"/>
      <c r="N761" s="25"/>
      <c r="O761" s="33"/>
    </row>
    <row r="762" spans="1:15" ht="14.25" customHeight="1">
      <c r="B762" s="88" t="str">
        <f xml:space="preserve"> ( 'Facility Detail'!$B$1752 + 4 ) &amp; " Surplus Applied to " &amp; ( 'Facility Detail'!$B$1752 + 3 )</f>
        <v>2015 Surplus Applied to 2014</v>
      </c>
      <c r="C762" s="33"/>
      <c r="D762" s="70"/>
      <c r="E762" s="172"/>
      <c r="F762" s="172"/>
      <c r="G762" s="174"/>
      <c r="H762" s="175"/>
      <c r="I762" s="172"/>
      <c r="J762" s="172"/>
      <c r="K762" s="172"/>
      <c r="L762" s="176"/>
      <c r="M762" s="25"/>
      <c r="N762" s="25"/>
      <c r="O762" s="33"/>
    </row>
    <row r="763" spans="1:15" ht="14.25" customHeight="1">
      <c r="B763" s="88" t="str">
        <f xml:space="preserve"> ( 'Facility Detail'!$B$1752 + 4 ) &amp; " Surplus Applied to " &amp; ( 'Facility Detail'!$B$1752 + 5 )</f>
        <v>2015 Surplus Applied to 2016</v>
      </c>
      <c r="C763" s="33"/>
      <c r="D763" s="70"/>
      <c r="E763" s="172"/>
      <c r="F763" s="172"/>
      <c r="G763" s="172"/>
      <c r="H763" s="175">
        <f>H741</f>
        <v>23680</v>
      </c>
      <c r="I763" s="173">
        <f>H763</f>
        <v>23680</v>
      </c>
      <c r="J763" s="83"/>
      <c r="K763" s="172"/>
      <c r="L763" s="176"/>
      <c r="M763" s="25"/>
      <c r="N763" s="25"/>
      <c r="O763" s="33"/>
    </row>
    <row r="764" spans="1:15" ht="14.25" customHeight="1">
      <c r="B764" s="88" t="str">
        <f xml:space="preserve"> ( 'Facility Detail'!$B$1752 + 5 ) &amp; " Surplus Applied to " &amp; ( 'Facility Detail'!$B$1752 + 4 )</f>
        <v>2016 Surplus Applied to 2015</v>
      </c>
      <c r="C764" s="33"/>
      <c r="D764" s="70"/>
      <c r="E764" s="172"/>
      <c r="F764" s="172"/>
      <c r="G764" s="172"/>
      <c r="H764" s="79"/>
      <c r="I764" s="175"/>
      <c r="J764" s="83"/>
      <c r="K764" s="172"/>
      <c r="L764" s="176"/>
      <c r="M764" s="25"/>
      <c r="N764" s="25"/>
      <c r="O764" s="33"/>
    </row>
    <row r="765" spans="1:15" ht="14.25" customHeight="1">
      <c r="B765" s="88" t="str">
        <f xml:space="preserve"> ( 'Facility Detail'!$B$1752 + 5 ) &amp; " Surplus Applied to " &amp; ( 'Facility Detail'!$B$1752 + 6 )</f>
        <v>2016 Surplus Applied to 2017</v>
      </c>
      <c r="C765" s="33"/>
      <c r="D765" s="70"/>
      <c r="E765" s="172"/>
      <c r="F765" s="172"/>
      <c r="G765" s="172"/>
      <c r="H765" s="172"/>
      <c r="I765" s="175">
        <v>0</v>
      </c>
      <c r="J765" s="174">
        <f>I765</f>
        <v>0</v>
      </c>
      <c r="K765" s="172"/>
      <c r="L765" s="176"/>
      <c r="M765" s="25"/>
      <c r="N765" s="25"/>
      <c r="O765" s="33"/>
    </row>
    <row r="766" spans="1:15" ht="14.25" customHeight="1">
      <c r="B766" s="88" t="s">
        <v>191</v>
      </c>
      <c r="C766" s="33"/>
      <c r="D766" s="70"/>
      <c r="E766" s="172"/>
      <c r="F766" s="172"/>
      <c r="G766" s="172"/>
      <c r="H766" s="172"/>
      <c r="I766" s="174"/>
      <c r="J766" s="175"/>
      <c r="K766" s="172"/>
      <c r="L766" s="190"/>
      <c r="M766" s="25"/>
      <c r="N766" s="25"/>
      <c r="O766" s="33"/>
    </row>
    <row r="767" spans="1:15" ht="14.25" customHeight="1">
      <c r="B767" s="88" t="s">
        <v>192</v>
      </c>
      <c r="C767" s="33"/>
      <c r="D767" s="70"/>
      <c r="E767" s="172"/>
      <c r="F767" s="172"/>
      <c r="G767" s="172"/>
      <c r="H767" s="172"/>
      <c r="I767" s="172"/>
      <c r="J767" s="175">
        <f>J741</f>
        <v>25187</v>
      </c>
      <c r="K767" s="389"/>
      <c r="L767" s="176"/>
      <c r="M767" s="25"/>
      <c r="N767" s="25"/>
      <c r="O767" s="33"/>
    </row>
    <row r="768" spans="1:15" ht="14.25" customHeight="1">
      <c r="B768" s="88" t="s">
        <v>226</v>
      </c>
      <c r="C768" s="33"/>
      <c r="D768" s="70"/>
      <c r="E768" s="172"/>
      <c r="F768" s="172"/>
      <c r="G768" s="172"/>
      <c r="H768" s="172"/>
      <c r="I768" s="172"/>
      <c r="J768" s="174"/>
      <c r="K768" s="175"/>
      <c r="L768" s="176"/>
      <c r="M768" s="25"/>
      <c r="N768" s="25"/>
      <c r="O768" s="33"/>
    </row>
    <row r="769" spans="1:15" ht="14.25" customHeight="1">
      <c r="B769" s="88" t="s">
        <v>227</v>
      </c>
      <c r="C769" s="33"/>
      <c r="D769" s="71"/>
      <c r="E769" s="154"/>
      <c r="F769" s="154"/>
      <c r="G769" s="154"/>
      <c r="H769" s="154"/>
      <c r="I769" s="154"/>
      <c r="J769" s="154"/>
      <c r="K769" s="177">
        <v>0</v>
      </c>
      <c r="L769" s="332"/>
      <c r="M769" s="25"/>
      <c r="N769" s="25"/>
      <c r="O769" s="33"/>
    </row>
    <row r="770" spans="1:15">
      <c r="B770" s="36" t="s">
        <v>17</v>
      </c>
      <c r="D770" s="214">
        <f xml:space="preserve"> D759 - D755</f>
        <v>0</v>
      </c>
      <c r="E770" s="214">
        <f xml:space="preserve"> E755 + E763 - E760 - E759</f>
        <v>0</v>
      </c>
      <c r="F770" s="214">
        <f>F760 - F763</f>
        <v>0</v>
      </c>
      <c r="G770" s="214">
        <f t="shared" ref="G770" si="254">G760 - G763</f>
        <v>0</v>
      </c>
      <c r="H770" s="214">
        <f>H761-H762-H763</f>
        <v>-23680</v>
      </c>
      <c r="I770" s="214">
        <f>I763-I764-I765</f>
        <v>23680</v>
      </c>
      <c r="J770" s="214">
        <f>J765-J766-J767</f>
        <v>-25187</v>
      </c>
      <c r="K770" s="388"/>
      <c r="L770" s="214">
        <f t="shared" ref="L770" si="255">L763-L764-L765</f>
        <v>0</v>
      </c>
      <c r="M770" s="25"/>
      <c r="N770" s="25"/>
      <c r="O770" s="33"/>
    </row>
    <row r="771" spans="1:15">
      <c r="B771" s="6"/>
      <c r="D771" s="7"/>
      <c r="E771" s="7"/>
      <c r="F771" s="7"/>
      <c r="G771" s="7"/>
      <c r="H771" s="7"/>
      <c r="I771" s="7"/>
      <c r="J771" s="7"/>
      <c r="K771" s="7"/>
      <c r="L771" s="7"/>
      <c r="M771" s="25"/>
      <c r="N771" s="25"/>
      <c r="O771" s="33"/>
    </row>
    <row r="772" spans="1:15">
      <c r="B772" s="85" t="s">
        <v>12</v>
      </c>
      <c r="C772" s="80"/>
      <c r="D772" s="111"/>
      <c r="E772" s="112"/>
      <c r="F772" s="185"/>
      <c r="G772" s="185"/>
      <c r="H772" s="185"/>
      <c r="I772" s="185"/>
      <c r="J772" s="185"/>
      <c r="K772" s="185"/>
      <c r="L772" s="113"/>
      <c r="M772" s="25"/>
      <c r="N772" s="25"/>
      <c r="O772" s="33"/>
    </row>
    <row r="773" spans="1:15">
      <c r="B773" s="6"/>
      <c r="D773" s="7"/>
      <c r="E773" s="7"/>
      <c r="F773" s="7"/>
      <c r="G773" s="7"/>
      <c r="H773" s="7"/>
      <c r="I773" s="7"/>
      <c r="J773" s="7"/>
      <c r="K773" s="7"/>
      <c r="L773" s="7"/>
      <c r="M773" s="25"/>
      <c r="N773" s="25"/>
      <c r="O773" s="33"/>
    </row>
    <row r="774" spans="1:15" ht="18.75">
      <c r="A774" s="45" t="s">
        <v>26</v>
      </c>
      <c r="C774" s="80"/>
      <c r="D774" s="49">
        <f xml:space="preserve"> D741 + D746 - D752 + D770 + D772</f>
        <v>0</v>
      </c>
      <c r="E774" s="50">
        <f xml:space="preserve"> E741 + E746 - E752 + E770 + E772</f>
        <v>0</v>
      </c>
      <c r="F774" s="50">
        <f xml:space="preserve"> F741 + F746 - F752 + F770 + F772</f>
        <v>0</v>
      </c>
      <c r="G774" s="219">
        <f t="shared" ref="G774:L774" si="256" xml:space="preserve"> G741 + G746 - G752 + G770 + G772</f>
        <v>0</v>
      </c>
      <c r="H774" s="219">
        <f t="shared" si="256"/>
        <v>0</v>
      </c>
      <c r="I774" s="219">
        <f t="shared" si="256"/>
        <v>50956</v>
      </c>
      <c r="J774" s="219">
        <f t="shared" si="256"/>
        <v>0</v>
      </c>
      <c r="K774" s="387"/>
      <c r="L774" s="167">
        <f t="shared" si="256"/>
        <v>0</v>
      </c>
      <c r="M774" s="25"/>
      <c r="N774" s="25"/>
      <c r="O774" s="33"/>
    </row>
    <row r="775" spans="1:15">
      <c r="B775" s="6"/>
      <c r="D775" s="7"/>
      <c r="E775" s="7"/>
      <c r="F775" s="7"/>
      <c r="G775" s="31"/>
      <c r="H775" s="31"/>
      <c r="I775" s="31"/>
      <c r="J775" s="31"/>
      <c r="K775" s="31"/>
      <c r="L775" s="31"/>
      <c r="M775" s="25"/>
      <c r="N775" s="25"/>
      <c r="O775" s="33"/>
    </row>
    <row r="776" spans="1:15" ht="15.75" thickBot="1">
      <c r="M776" s="31"/>
      <c r="N776" s="31"/>
      <c r="O776" s="33"/>
    </row>
    <row r="777" spans="1:15">
      <c r="A777" s="8"/>
      <c r="B777" s="8"/>
      <c r="C777" s="8"/>
      <c r="D777" s="8"/>
      <c r="E777" s="8"/>
      <c r="F777" s="8"/>
      <c r="G777" s="8"/>
      <c r="H777" s="8"/>
      <c r="I777" s="8"/>
      <c r="J777" s="8"/>
      <c r="K777" s="8"/>
      <c r="L777" s="8"/>
      <c r="M777" s="31"/>
      <c r="N777" s="31"/>
      <c r="O777" s="33"/>
    </row>
    <row r="778" spans="1:15">
      <c r="B778" s="33"/>
      <c r="C778" s="33"/>
      <c r="D778" s="33"/>
      <c r="E778" s="33"/>
      <c r="F778" s="33"/>
      <c r="G778" s="33"/>
      <c r="H778" s="33"/>
      <c r="I778" s="33"/>
      <c r="J778" s="33"/>
      <c r="K778" s="33"/>
      <c r="L778" s="33"/>
      <c r="M778" s="33"/>
      <c r="N778" s="33"/>
      <c r="O778" s="33"/>
    </row>
    <row r="779" spans="1:15" ht="21">
      <c r="A779" s="14" t="s">
        <v>4</v>
      </c>
      <c r="B779" s="14"/>
      <c r="C779" s="46" t="str">
        <f>B19</f>
        <v>Glenrock Wind I</v>
      </c>
      <c r="D779" s="47"/>
      <c r="E779" s="24"/>
      <c r="F779" s="24"/>
      <c r="M779" s="33"/>
      <c r="N779" s="33"/>
      <c r="O779" s="33"/>
    </row>
    <row r="780" spans="1:15">
      <c r="M780" s="33"/>
      <c r="N780" s="33"/>
      <c r="O780" s="33"/>
    </row>
    <row r="781" spans="1:15" ht="18.75">
      <c r="A781" s="9" t="s">
        <v>21</v>
      </c>
      <c r="B781" s="9"/>
      <c r="D781" s="2">
        <f>'Facility Detail'!$B$1752</f>
        <v>2011</v>
      </c>
      <c r="E781" s="2">
        <f>D781+1</f>
        <v>2012</v>
      </c>
      <c r="F781" s="2">
        <f>E781+1</f>
        <v>2013</v>
      </c>
      <c r="G781" s="2">
        <f t="shared" ref="G781:L781" si="257">F781+1</f>
        <v>2014</v>
      </c>
      <c r="H781" s="2">
        <f t="shared" si="257"/>
        <v>2015</v>
      </c>
      <c r="I781" s="2">
        <f t="shared" si="257"/>
        <v>2016</v>
      </c>
      <c r="J781" s="2">
        <f t="shared" si="257"/>
        <v>2017</v>
      </c>
      <c r="K781" s="2">
        <f t="shared" si="257"/>
        <v>2018</v>
      </c>
      <c r="L781" s="2">
        <f t="shared" si="257"/>
        <v>2019</v>
      </c>
      <c r="M781" s="26"/>
      <c r="N781" s="26"/>
      <c r="O781" s="33"/>
    </row>
    <row r="782" spans="1:15">
      <c r="B782" s="88" t="str">
        <f>"Total MWh Produced / Purchased from " &amp; C779</f>
        <v>Total MWh Produced / Purchased from Glenrock Wind I</v>
      </c>
      <c r="C782" s="80"/>
      <c r="D782" s="3"/>
      <c r="E782" s="4"/>
      <c r="F782" s="4"/>
      <c r="G782" s="206"/>
      <c r="H782" s="4">
        <v>289386</v>
      </c>
      <c r="I782" s="4">
        <v>311607</v>
      </c>
      <c r="J782" s="4">
        <v>268269</v>
      </c>
      <c r="K782" s="381"/>
      <c r="L782" s="5"/>
      <c r="M782" s="25"/>
      <c r="N782" s="25"/>
      <c r="O782" s="33"/>
    </row>
    <row r="783" spans="1:15">
      <c r="B783" s="88" t="s">
        <v>25</v>
      </c>
      <c r="C783" s="80"/>
      <c r="D783" s="62"/>
      <c r="E783" s="63"/>
      <c r="F783" s="63"/>
      <c r="G783" s="63"/>
      <c r="H783" s="215">
        <v>1</v>
      </c>
      <c r="I783" s="215">
        <v>1</v>
      </c>
      <c r="J783" s="215">
        <v>1</v>
      </c>
      <c r="K783" s="215">
        <v>1</v>
      </c>
      <c r="L783" s="356"/>
      <c r="M783" s="25"/>
      <c r="N783" s="25"/>
      <c r="O783" s="33"/>
    </row>
    <row r="784" spans="1:15">
      <c r="B784" s="88" t="s">
        <v>20</v>
      </c>
      <c r="C784" s="80"/>
      <c r="D784" s="54"/>
      <c r="E784" s="55"/>
      <c r="F784" s="55"/>
      <c r="G784" s="55"/>
      <c r="H784" s="55">
        <v>8.0535999999999996E-2</v>
      </c>
      <c r="I784" s="55">
        <v>8.1698151927344531E-2</v>
      </c>
      <c r="J784" s="55">
        <v>8.0833713568703974E-2</v>
      </c>
      <c r="K784" s="55">
        <v>7.9769759999999995E-2</v>
      </c>
      <c r="L784" s="56"/>
      <c r="M784" s="25"/>
      <c r="N784" s="25"/>
      <c r="O784" s="33"/>
    </row>
    <row r="785" spans="1:15">
      <c r="B785" s="85" t="s">
        <v>22</v>
      </c>
      <c r="C785" s="86"/>
      <c r="D785" s="41">
        <f>ROUND(D782 * D783 * D784,0)</f>
        <v>0</v>
      </c>
      <c r="E785" s="41">
        <f t="shared" ref="E785:H785" si="258">ROUND(E782 * E783 * E784,0)</f>
        <v>0</v>
      </c>
      <c r="F785" s="41">
        <f t="shared" si="258"/>
        <v>0</v>
      </c>
      <c r="G785" s="41">
        <f t="shared" si="258"/>
        <v>0</v>
      </c>
      <c r="H785" s="41">
        <f t="shared" si="258"/>
        <v>23306</v>
      </c>
      <c r="I785" s="41">
        <v>25457</v>
      </c>
      <c r="J785" s="41">
        <v>21686</v>
      </c>
      <c r="K785" s="380"/>
      <c r="L785" s="41"/>
      <c r="M785" s="25"/>
      <c r="N785" s="25"/>
      <c r="O785" s="33"/>
    </row>
    <row r="786" spans="1:15">
      <c r="B786" s="24"/>
      <c r="C786" s="33"/>
      <c r="D786" s="40"/>
      <c r="E786" s="40"/>
      <c r="F786" s="40"/>
      <c r="G786" s="40"/>
      <c r="H786" s="40"/>
      <c r="I786" s="40"/>
      <c r="J786" s="40"/>
      <c r="K786" s="40"/>
      <c r="L786" s="40"/>
      <c r="M786" s="25"/>
      <c r="N786" s="25"/>
      <c r="O786" s="33"/>
    </row>
    <row r="787" spans="1:15" ht="18.75">
      <c r="A787" s="48" t="s">
        <v>119</v>
      </c>
      <c r="C787" s="33"/>
      <c r="D787" s="2">
        <f>'Facility Detail'!$B$1752</f>
        <v>2011</v>
      </c>
      <c r="E787" s="2">
        <f>D787+1</f>
        <v>2012</v>
      </c>
      <c r="F787" s="2">
        <f>E787+1</f>
        <v>2013</v>
      </c>
      <c r="G787" s="2">
        <f t="shared" ref="G787:I787" si="259">F787+1</f>
        <v>2014</v>
      </c>
      <c r="H787" s="2">
        <f t="shared" si="259"/>
        <v>2015</v>
      </c>
      <c r="I787" s="2">
        <f t="shared" si="259"/>
        <v>2016</v>
      </c>
      <c r="J787" s="2">
        <f t="shared" ref="J787" si="260">I787+1</f>
        <v>2017</v>
      </c>
      <c r="K787" s="2">
        <f t="shared" ref="K787" si="261">J787+1</f>
        <v>2018</v>
      </c>
      <c r="L787" s="2">
        <f t="shared" ref="L787" si="262">K787+1</f>
        <v>2019</v>
      </c>
      <c r="M787" s="25"/>
      <c r="N787" s="25"/>
      <c r="O787" s="33"/>
    </row>
    <row r="788" spans="1:15">
      <c r="B788" s="88" t="s">
        <v>10</v>
      </c>
      <c r="C788" s="80"/>
      <c r="D788" s="57">
        <f>IF( $E19 = "Eligible", D785 * 'Facility Detail'!$B$1749, 0 )</f>
        <v>0</v>
      </c>
      <c r="E788" s="11">
        <f>IF( $E19 = "Eligible", E785 * 'Facility Detail'!$B$1749, 0 )</f>
        <v>0</v>
      </c>
      <c r="F788" s="11">
        <f>IF( $E19 = "Eligible", F785 * 'Facility Detail'!$B$1749, 0 )</f>
        <v>0</v>
      </c>
      <c r="G788" s="220">
        <f>IF( $E19 = "Eligible", G785 * 'Facility Detail'!$B$1749, 0 )</f>
        <v>0</v>
      </c>
      <c r="H788" s="194">
        <f>IF( $E19 = "Eligible", H785 * 'Facility Detail'!$B$1749, 0 )</f>
        <v>0</v>
      </c>
      <c r="I788" s="194">
        <f>IF( $E19 = "Eligible", I785 * 'Facility Detail'!$B$1749, 0 )</f>
        <v>0</v>
      </c>
      <c r="J788" s="194">
        <f>IF( $E19 = "Eligible", J785 * 'Facility Detail'!$B$1749, 0 )</f>
        <v>0</v>
      </c>
      <c r="K788" s="194">
        <f>IF( $E19 = "Eligible", K785 * 'Facility Detail'!$B$1749, 0 )</f>
        <v>0</v>
      </c>
      <c r="L788" s="12">
        <f>IF( $E19 = "Eligible", L785 * 'Facility Detail'!$B$1749, 0 )</f>
        <v>0</v>
      </c>
      <c r="M788" s="25"/>
      <c r="N788" s="25"/>
      <c r="O788" s="33"/>
    </row>
    <row r="789" spans="1:15">
      <c r="B789" s="88" t="s">
        <v>6</v>
      </c>
      <c r="C789" s="80"/>
      <c r="D789" s="58">
        <f t="shared" ref="D789:I789" si="263">IF( $F19 = "Eligible", D785, 0 )</f>
        <v>0</v>
      </c>
      <c r="E789" s="59">
        <f t="shared" si="263"/>
        <v>0</v>
      </c>
      <c r="F789" s="59">
        <f t="shared" si="263"/>
        <v>0</v>
      </c>
      <c r="G789" s="59">
        <f t="shared" si="263"/>
        <v>0</v>
      </c>
      <c r="H789" s="224">
        <f t="shared" si="263"/>
        <v>0</v>
      </c>
      <c r="I789" s="213">
        <f t="shared" si="263"/>
        <v>0</v>
      </c>
      <c r="J789" s="213">
        <f t="shared" ref="J789:L789" si="264">IF( $F19 = "Eligible", J785, 0 )</f>
        <v>0</v>
      </c>
      <c r="K789" s="213">
        <f t="shared" si="264"/>
        <v>0</v>
      </c>
      <c r="L789" s="60">
        <f t="shared" si="264"/>
        <v>0</v>
      </c>
      <c r="M789" s="31"/>
      <c r="N789" s="31"/>
      <c r="O789" s="33"/>
    </row>
    <row r="790" spans="1:15">
      <c r="B790" s="87" t="s">
        <v>121</v>
      </c>
      <c r="C790" s="86"/>
      <c r="D790" s="43">
        <f>SUM(D788:D789)</f>
        <v>0</v>
      </c>
      <c r="E790" s="44">
        <f>SUM(E788:E789)</f>
        <v>0</v>
      </c>
      <c r="F790" s="44">
        <f>SUM(F788:F789)</f>
        <v>0</v>
      </c>
      <c r="G790" s="44">
        <f t="shared" ref="G790:I790" si="265">SUM(G788:G789)</f>
        <v>0</v>
      </c>
      <c r="H790" s="44">
        <f t="shared" si="265"/>
        <v>0</v>
      </c>
      <c r="I790" s="44">
        <f t="shared" si="265"/>
        <v>0</v>
      </c>
      <c r="J790" s="44">
        <f t="shared" ref="J790:L790" si="266">SUM(J788:J789)</f>
        <v>0</v>
      </c>
      <c r="K790" s="44">
        <f t="shared" si="266"/>
        <v>0</v>
      </c>
      <c r="L790" s="44">
        <f t="shared" si="266"/>
        <v>0</v>
      </c>
      <c r="M790" s="31"/>
      <c r="N790" s="31"/>
      <c r="O790" s="33"/>
    </row>
    <row r="791" spans="1:15">
      <c r="B791" s="33"/>
      <c r="C791" s="33"/>
      <c r="D791" s="42"/>
      <c r="E791" s="34"/>
      <c r="F791" s="34"/>
      <c r="G791" s="34"/>
      <c r="H791" s="34"/>
      <c r="I791" s="34"/>
      <c r="J791" s="34"/>
      <c r="K791" s="34"/>
      <c r="L791" s="34"/>
      <c r="M791" s="31"/>
      <c r="N791" s="31"/>
      <c r="O791" s="33"/>
    </row>
    <row r="792" spans="1:15" ht="18.75">
      <c r="A792" s="45" t="s">
        <v>30</v>
      </c>
      <c r="C792" s="33"/>
      <c r="D792" s="2">
        <f>'Facility Detail'!$B$1752</f>
        <v>2011</v>
      </c>
      <c r="E792" s="2">
        <f>D792+1</f>
        <v>2012</v>
      </c>
      <c r="F792" s="2">
        <f>E792+1</f>
        <v>2013</v>
      </c>
      <c r="G792" s="2">
        <f t="shared" ref="G792:I792" si="267">F792+1</f>
        <v>2014</v>
      </c>
      <c r="H792" s="2">
        <f t="shared" si="267"/>
        <v>2015</v>
      </c>
      <c r="I792" s="2">
        <f t="shared" si="267"/>
        <v>2016</v>
      </c>
      <c r="J792" s="2">
        <f t="shared" ref="J792" si="268">I792+1</f>
        <v>2017</v>
      </c>
      <c r="K792" s="2">
        <f t="shared" ref="K792" si="269">J792+1</f>
        <v>2018</v>
      </c>
      <c r="L792" s="2">
        <f t="shared" ref="L792" si="270">K792+1</f>
        <v>2019</v>
      </c>
      <c r="M792" s="33"/>
      <c r="N792" s="33"/>
      <c r="O792" s="33"/>
    </row>
    <row r="793" spans="1:15">
      <c r="B793" s="88" t="s">
        <v>47</v>
      </c>
      <c r="C793" s="80"/>
      <c r="D793" s="98"/>
      <c r="E793" s="99"/>
      <c r="F793" s="99"/>
      <c r="G793" s="180"/>
      <c r="H793" s="180"/>
      <c r="I793" s="99"/>
      <c r="J793" s="99"/>
      <c r="K793" s="99"/>
      <c r="L793" s="100"/>
      <c r="M793" s="33"/>
      <c r="N793" s="33"/>
      <c r="O793" s="33"/>
    </row>
    <row r="794" spans="1:15">
      <c r="B794" s="89" t="s">
        <v>23</v>
      </c>
      <c r="C794" s="207"/>
      <c r="D794" s="101"/>
      <c r="E794" s="102"/>
      <c r="F794" s="102"/>
      <c r="G794" s="181"/>
      <c r="H794" s="181"/>
      <c r="I794" s="102"/>
      <c r="J794" s="102"/>
      <c r="K794" s="102"/>
      <c r="L794" s="103"/>
      <c r="M794" s="33"/>
      <c r="N794" s="33"/>
      <c r="O794" s="33"/>
    </row>
    <row r="795" spans="1:15">
      <c r="B795" s="104" t="s">
        <v>89</v>
      </c>
      <c r="C795" s="205"/>
      <c r="D795" s="65"/>
      <c r="E795" s="66"/>
      <c r="F795" s="66"/>
      <c r="G795" s="182"/>
      <c r="H795" s="182"/>
      <c r="I795" s="66"/>
      <c r="J795" s="66"/>
      <c r="K795" s="66"/>
      <c r="L795" s="67"/>
      <c r="M795" s="33"/>
      <c r="N795" s="33"/>
      <c r="O795" s="33"/>
    </row>
    <row r="796" spans="1:15">
      <c r="B796" s="36" t="s">
        <v>90</v>
      </c>
      <c r="D796" s="7">
        <f>SUM(D793:D795)</f>
        <v>0</v>
      </c>
      <c r="E796" s="7">
        <f>SUM(E793:E795)</f>
        <v>0</v>
      </c>
      <c r="F796" s="7">
        <f>SUM(F793:F795)</f>
        <v>0</v>
      </c>
      <c r="G796" s="7">
        <f t="shared" ref="G796:I796" si="271">SUM(G793:G795)</f>
        <v>0</v>
      </c>
      <c r="H796" s="7">
        <f t="shared" si="271"/>
        <v>0</v>
      </c>
      <c r="I796" s="7">
        <f t="shared" si="271"/>
        <v>0</v>
      </c>
      <c r="J796" s="7">
        <f t="shared" ref="J796:L796" si="272">SUM(J793:J795)</f>
        <v>0</v>
      </c>
      <c r="K796" s="7">
        <f t="shared" si="272"/>
        <v>0</v>
      </c>
      <c r="L796" s="7">
        <f t="shared" si="272"/>
        <v>0</v>
      </c>
      <c r="M796" s="33"/>
      <c r="N796" s="33"/>
      <c r="O796" s="33"/>
    </row>
    <row r="797" spans="1:15">
      <c r="B797" s="6"/>
      <c r="D797" s="7"/>
      <c r="E797" s="7"/>
      <c r="F797" s="7"/>
      <c r="G797" s="7"/>
      <c r="H797" s="7"/>
      <c r="I797" s="7"/>
      <c r="J797" s="7"/>
      <c r="K797" s="7"/>
      <c r="L797" s="7"/>
      <c r="M797" s="26"/>
      <c r="N797" s="26"/>
      <c r="O797" s="33"/>
    </row>
    <row r="798" spans="1:15" ht="18.75">
      <c r="A798" s="9" t="s">
        <v>100</v>
      </c>
      <c r="D798" s="2">
        <f>'Facility Detail'!$B$1752</f>
        <v>2011</v>
      </c>
      <c r="E798" s="2">
        <f>D798+1</f>
        <v>2012</v>
      </c>
      <c r="F798" s="2">
        <f>E798+1</f>
        <v>2013</v>
      </c>
      <c r="G798" s="2">
        <f t="shared" ref="G798:K798" si="273">F798+1</f>
        <v>2014</v>
      </c>
      <c r="H798" s="2">
        <f t="shared" si="273"/>
        <v>2015</v>
      </c>
      <c r="I798" s="2">
        <f t="shared" si="273"/>
        <v>2016</v>
      </c>
      <c r="J798" s="2">
        <f t="shared" si="273"/>
        <v>2017</v>
      </c>
      <c r="K798" s="2">
        <f t="shared" si="273"/>
        <v>2018</v>
      </c>
      <c r="L798" s="2"/>
      <c r="M798" s="26"/>
      <c r="N798" s="26"/>
      <c r="O798" s="33"/>
    </row>
    <row r="799" spans="1:15">
      <c r="B799" s="88" t="s">
        <v>68</v>
      </c>
      <c r="C799" s="33"/>
      <c r="D799" s="3"/>
      <c r="E799" s="68">
        <f>D799</f>
        <v>0</v>
      </c>
      <c r="F799" s="152"/>
      <c r="G799" s="152"/>
      <c r="H799" s="152"/>
      <c r="I799" s="152"/>
      <c r="J799" s="152"/>
      <c r="K799" s="152"/>
      <c r="L799" s="69"/>
      <c r="M799" s="26"/>
      <c r="N799" s="26"/>
      <c r="O799" s="33"/>
    </row>
    <row r="800" spans="1:15">
      <c r="B800" s="88" t="s">
        <v>69</v>
      </c>
      <c r="C800" s="33"/>
      <c r="D800" s="189">
        <f>E800</f>
        <v>0</v>
      </c>
      <c r="E800" s="10"/>
      <c r="F800" s="83"/>
      <c r="G800" s="83"/>
      <c r="H800" s="83"/>
      <c r="I800" s="83"/>
      <c r="J800" s="83"/>
      <c r="K800" s="83"/>
      <c r="L800" s="190"/>
      <c r="M800" s="26"/>
      <c r="N800" s="26"/>
      <c r="O800" s="33"/>
    </row>
    <row r="801" spans="2:15">
      <c r="B801" s="88" t="s">
        <v>70</v>
      </c>
      <c r="C801" s="33"/>
      <c r="D801" s="70"/>
      <c r="E801" s="10">
        <f>E785</f>
        <v>0</v>
      </c>
      <c r="F801" s="79">
        <f>E801</f>
        <v>0</v>
      </c>
      <c r="G801" s="83"/>
      <c r="H801" s="83"/>
      <c r="I801" s="83"/>
      <c r="J801" s="83"/>
      <c r="K801" s="83"/>
      <c r="L801" s="190"/>
      <c r="M801" s="26"/>
      <c r="N801" s="26"/>
      <c r="O801" s="33"/>
    </row>
    <row r="802" spans="2:15">
      <c r="B802" s="88" t="s">
        <v>71</v>
      </c>
      <c r="C802" s="33"/>
      <c r="D802" s="70"/>
      <c r="E802" s="79">
        <f>F802</f>
        <v>0</v>
      </c>
      <c r="F802" s="188"/>
      <c r="G802" s="83"/>
      <c r="H802" s="83"/>
      <c r="I802" s="83"/>
      <c r="J802" s="83"/>
      <c r="K802" s="83"/>
      <c r="L802" s="190"/>
      <c r="M802" s="26"/>
      <c r="N802" s="26"/>
      <c r="O802" s="33"/>
    </row>
    <row r="803" spans="2:15">
      <c r="B803" s="88" t="s">
        <v>194</v>
      </c>
      <c r="C803" s="33"/>
      <c r="D803" s="70"/>
      <c r="E803" s="172"/>
      <c r="F803" s="10">
        <f>F785</f>
        <v>0</v>
      </c>
      <c r="G803" s="173">
        <f>F803</f>
        <v>0</v>
      </c>
      <c r="H803" s="83"/>
      <c r="I803" s="83"/>
      <c r="J803" s="83"/>
      <c r="K803" s="83"/>
      <c r="L803" s="190"/>
      <c r="M803" s="26"/>
      <c r="N803" s="26"/>
      <c r="O803" s="33"/>
    </row>
    <row r="804" spans="2:15">
      <c r="B804" s="88" t="s">
        <v>195</v>
      </c>
      <c r="C804" s="33"/>
      <c r="D804" s="70"/>
      <c r="E804" s="172"/>
      <c r="F804" s="79">
        <f>G804</f>
        <v>0</v>
      </c>
      <c r="G804" s="10"/>
      <c r="H804" s="83"/>
      <c r="I804" s="83"/>
      <c r="J804" s="83" t="s">
        <v>193</v>
      </c>
      <c r="K804" s="83"/>
      <c r="L804" s="190"/>
      <c r="M804" s="26"/>
      <c r="N804" s="26"/>
      <c r="O804" s="33"/>
    </row>
    <row r="805" spans="2:15">
      <c r="B805" s="88" t="s">
        <v>196</v>
      </c>
      <c r="C805" s="33"/>
      <c r="D805" s="70"/>
      <c r="E805" s="172"/>
      <c r="F805" s="172"/>
      <c r="G805" s="10"/>
      <c r="H805" s="173">
        <f>G805</f>
        <v>0</v>
      </c>
      <c r="I805" s="172">
        <f>H805</f>
        <v>0</v>
      </c>
      <c r="J805" s="172"/>
      <c r="K805" s="172"/>
      <c r="L805" s="176"/>
      <c r="M805" s="26"/>
      <c r="N805" s="26"/>
      <c r="O805" s="33"/>
    </row>
    <row r="806" spans="2:15">
      <c r="B806" s="88" t="s">
        <v>197</v>
      </c>
      <c r="C806" s="33"/>
      <c r="D806" s="70"/>
      <c r="E806" s="172"/>
      <c r="F806" s="172"/>
      <c r="G806" s="174">
        <f>H806</f>
        <v>0</v>
      </c>
      <c r="H806" s="175"/>
      <c r="I806" s="172"/>
      <c r="J806" s="172"/>
      <c r="K806" s="172"/>
      <c r="L806" s="176"/>
      <c r="M806" s="26"/>
      <c r="N806" s="26"/>
      <c r="O806" s="33"/>
    </row>
    <row r="807" spans="2:15">
      <c r="B807" s="88" t="s">
        <v>198</v>
      </c>
      <c r="C807" s="33"/>
      <c r="D807" s="70"/>
      <c r="E807" s="172"/>
      <c r="F807" s="172"/>
      <c r="G807" s="172"/>
      <c r="H807" s="175">
        <f>H785</f>
        <v>23306</v>
      </c>
      <c r="I807" s="173">
        <f>H807</f>
        <v>23306</v>
      </c>
      <c r="J807" s="83"/>
      <c r="K807" s="172"/>
      <c r="L807" s="176"/>
      <c r="M807" s="26"/>
      <c r="N807" s="26"/>
      <c r="O807" s="33"/>
    </row>
    <row r="808" spans="2:15">
      <c r="B808" s="88" t="s">
        <v>199</v>
      </c>
      <c r="C808" s="33"/>
      <c r="D808" s="70"/>
      <c r="E808" s="172"/>
      <c r="F808" s="172"/>
      <c r="G808" s="172"/>
      <c r="H808" s="79"/>
      <c r="I808" s="175"/>
      <c r="J808" s="83"/>
      <c r="K808" s="172"/>
      <c r="L808" s="176"/>
      <c r="M808" s="26"/>
      <c r="N808" s="26"/>
      <c r="O808" s="33"/>
    </row>
    <row r="809" spans="2:15">
      <c r="B809" s="88" t="s">
        <v>200</v>
      </c>
      <c r="C809" s="33"/>
      <c r="D809" s="70"/>
      <c r="E809" s="172"/>
      <c r="F809" s="172"/>
      <c r="G809" s="172"/>
      <c r="H809" s="172"/>
      <c r="I809" s="175">
        <v>13886</v>
      </c>
      <c r="J809" s="174">
        <f>I809</f>
        <v>13886</v>
      </c>
      <c r="K809" s="172"/>
      <c r="L809" s="176"/>
      <c r="M809" s="26"/>
      <c r="N809" s="26"/>
      <c r="O809" s="33"/>
    </row>
    <row r="810" spans="2:15">
      <c r="B810" s="88" t="s">
        <v>191</v>
      </c>
      <c r="C810" s="33"/>
      <c r="D810" s="70"/>
      <c r="E810" s="172"/>
      <c r="F810" s="172"/>
      <c r="G810" s="172"/>
      <c r="H810" s="172"/>
      <c r="I810" s="174"/>
      <c r="J810" s="175"/>
      <c r="K810" s="172"/>
      <c r="L810" s="190"/>
      <c r="M810" s="26"/>
      <c r="N810" s="26"/>
      <c r="O810" s="33"/>
    </row>
    <row r="811" spans="2:15">
      <c r="B811" s="88" t="s">
        <v>192</v>
      </c>
      <c r="C811" s="33"/>
      <c r="D811" s="70"/>
      <c r="E811" s="172"/>
      <c r="F811" s="172"/>
      <c r="G811" s="172"/>
      <c r="H811" s="172"/>
      <c r="I811" s="172"/>
      <c r="J811" s="175">
        <v>0</v>
      </c>
      <c r="K811" s="79">
        <f>J811</f>
        <v>0</v>
      </c>
      <c r="L811" s="176"/>
      <c r="M811" s="26"/>
      <c r="N811" s="26"/>
      <c r="O811" s="33"/>
    </row>
    <row r="812" spans="2:15">
      <c r="B812" s="88" t="s">
        <v>226</v>
      </c>
      <c r="C812" s="33"/>
      <c r="D812" s="70"/>
      <c r="E812" s="172"/>
      <c r="F812" s="172"/>
      <c r="G812" s="172"/>
      <c r="H812" s="172"/>
      <c r="I812" s="172"/>
      <c r="J812" s="174"/>
      <c r="K812" s="175"/>
      <c r="L812" s="176"/>
      <c r="M812" s="26"/>
      <c r="N812" s="26"/>
      <c r="O812" s="33"/>
    </row>
    <row r="813" spans="2:15">
      <c r="B813" s="88" t="s">
        <v>227</v>
      </c>
      <c r="C813" s="33"/>
      <c r="D813" s="71"/>
      <c r="E813" s="154"/>
      <c r="F813" s="154"/>
      <c r="G813" s="154"/>
      <c r="H813" s="154"/>
      <c r="I813" s="154"/>
      <c r="J813" s="154"/>
      <c r="K813" s="177">
        <v>0</v>
      </c>
      <c r="L813" s="332"/>
      <c r="M813" s="26"/>
      <c r="N813" s="26"/>
      <c r="O813" s="33"/>
    </row>
    <row r="814" spans="2:15">
      <c r="B814" s="36" t="s">
        <v>17</v>
      </c>
      <c r="D814" s="214">
        <f xml:space="preserve"> D803 - D799</f>
        <v>0</v>
      </c>
      <c r="E814" s="214">
        <f xml:space="preserve"> E799 + E807 - E804 - E803</f>
        <v>0</v>
      </c>
      <c r="F814" s="214">
        <f>F804 - F807</f>
        <v>0</v>
      </c>
      <c r="G814" s="214">
        <f t="shared" ref="G814" si="274">G804 - G807</f>
        <v>0</v>
      </c>
      <c r="H814" s="214">
        <f>H805-H806-H807</f>
        <v>-23306</v>
      </c>
      <c r="I814" s="214">
        <f>I807-I808-I809</f>
        <v>9420</v>
      </c>
      <c r="J814" s="214">
        <f>J809-J810-J811</f>
        <v>13886</v>
      </c>
      <c r="K814" s="214">
        <f>K811</f>
        <v>0</v>
      </c>
      <c r="L814" s="214"/>
      <c r="M814" s="26"/>
      <c r="N814" s="26"/>
      <c r="O814" s="33"/>
    </row>
    <row r="815" spans="2:15">
      <c r="B815" s="6"/>
      <c r="D815" s="7"/>
      <c r="E815" s="7"/>
      <c r="F815" s="7"/>
      <c r="G815" s="7"/>
      <c r="H815" s="7"/>
      <c r="I815" s="7"/>
      <c r="J815" s="7"/>
      <c r="K815" s="7"/>
      <c r="L815" s="7"/>
      <c r="M815" s="26"/>
      <c r="N815" s="26"/>
      <c r="O815" s="33"/>
    </row>
    <row r="816" spans="2:15">
      <c r="B816" s="85" t="s">
        <v>12</v>
      </c>
      <c r="C816" s="80"/>
      <c r="D816" s="111"/>
      <c r="E816" s="112"/>
      <c r="F816" s="185"/>
      <c r="G816" s="112"/>
      <c r="H816" s="184"/>
      <c r="I816" s="112"/>
      <c r="J816" s="112"/>
      <c r="K816" s="112"/>
      <c r="L816" s="113"/>
      <c r="M816" s="26"/>
      <c r="N816" s="26"/>
      <c r="O816" s="33"/>
    </row>
    <row r="817" spans="1:15">
      <c r="B817" s="6"/>
      <c r="D817" s="7"/>
      <c r="E817" s="7"/>
      <c r="F817" s="7"/>
      <c r="G817" s="7"/>
      <c r="H817" s="7"/>
      <c r="I817" s="7"/>
      <c r="J817" s="7"/>
      <c r="K817" s="7"/>
      <c r="L817" s="7"/>
      <c r="M817" s="26"/>
      <c r="N817" s="26"/>
      <c r="O817" s="33"/>
    </row>
    <row r="818" spans="1:15" ht="18.75">
      <c r="A818" s="45" t="s">
        <v>26</v>
      </c>
      <c r="C818" s="80"/>
      <c r="D818" s="49">
        <f xml:space="preserve"> D785 + D790 - D796 + D814 + D816</f>
        <v>0</v>
      </c>
      <c r="E818" s="50">
        <f xml:space="preserve"> E785 + E790 - E796 + E814 + E816</f>
        <v>0</v>
      </c>
      <c r="F818" s="186">
        <f xml:space="preserve"> F785 + F790 - F796 + F814 + F816</f>
        <v>0</v>
      </c>
      <c r="G818" s="50">
        <f t="shared" ref="G818:J818" si="275" xml:space="preserve"> G785 + G790 - G796 + G814 + G816</f>
        <v>0</v>
      </c>
      <c r="H818" s="219">
        <f t="shared" si="275"/>
        <v>0</v>
      </c>
      <c r="I818" s="219">
        <f t="shared" si="275"/>
        <v>34877</v>
      </c>
      <c r="J818" s="219">
        <f t="shared" si="275"/>
        <v>35572</v>
      </c>
      <c r="K818" s="386"/>
      <c r="L818" s="51"/>
      <c r="M818" s="25"/>
      <c r="N818" s="25"/>
      <c r="O818" s="33"/>
    </row>
    <row r="819" spans="1:15">
      <c r="B819" s="6"/>
      <c r="D819" s="7"/>
      <c r="E819" s="7"/>
      <c r="F819" s="7"/>
      <c r="G819" s="31"/>
      <c r="H819" s="31"/>
      <c r="I819" s="31"/>
      <c r="J819" s="31"/>
      <c r="K819" s="31"/>
      <c r="L819" s="31"/>
      <c r="M819" s="25"/>
      <c r="N819" s="25"/>
      <c r="O819" s="33"/>
    </row>
    <row r="820" spans="1:15" ht="15.75" thickBot="1">
      <c r="M820" s="25"/>
      <c r="N820" s="25"/>
      <c r="O820" s="33"/>
    </row>
    <row r="821" spans="1:15" ht="15" customHeight="1">
      <c r="A821" s="8"/>
      <c r="B821" s="8"/>
      <c r="C821" s="8"/>
      <c r="D821" s="8"/>
      <c r="E821" s="8"/>
      <c r="F821" s="8"/>
      <c r="G821" s="8"/>
      <c r="H821" s="8"/>
      <c r="I821" s="8"/>
      <c r="J821" s="8"/>
      <c r="K821" s="8"/>
      <c r="L821" s="8"/>
      <c r="M821" s="25"/>
      <c r="N821" s="25"/>
      <c r="O821" s="33"/>
    </row>
    <row r="822" spans="1:15" ht="15" customHeight="1">
      <c r="B822" s="33"/>
      <c r="C822" s="33"/>
      <c r="D822" s="33"/>
      <c r="E822" s="33"/>
      <c r="F822" s="33"/>
      <c r="G822" s="33"/>
      <c r="H822" s="33"/>
      <c r="I822" s="33"/>
      <c r="J822" s="33"/>
      <c r="K822" s="33"/>
      <c r="L822" s="33"/>
      <c r="M822" s="31"/>
      <c r="N822" s="31"/>
      <c r="O822" s="33"/>
    </row>
    <row r="823" spans="1:15" ht="21" customHeight="1">
      <c r="A823" s="14" t="s">
        <v>4</v>
      </c>
      <c r="B823" s="14"/>
      <c r="C823" s="46" t="str">
        <f>B20</f>
        <v>Rolling Hills</v>
      </c>
      <c r="D823" s="47"/>
      <c r="E823" s="24"/>
      <c r="F823" s="24"/>
      <c r="M823" s="31"/>
      <c r="N823" s="31"/>
      <c r="O823" s="33"/>
    </row>
    <row r="824" spans="1:15" ht="15" customHeight="1">
      <c r="M824" s="31"/>
      <c r="N824" s="31"/>
      <c r="O824" s="33"/>
    </row>
    <row r="825" spans="1:15" ht="18.75" customHeight="1">
      <c r="A825" s="9" t="s">
        <v>21</v>
      </c>
      <c r="B825" s="9"/>
      <c r="D825" s="2">
        <f>'Facility Detail'!$B$1752</f>
        <v>2011</v>
      </c>
      <c r="E825" s="2">
        <f>D825+1</f>
        <v>2012</v>
      </c>
      <c r="F825" s="2">
        <f>E825+1</f>
        <v>2013</v>
      </c>
      <c r="G825" s="2">
        <f t="shared" ref="G825:K825" si="276">F825+1</f>
        <v>2014</v>
      </c>
      <c r="H825" s="2">
        <f t="shared" si="276"/>
        <v>2015</v>
      </c>
      <c r="I825" s="2">
        <f t="shared" si="276"/>
        <v>2016</v>
      </c>
      <c r="J825" s="2">
        <f t="shared" si="276"/>
        <v>2017</v>
      </c>
      <c r="K825" s="2">
        <f t="shared" si="276"/>
        <v>2018</v>
      </c>
      <c r="L825" s="2">
        <v>2019</v>
      </c>
      <c r="M825" s="33"/>
      <c r="N825" s="33"/>
      <c r="O825" s="33"/>
    </row>
    <row r="826" spans="1:15" ht="15" customHeight="1">
      <c r="B826" s="88" t="str">
        <f>"Total MWh Produced / Purchased from " &amp; C823</f>
        <v>Total MWh Produced / Purchased from Rolling Hills</v>
      </c>
      <c r="C826" s="80"/>
      <c r="D826" s="3"/>
      <c r="E826" s="4"/>
      <c r="F826" s="4"/>
      <c r="G826" s="221"/>
      <c r="H826" s="221">
        <v>5468</v>
      </c>
      <c r="I826" s="221"/>
      <c r="J826" s="221"/>
      <c r="K826" s="221"/>
      <c r="L826" s="5"/>
      <c r="M826" s="33"/>
      <c r="N826" s="33"/>
      <c r="O826" s="33"/>
    </row>
    <row r="827" spans="1:15" ht="15" customHeight="1">
      <c r="B827" s="88" t="s">
        <v>25</v>
      </c>
      <c r="C827" s="80"/>
      <c r="D827" s="62"/>
      <c r="E827" s="63"/>
      <c r="F827" s="63"/>
      <c r="G827" s="223"/>
      <c r="H827" s="222">
        <v>1</v>
      </c>
      <c r="I827" s="222"/>
      <c r="J827" s="222"/>
      <c r="K827" s="222"/>
      <c r="L827" s="356"/>
      <c r="M827" s="33"/>
      <c r="N827" s="33"/>
      <c r="O827" s="33"/>
    </row>
    <row r="828" spans="1:15" ht="15" customHeight="1">
      <c r="B828" s="88" t="s">
        <v>20</v>
      </c>
      <c r="C828" s="80"/>
      <c r="D828" s="54"/>
      <c r="E828" s="55"/>
      <c r="F828" s="55"/>
      <c r="G828" s="216"/>
      <c r="H828" s="55">
        <v>1</v>
      </c>
      <c r="I828" s="55"/>
      <c r="J828" s="55"/>
      <c r="K828" s="55"/>
      <c r="L828" s="56"/>
      <c r="M828" s="33"/>
      <c r="N828" s="33"/>
      <c r="O828" s="33"/>
    </row>
    <row r="829" spans="1:15" ht="15" customHeight="1">
      <c r="B829" s="85" t="s">
        <v>22</v>
      </c>
      <c r="C829" s="86"/>
      <c r="D829" s="41">
        <f xml:space="preserve"> ROUND(D826 * D827 * D828,0)</f>
        <v>0</v>
      </c>
      <c r="E829" s="41">
        <f t="shared" ref="E829:H829" si="277" xml:space="preserve"> ROUND(E826 * E827 * E828,0)</f>
        <v>0</v>
      </c>
      <c r="F829" s="41">
        <f t="shared" si="277"/>
        <v>0</v>
      </c>
      <c r="G829" s="41">
        <f t="shared" si="277"/>
        <v>0</v>
      </c>
      <c r="H829" s="41">
        <f t="shared" si="277"/>
        <v>5468</v>
      </c>
      <c r="I829" s="41">
        <f t="shared" ref="I829:J829" si="278" xml:space="preserve"> ROUND(I826 * I827 * I828,0)</f>
        <v>0</v>
      </c>
      <c r="J829" s="41">
        <f t="shared" si="278"/>
        <v>0</v>
      </c>
      <c r="K829" s="41">
        <f t="shared" ref="K829" si="279" xml:space="preserve"> ROUND(K826 * K827 * K828,0)</f>
        <v>0</v>
      </c>
      <c r="L829" s="41"/>
      <c r="M829" s="26"/>
      <c r="N829" s="26"/>
      <c r="O829" s="33"/>
    </row>
    <row r="830" spans="1:15" ht="15" customHeight="1">
      <c r="B830" s="24"/>
      <c r="C830" s="33"/>
      <c r="D830" s="40"/>
      <c r="E830" s="40"/>
      <c r="F830" s="40"/>
      <c r="G830" s="40"/>
      <c r="H830" s="40"/>
      <c r="I830" s="40"/>
      <c r="J830" s="40"/>
      <c r="K830" s="40"/>
      <c r="L830" s="40"/>
      <c r="M830" s="25"/>
      <c r="N830" s="25"/>
      <c r="O830" s="33"/>
    </row>
    <row r="831" spans="1:15" ht="18.75" customHeight="1">
      <c r="A831" s="48" t="s">
        <v>119</v>
      </c>
      <c r="C831" s="33"/>
      <c r="D831" s="2">
        <f>'Facility Detail'!$B$1752</f>
        <v>2011</v>
      </c>
      <c r="E831" s="2">
        <f>D831+1</f>
        <v>2012</v>
      </c>
      <c r="F831" s="2">
        <f>E831+1</f>
        <v>2013</v>
      </c>
      <c r="G831" s="2">
        <f t="shared" ref="G831:K831" si="280">F831+1</f>
        <v>2014</v>
      </c>
      <c r="H831" s="2">
        <f t="shared" si="280"/>
        <v>2015</v>
      </c>
      <c r="I831" s="2">
        <f t="shared" si="280"/>
        <v>2016</v>
      </c>
      <c r="J831" s="2">
        <f t="shared" si="280"/>
        <v>2017</v>
      </c>
      <c r="K831" s="2">
        <f t="shared" si="280"/>
        <v>2018</v>
      </c>
      <c r="L831" s="2">
        <v>2019</v>
      </c>
      <c r="M831" s="25"/>
      <c r="N831" s="25"/>
      <c r="O831" s="33"/>
    </row>
    <row r="832" spans="1:15" ht="15" customHeight="1">
      <c r="B832" s="88" t="s">
        <v>10</v>
      </c>
      <c r="C832" s="80"/>
      <c r="D832" s="57">
        <f>IF( $E20 = "Eligible", D829 * 'Facility Detail'!$B$1749, 0 )</f>
        <v>0</v>
      </c>
      <c r="E832" s="11">
        <f>IF( $E20 = "Eligible", E829 * 'Facility Detail'!$B$1749, 0 )</f>
        <v>0</v>
      </c>
      <c r="F832" s="11">
        <f>IF( $E20 = "Eligible", F829 * 'Facility Detail'!$B$1749, 0 )</f>
        <v>0</v>
      </c>
      <c r="G832" s="11">
        <f>IF( $E20 = "Eligible", G829 * 'Facility Detail'!$B$1749, 0 )</f>
        <v>0</v>
      </c>
      <c r="H832" s="11">
        <f>IF( $E20 = "Eligible", H829 * 'Facility Detail'!$B$1749, 0 )</f>
        <v>0</v>
      </c>
      <c r="I832" s="11">
        <f>IF( $E20 = "Eligible", I829 * 'Facility Detail'!$B$1749, 0 )</f>
        <v>0</v>
      </c>
      <c r="J832" s="11">
        <f>IF( $E20 = "Eligible", J829 * 'Facility Detail'!$B$1749, 0 )</f>
        <v>0</v>
      </c>
      <c r="K832" s="11"/>
      <c r="L832" s="12"/>
      <c r="M832" s="25"/>
      <c r="N832" s="25"/>
      <c r="O832" s="33"/>
    </row>
    <row r="833" spans="1:15" ht="15" customHeight="1">
      <c r="B833" s="88" t="s">
        <v>6</v>
      </c>
      <c r="C833" s="80"/>
      <c r="D833" s="58">
        <f t="shared" ref="D833:J833" si="281">IF( $F20 = "Eligible", D829, 0 )</f>
        <v>0</v>
      </c>
      <c r="E833" s="59">
        <f t="shared" si="281"/>
        <v>0</v>
      </c>
      <c r="F833" s="59">
        <f t="shared" si="281"/>
        <v>0</v>
      </c>
      <c r="G833" s="59">
        <f t="shared" si="281"/>
        <v>0</v>
      </c>
      <c r="H833" s="59">
        <f t="shared" si="281"/>
        <v>0</v>
      </c>
      <c r="I833" s="59">
        <f t="shared" si="281"/>
        <v>0</v>
      </c>
      <c r="J833" s="59">
        <f t="shared" si="281"/>
        <v>0</v>
      </c>
      <c r="K833" s="59"/>
      <c r="L833" s="60"/>
      <c r="M833" s="25"/>
      <c r="N833" s="25"/>
      <c r="O833" s="33"/>
    </row>
    <row r="834" spans="1:15" ht="15" customHeight="1">
      <c r="B834" s="87" t="s">
        <v>121</v>
      </c>
      <c r="C834" s="86"/>
      <c r="D834" s="43">
        <f>SUM(D832:D833)</f>
        <v>0</v>
      </c>
      <c r="E834" s="44">
        <f>SUM(E832:E833)</f>
        <v>0</v>
      </c>
      <c r="F834" s="44">
        <f>SUM(F832:F833)</f>
        <v>0</v>
      </c>
      <c r="G834" s="44">
        <f t="shared" ref="G834:I834" si="282">SUM(G832:G833)</f>
        <v>0</v>
      </c>
      <c r="H834" s="44">
        <f t="shared" si="282"/>
        <v>0</v>
      </c>
      <c r="I834" s="44">
        <f t="shared" si="282"/>
        <v>0</v>
      </c>
      <c r="J834" s="44"/>
      <c r="K834" s="44"/>
      <c r="L834" s="44"/>
      <c r="M834" s="25"/>
      <c r="N834" s="25"/>
      <c r="O834" s="33"/>
    </row>
    <row r="835" spans="1:15" ht="15" customHeight="1">
      <c r="B835" s="33"/>
      <c r="C835" s="33"/>
      <c r="D835" s="42"/>
      <c r="E835" s="34"/>
      <c r="F835" s="34"/>
      <c r="G835" s="34"/>
      <c r="H835" s="34"/>
      <c r="I835" s="34"/>
      <c r="J835" s="34"/>
      <c r="K835" s="34"/>
      <c r="L835" s="34"/>
      <c r="M835" s="25"/>
      <c r="N835" s="25"/>
      <c r="O835" s="33"/>
    </row>
    <row r="836" spans="1:15" ht="18.75" customHeight="1">
      <c r="A836" s="45" t="s">
        <v>30</v>
      </c>
      <c r="C836" s="33"/>
      <c r="D836" s="2">
        <f>'Facility Detail'!$B$1752</f>
        <v>2011</v>
      </c>
      <c r="E836" s="2">
        <f>D836+1</f>
        <v>2012</v>
      </c>
      <c r="F836" s="2">
        <f>E836+1</f>
        <v>2013</v>
      </c>
      <c r="G836" s="2">
        <f t="shared" ref="G836:K836" si="283">F836+1</f>
        <v>2014</v>
      </c>
      <c r="H836" s="2">
        <f t="shared" si="283"/>
        <v>2015</v>
      </c>
      <c r="I836" s="2">
        <f t="shared" si="283"/>
        <v>2016</v>
      </c>
      <c r="J836" s="2">
        <f t="shared" si="283"/>
        <v>2017</v>
      </c>
      <c r="K836" s="2">
        <f t="shared" si="283"/>
        <v>2018</v>
      </c>
      <c r="L836" s="2">
        <v>2019</v>
      </c>
      <c r="M836" s="31"/>
      <c r="N836" s="31"/>
      <c r="O836" s="33"/>
    </row>
    <row r="837" spans="1:15" ht="15" customHeight="1">
      <c r="B837" s="88" t="s">
        <v>47</v>
      </c>
      <c r="C837" s="80"/>
      <c r="D837" s="98"/>
      <c r="E837" s="99"/>
      <c r="F837" s="99"/>
      <c r="G837" s="99"/>
      <c r="H837" s="180"/>
      <c r="I837" s="180"/>
      <c r="J837" s="180"/>
      <c r="K837" s="180"/>
      <c r="L837" s="100"/>
      <c r="M837" s="31"/>
      <c r="N837" s="31"/>
      <c r="O837" s="33"/>
    </row>
    <row r="838" spans="1:15" ht="15" customHeight="1">
      <c r="B838" s="89" t="s">
        <v>23</v>
      </c>
      <c r="C838" s="207"/>
      <c r="D838" s="101"/>
      <c r="E838" s="102"/>
      <c r="F838" s="102"/>
      <c r="G838" s="102"/>
      <c r="H838" s="181"/>
      <c r="I838" s="181"/>
      <c r="J838" s="181"/>
      <c r="K838" s="181"/>
      <c r="L838" s="103"/>
      <c r="M838" s="31"/>
      <c r="N838" s="31"/>
      <c r="O838" s="33"/>
    </row>
    <row r="839" spans="1:15" ht="15" customHeight="1">
      <c r="B839" s="104" t="s">
        <v>89</v>
      </c>
      <c r="C839" s="205"/>
      <c r="D839" s="65"/>
      <c r="E839" s="66"/>
      <c r="F839" s="66"/>
      <c r="G839" s="66"/>
      <c r="H839" s="182"/>
      <c r="I839" s="182"/>
      <c r="J839" s="182"/>
      <c r="K839" s="182"/>
      <c r="L839" s="67"/>
      <c r="M839" s="31"/>
      <c r="N839" s="31"/>
      <c r="O839" s="33"/>
    </row>
    <row r="840" spans="1:15" ht="15" customHeight="1">
      <c r="B840" s="36" t="s">
        <v>90</v>
      </c>
      <c r="D840" s="7">
        <f>SUM(D837:D839)</f>
        <v>0</v>
      </c>
      <c r="E840" s="7">
        <f>SUM(E837:E839)</f>
        <v>0</v>
      </c>
      <c r="F840" s="7">
        <f>SUM(F837:F839)</f>
        <v>0</v>
      </c>
      <c r="G840" s="7">
        <f t="shared" ref="G840:I840" si="284">SUM(G837:G839)</f>
        <v>0</v>
      </c>
      <c r="H840" s="7">
        <f t="shared" si="284"/>
        <v>0</v>
      </c>
      <c r="I840" s="7">
        <f t="shared" si="284"/>
        <v>0</v>
      </c>
      <c r="J840" s="7"/>
      <c r="K840" s="7"/>
      <c r="L840" s="7"/>
      <c r="M840" s="33"/>
      <c r="N840" s="33"/>
      <c r="O840" s="33"/>
    </row>
    <row r="841" spans="1:15" ht="15" customHeight="1">
      <c r="B841" s="6"/>
      <c r="D841" s="7"/>
      <c r="E841" s="7"/>
      <c r="F841" s="7"/>
      <c r="G841" s="7"/>
      <c r="H841" s="7"/>
      <c r="I841" s="7"/>
      <c r="J841" s="7"/>
      <c r="K841" s="7"/>
      <c r="L841" s="7"/>
      <c r="M841" s="33"/>
      <c r="N841" s="33"/>
      <c r="O841" s="33"/>
    </row>
    <row r="842" spans="1:15" ht="18.75" customHeight="1">
      <c r="A842" s="9" t="s">
        <v>100</v>
      </c>
      <c r="D842" s="2">
        <f>'Facility Detail'!$B$1752</f>
        <v>2011</v>
      </c>
      <c r="E842" s="2">
        <f>D842+1</f>
        <v>2012</v>
      </c>
      <c r="F842" s="2">
        <f>E842+1</f>
        <v>2013</v>
      </c>
      <c r="G842" s="2">
        <f t="shared" ref="G842:K842" si="285">F842+1</f>
        <v>2014</v>
      </c>
      <c r="H842" s="2">
        <f t="shared" si="285"/>
        <v>2015</v>
      </c>
      <c r="I842" s="2">
        <f t="shared" si="285"/>
        <v>2016</v>
      </c>
      <c r="J842" s="2">
        <f t="shared" si="285"/>
        <v>2017</v>
      </c>
      <c r="K842" s="2">
        <f t="shared" si="285"/>
        <v>2018</v>
      </c>
      <c r="L842" s="2">
        <v>2019</v>
      </c>
      <c r="M842" s="33"/>
      <c r="N842" s="33"/>
      <c r="O842" s="33"/>
    </row>
    <row r="843" spans="1:15" ht="15" customHeight="1">
      <c r="A843" s="9"/>
      <c r="B843" s="88" t="s">
        <v>68</v>
      </c>
      <c r="C843" s="33"/>
      <c r="D843" s="3"/>
      <c r="E843" s="68">
        <f>D843</f>
        <v>0</v>
      </c>
      <c r="F843" s="152"/>
      <c r="G843" s="152"/>
      <c r="H843" s="152"/>
      <c r="I843" s="152"/>
      <c r="J843" s="152"/>
      <c r="K843" s="152"/>
      <c r="L843" s="69"/>
      <c r="M843" s="33"/>
      <c r="N843" s="33"/>
      <c r="O843" s="33"/>
    </row>
    <row r="844" spans="1:15" ht="15" customHeight="1">
      <c r="A844" s="9"/>
      <c r="B844" s="88" t="s">
        <v>69</v>
      </c>
      <c r="C844" s="33"/>
      <c r="D844" s="189">
        <f>E844</f>
        <v>0</v>
      </c>
      <c r="E844" s="10"/>
      <c r="F844" s="83"/>
      <c r="G844" s="83"/>
      <c r="H844" s="83"/>
      <c r="I844" s="83"/>
      <c r="J844" s="83"/>
      <c r="K844" s="83"/>
      <c r="L844" s="190"/>
      <c r="M844" s="33"/>
      <c r="N844" s="33"/>
      <c r="O844" s="33"/>
    </row>
    <row r="845" spans="1:15" ht="15" customHeight="1">
      <c r="A845" s="9"/>
      <c r="B845" s="88" t="s">
        <v>70</v>
      </c>
      <c r="C845" s="33"/>
      <c r="D845" s="70"/>
      <c r="E845" s="10">
        <f>E829</f>
        <v>0</v>
      </c>
      <c r="F845" s="79">
        <f>E845</f>
        <v>0</v>
      </c>
      <c r="G845" s="83"/>
      <c r="H845" s="83"/>
      <c r="I845" s="83"/>
      <c r="J845" s="83"/>
      <c r="K845" s="83"/>
      <c r="L845" s="190"/>
      <c r="M845" s="33"/>
      <c r="N845" s="33"/>
      <c r="O845" s="33"/>
    </row>
    <row r="846" spans="1:15" ht="15" customHeight="1">
      <c r="A846" s="9"/>
      <c r="B846" s="88" t="s">
        <v>71</v>
      </c>
      <c r="C846" s="33"/>
      <c r="D846" s="70"/>
      <c r="E846" s="79">
        <f>F846</f>
        <v>0</v>
      </c>
      <c r="F846" s="188"/>
      <c r="G846" s="83"/>
      <c r="H846" s="83"/>
      <c r="I846" s="83"/>
      <c r="J846" s="83"/>
      <c r="K846" s="83"/>
      <c r="L846" s="190"/>
      <c r="M846" s="33"/>
      <c r="N846" s="33"/>
      <c r="O846" s="33"/>
    </row>
    <row r="847" spans="1:15" ht="15" customHeight="1">
      <c r="A847" s="9"/>
      <c r="B847" s="88" t="s">
        <v>194</v>
      </c>
      <c r="C847" s="33"/>
      <c r="D847" s="70"/>
      <c r="E847" s="172"/>
      <c r="F847" s="10">
        <f>F829</f>
        <v>0</v>
      </c>
      <c r="G847" s="173">
        <f>F847</f>
        <v>0</v>
      </c>
      <c r="H847" s="83"/>
      <c r="I847" s="83"/>
      <c r="J847" s="83"/>
      <c r="K847" s="83"/>
      <c r="L847" s="190"/>
      <c r="M847" s="33"/>
      <c r="N847" s="33"/>
      <c r="O847" s="33"/>
    </row>
    <row r="848" spans="1:15" ht="15" customHeight="1">
      <c r="B848" s="88" t="s">
        <v>195</v>
      </c>
      <c r="C848" s="33"/>
      <c r="D848" s="70"/>
      <c r="E848" s="172"/>
      <c r="F848" s="79">
        <f>G848</f>
        <v>0</v>
      </c>
      <c r="G848" s="10"/>
      <c r="H848" s="83"/>
      <c r="I848" s="83"/>
      <c r="J848" s="83" t="s">
        <v>193</v>
      </c>
      <c r="K848" s="83"/>
      <c r="L848" s="190"/>
      <c r="M848" s="33"/>
      <c r="N848" s="33"/>
      <c r="O848" s="33"/>
    </row>
    <row r="849" spans="1:15" ht="15" customHeight="1">
      <c r="B849" s="88" t="s">
        <v>196</v>
      </c>
      <c r="C849" s="33"/>
      <c r="D849" s="70"/>
      <c r="E849" s="172"/>
      <c r="F849" s="172"/>
      <c r="G849" s="10"/>
      <c r="H849" s="173">
        <f>G849</f>
        <v>0</v>
      </c>
      <c r="I849" s="172">
        <f>H849</f>
        <v>0</v>
      </c>
      <c r="J849" s="172"/>
      <c r="K849" s="172"/>
      <c r="L849" s="176"/>
      <c r="M849" s="33"/>
      <c r="N849" s="33"/>
      <c r="O849" s="33"/>
    </row>
    <row r="850" spans="1:15" ht="15" customHeight="1">
      <c r="B850" s="88" t="s">
        <v>197</v>
      </c>
      <c r="C850" s="33"/>
      <c r="D850" s="70"/>
      <c r="E850" s="172"/>
      <c r="F850" s="172"/>
      <c r="G850" s="174"/>
      <c r="H850" s="175"/>
      <c r="I850" s="172"/>
      <c r="J850" s="172"/>
      <c r="K850" s="172"/>
      <c r="L850" s="176"/>
      <c r="M850" s="33"/>
      <c r="N850" s="33"/>
      <c r="O850" s="33"/>
    </row>
    <row r="851" spans="1:15" ht="15" customHeight="1">
      <c r="B851" s="88" t="s">
        <v>198</v>
      </c>
      <c r="C851" s="33"/>
      <c r="D851" s="70"/>
      <c r="E851" s="172"/>
      <c r="F851" s="172"/>
      <c r="G851" s="172"/>
      <c r="H851" s="175">
        <f>H829</f>
        <v>5468</v>
      </c>
      <c r="I851" s="173">
        <f>H851</f>
        <v>5468</v>
      </c>
      <c r="J851" s="173"/>
      <c r="K851" s="173"/>
      <c r="L851" s="353"/>
      <c r="M851" s="33"/>
      <c r="N851" s="33"/>
      <c r="O851" s="33"/>
    </row>
    <row r="852" spans="1:15" ht="15" customHeight="1">
      <c r="B852" s="88" t="s">
        <v>199</v>
      </c>
      <c r="C852" s="33"/>
      <c r="D852" s="70"/>
      <c r="E852" s="172"/>
      <c r="F852" s="172"/>
      <c r="G852" s="172"/>
      <c r="H852" s="79"/>
      <c r="I852" s="175"/>
      <c r="J852" s="175"/>
      <c r="K852" s="175"/>
      <c r="L852" s="354"/>
      <c r="M852" s="33"/>
      <c r="N852" s="33"/>
      <c r="O852" s="33"/>
    </row>
    <row r="853" spans="1:15" ht="15" customHeight="1">
      <c r="B853" s="88" t="s">
        <v>200</v>
      </c>
      <c r="C853" s="33"/>
      <c r="D853" s="70"/>
      <c r="E853" s="172"/>
      <c r="F853" s="172"/>
      <c r="G853" s="172"/>
      <c r="H853" s="172"/>
      <c r="I853" s="175">
        <f>I829</f>
        <v>0</v>
      </c>
      <c r="J853" s="175">
        <f>I853</f>
        <v>0</v>
      </c>
      <c r="K853" s="175"/>
      <c r="L853" s="354"/>
      <c r="M853" s="33"/>
      <c r="N853" s="33"/>
      <c r="O853" s="33"/>
    </row>
    <row r="854" spans="1:15" ht="15" customHeight="1">
      <c r="B854" s="88" t="s">
        <v>191</v>
      </c>
      <c r="C854" s="33"/>
      <c r="D854" s="70"/>
      <c r="E854" s="172"/>
      <c r="F854" s="172"/>
      <c r="G854" s="172"/>
      <c r="H854" s="172"/>
      <c r="I854" s="79"/>
      <c r="J854" s="79"/>
      <c r="K854" s="79"/>
      <c r="L854" s="365"/>
      <c r="M854" s="33"/>
      <c r="N854" s="33"/>
      <c r="O854" s="33"/>
    </row>
    <row r="855" spans="1:15" ht="15" customHeight="1">
      <c r="B855" s="88" t="s">
        <v>192</v>
      </c>
      <c r="C855" s="33"/>
      <c r="D855" s="71"/>
      <c r="E855" s="154"/>
      <c r="F855" s="154"/>
      <c r="G855" s="154"/>
      <c r="H855" s="154"/>
      <c r="I855" s="154"/>
      <c r="J855" s="154"/>
      <c r="K855" s="154">
        <f>J855</f>
        <v>0</v>
      </c>
      <c r="L855" s="352"/>
      <c r="M855" s="33"/>
      <c r="N855" s="33"/>
      <c r="O855" s="33"/>
    </row>
    <row r="856" spans="1:15" ht="15" customHeight="1">
      <c r="B856" s="36" t="s">
        <v>17</v>
      </c>
      <c r="D856" s="214">
        <f xml:space="preserve"> D849 - D848</f>
        <v>0</v>
      </c>
      <c r="E856" s="214">
        <f xml:space="preserve"> E848 + E851 - E850 - E849</f>
        <v>0</v>
      </c>
      <c r="F856" s="214">
        <f>F850 - F851</f>
        <v>0</v>
      </c>
      <c r="G856" s="214">
        <f t="shared" ref="G856:H856" si="286">G850 - G851</f>
        <v>0</v>
      </c>
      <c r="H856" s="214">
        <f t="shared" si="286"/>
        <v>-5468</v>
      </c>
      <c r="I856" s="214">
        <f>I851-I852-I853</f>
        <v>5468</v>
      </c>
      <c r="J856" s="214">
        <f t="shared" ref="J856:K856" si="287">J851-J852-J853</f>
        <v>0</v>
      </c>
      <c r="K856" s="214">
        <f t="shared" si="287"/>
        <v>0</v>
      </c>
      <c r="L856" s="214"/>
      <c r="M856" s="33"/>
      <c r="N856" s="33"/>
      <c r="O856" s="33"/>
    </row>
    <row r="857" spans="1:15" ht="15" customHeight="1">
      <c r="B857" s="6"/>
      <c r="D857" s="7"/>
      <c r="E857" s="7"/>
      <c r="F857" s="7"/>
      <c r="G857" s="7"/>
      <c r="H857" s="7"/>
      <c r="I857" s="7"/>
      <c r="J857" s="7"/>
      <c r="K857" s="7"/>
      <c r="L857" s="7"/>
      <c r="M857" s="33"/>
      <c r="N857" s="33"/>
      <c r="O857" s="33"/>
    </row>
    <row r="858" spans="1:15" ht="15" customHeight="1">
      <c r="B858" s="85" t="s">
        <v>12</v>
      </c>
      <c r="C858" s="80"/>
      <c r="D858" s="111"/>
      <c r="E858" s="112"/>
      <c r="F858" s="185"/>
      <c r="G858" s="112"/>
      <c r="H858" s="112"/>
      <c r="I858" s="112"/>
      <c r="J858" s="112"/>
      <c r="K858" s="112"/>
      <c r="L858" s="113"/>
      <c r="M858" s="33"/>
      <c r="N858" s="33"/>
      <c r="O858" s="33"/>
    </row>
    <row r="859" spans="1:15" ht="15" customHeight="1">
      <c r="B859" s="6"/>
      <c r="D859" s="7"/>
      <c r="E859" s="7"/>
      <c r="F859" s="7"/>
      <c r="G859" s="7"/>
      <c r="H859" s="7"/>
      <c r="I859" s="7"/>
      <c r="J859" s="7"/>
      <c r="K859" s="7"/>
      <c r="L859" s="7"/>
      <c r="M859" s="33"/>
      <c r="N859" s="33"/>
      <c r="O859" s="33"/>
    </row>
    <row r="860" spans="1:15" ht="18.75" customHeight="1">
      <c r="A860" s="45" t="s">
        <v>26</v>
      </c>
      <c r="C860" s="80"/>
      <c r="D860" s="49">
        <f xml:space="preserve"> D829 + D834 - D840 + D856 + D858</f>
        <v>0</v>
      </c>
      <c r="E860" s="50">
        <f xml:space="preserve"> E829 + E834 - E840 + E856 + E858</f>
        <v>0</v>
      </c>
      <c r="F860" s="50">
        <f xml:space="preserve"> F829 + F834 - F840 + F856 + F858</f>
        <v>0</v>
      </c>
      <c r="G860" s="219">
        <f t="shared" ref="G860:K860" si="288" xml:space="preserve"> G829 + G834 - G840 + G856 + G858</f>
        <v>0</v>
      </c>
      <c r="H860" s="183">
        <f t="shared" si="288"/>
        <v>0</v>
      </c>
      <c r="I860" s="50">
        <f t="shared" si="288"/>
        <v>5468</v>
      </c>
      <c r="J860" s="50">
        <f t="shared" si="288"/>
        <v>0</v>
      </c>
      <c r="K860" s="50">
        <f t="shared" si="288"/>
        <v>0</v>
      </c>
      <c r="L860" s="51"/>
      <c r="M860" s="33"/>
      <c r="N860" s="33"/>
      <c r="O860" s="33"/>
    </row>
    <row r="861" spans="1:15" ht="15" customHeight="1">
      <c r="B861" s="6"/>
      <c r="D861" s="7"/>
      <c r="E861" s="7"/>
      <c r="F861" s="7"/>
      <c r="G861" s="31"/>
      <c r="H861" s="31"/>
      <c r="I861" s="31"/>
      <c r="J861" s="31"/>
      <c r="K861" s="31"/>
      <c r="L861" s="31"/>
      <c r="M861" s="26"/>
      <c r="N861" s="26"/>
      <c r="O861" s="33"/>
    </row>
    <row r="862" spans="1:15" ht="15.75" customHeight="1" thickBot="1">
      <c r="M862" s="25"/>
      <c r="N862" s="25"/>
      <c r="O862" s="33"/>
    </row>
    <row r="863" spans="1:15">
      <c r="A863" s="8"/>
      <c r="B863" s="8"/>
      <c r="C863" s="8"/>
      <c r="D863" s="8"/>
      <c r="E863" s="8"/>
      <c r="F863" s="8"/>
      <c r="G863" s="8"/>
      <c r="H863" s="8"/>
      <c r="I863" s="8"/>
      <c r="J863" s="8"/>
      <c r="K863" s="8"/>
      <c r="L863" s="8"/>
      <c r="M863" s="25"/>
      <c r="N863" s="25"/>
      <c r="O863" s="33"/>
    </row>
    <row r="864" spans="1:15">
      <c r="B864" s="33"/>
      <c r="C864" s="33"/>
      <c r="D864" s="33"/>
      <c r="E864" s="33"/>
      <c r="F864" s="33"/>
      <c r="G864" s="33"/>
      <c r="H864" s="33"/>
      <c r="I864" s="33"/>
      <c r="J864" s="33"/>
      <c r="K864" s="33"/>
      <c r="L864" s="33"/>
      <c r="M864" s="25"/>
      <c r="N864" s="25"/>
      <c r="O864" s="33"/>
    </row>
    <row r="865" spans="1:15" ht="21">
      <c r="A865" s="14" t="s">
        <v>4</v>
      </c>
      <c r="B865" s="14"/>
      <c r="C865" s="46" t="str">
        <f>B21</f>
        <v>SPI Aberdeen - REC Only</v>
      </c>
      <c r="D865" s="47"/>
      <c r="E865" s="24"/>
      <c r="F865" s="24"/>
      <c r="M865" s="25"/>
      <c r="N865" s="25"/>
      <c r="O865" s="33"/>
    </row>
    <row r="866" spans="1:15">
      <c r="M866" s="31"/>
      <c r="N866" s="31"/>
      <c r="O866" s="33"/>
    </row>
    <row r="867" spans="1:15" ht="18.75">
      <c r="A867" s="9" t="s">
        <v>21</v>
      </c>
      <c r="B867" s="9"/>
      <c r="D867" s="2">
        <f>'Facility Detail'!$B$1752</f>
        <v>2011</v>
      </c>
      <c r="E867" s="2">
        <f>D867+1</f>
        <v>2012</v>
      </c>
      <c r="F867" s="2">
        <f>E867+1</f>
        <v>2013</v>
      </c>
      <c r="G867" s="2">
        <f t="shared" ref="G867:K867" si="289">F867+1</f>
        <v>2014</v>
      </c>
      <c r="H867" s="2">
        <f t="shared" si="289"/>
        <v>2015</v>
      </c>
      <c r="I867" s="2">
        <f t="shared" si="289"/>
        <v>2016</v>
      </c>
      <c r="J867" s="2">
        <f t="shared" si="289"/>
        <v>2017</v>
      </c>
      <c r="K867" s="2">
        <f t="shared" si="289"/>
        <v>2018</v>
      </c>
      <c r="L867" s="2"/>
      <c r="M867" s="31"/>
      <c r="N867" s="31"/>
      <c r="O867" s="33"/>
    </row>
    <row r="868" spans="1:15">
      <c r="B868" s="88" t="str">
        <f>"Total MWh Produced / Purchased from " &amp; C865</f>
        <v>Total MWh Produced / Purchased from SPI Aberdeen - REC Only</v>
      </c>
      <c r="C868" s="80"/>
      <c r="D868" s="3"/>
      <c r="E868" s="4"/>
      <c r="F868" s="4"/>
      <c r="G868" s="4"/>
      <c r="H868" s="4">
        <v>40000</v>
      </c>
      <c r="I868" s="4"/>
      <c r="J868" s="4"/>
      <c r="K868" s="4"/>
      <c r="L868" s="5"/>
      <c r="M868" s="31"/>
      <c r="N868" s="31"/>
      <c r="O868" s="33"/>
    </row>
    <row r="869" spans="1:15">
      <c r="B869" s="88" t="s">
        <v>25</v>
      </c>
      <c r="C869" s="80"/>
      <c r="D869" s="62"/>
      <c r="E869" s="63"/>
      <c r="F869" s="63"/>
      <c r="G869" s="63"/>
      <c r="H869" s="63">
        <v>1</v>
      </c>
      <c r="I869" s="63"/>
      <c r="J869" s="63"/>
      <c r="K869" s="63"/>
      <c r="L869" s="64"/>
      <c r="M869" s="31"/>
      <c r="N869" s="31"/>
      <c r="O869" s="33"/>
    </row>
    <row r="870" spans="1:15">
      <c r="B870" s="88" t="s">
        <v>20</v>
      </c>
      <c r="C870" s="80"/>
      <c r="D870" s="54"/>
      <c r="E870" s="55"/>
      <c r="F870" s="55"/>
      <c r="G870" s="55"/>
      <c r="H870" s="55">
        <v>1</v>
      </c>
      <c r="I870" s="55"/>
      <c r="J870" s="55"/>
      <c r="K870" s="55"/>
      <c r="L870" s="56"/>
      <c r="M870" s="33"/>
      <c r="N870" s="33"/>
      <c r="O870" s="33"/>
    </row>
    <row r="871" spans="1:15">
      <c r="B871" s="85" t="s">
        <v>22</v>
      </c>
      <c r="C871" s="86"/>
      <c r="D871" s="41">
        <f xml:space="preserve"> D868 * D869 * D870</f>
        <v>0</v>
      </c>
      <c r="E871" s="41">
        <f xml:space="preserve"> E868 * E869 * E870</f>
        <v>0</v>
      </c>
      <c r="F871" s="41">
        <f xml:space="preserve"> F868 * F869 * F870</f>
        <v>0</v>
      </c>
      <c r="G871" s="41">
        <f t="shared" ref="G871:J871" si="290" xml:space="preserve"> G868 * G869 * G870</f>
        <v>0</v>
      </c>
      <c r="H871" s="41">
        <f t="shared" si="290"/>
        <v>40000</v>
      </c>
      <c r="I871" s="41">
        <f t="shared" si="290"/>
        <v>0</v>
      </c>
      <c r="J871" s="41">
        <f t="shared" si="290"/>
        <v>0</v>
      </c>
      <c r="K871" s="41">
        <f t="shared" ref="K871" si="291" xml:space="preserve"> K868 * K869 * K870</f>
        <v>0</v>
      </c>
      <c r="L871" s="41"/>
      <c r="M871" s="33"/>
      <c r="N871" s="33"/>
      <c r="O871" s="33"/>
    </row>
    <row r="872" spans="1:15">
      <c r="B872" s="24"/>
      <c r="C872" s="33"/>
      <c r="D872" s="40"/>
      <c r="E872" s="40"/>
      <c r="F872" s="40"/>
      <c r="G872" s="40"/>
      <c r="H872" s="40"/>
      <c r="I872" s="40"/>
      <c r="J872" s="40"/>
      <c r="K872" s="40"/>
      <c r="L872" s="40"/>
      <c r="M872" s="33"/>
      <c r="N872" s="33"/>
      <c r="O872" s="33"/>
    </row>
    <row r="873" spans="1:15" ht="18.75">
      <c r="A873" s="48" t="s">
        <v>119</v>
      </c>
      <c r="C873" s="33"/>
      <c r="D873" s="2">
        <f>'Facility Detail'!$B$1752</f>
        <v>2011</v>
      </c>
      <c r="E873" s="2">
        <f>D873+1</f>
        <v>2012</v>
      </c>
      <c r="F873" s="2">
        <f>E873+1</f>
        <v>2013</v>
      </c>
      <c r="G873" s="2">
        <f t="shared" ref="G873:K873" si="292">F873+1</f>
        <v>2014</v>
      </c>
      <c r="H873" s="2">
        <f t="shared" si="292"/>
        <v>2015</v>
      </c>
      <c r="I873" s="2">
        <f t="shared" si="292"/>
        <v>2016</v>
      </c>
      <c r="J873" s="2">
        <f t="shared" si="292"/>
        <v>2017</v>
      </c>
      <c r="K873" s="2">
        <f t="shared" si="292"/>
        <v>2018</v>
      </c>
      <c r="L873" s="2"/>
      <c r="M873" s="33"/>
      <c r="N873" s="33"/>
      <c r="O873" s="33"/>
    </row>
    <row r="874" spans="1:15">
      <c r="B874" s="88" t="s">
        <v>10</v>
      </c>
      <c r="C874" s="80"/>
      <c r="D874" s="57">
        <f>IF( $E21 = "Eligible", D871 * 'Facility Detail'!$B$1749, 0 )</f>
        <v>0</v>
      </c>
      <c r="E874" s="11">
        <f>IF( $E21 = "Eligible", E871 * 'Facility Detail'!$B$1749, 0 )</f>
        <v>0</v>
      </c>
      <c r="F874" s="11">
        <f>IF( $E21 = "Eligible", F871 * 'Facility Detail'!$B$1749, 0 )</f>
        <v>0</v>
      </c>
      <c r="G874" s="11">
        <f>IF( $E21 = "Eligible", G871 * 'Facility Detail'!$B$1749, 0 )</f>
        <v>0</v>
      </c>
      <c r="H874" s="217">
        <f>IF( $E21 = "Eligible", H871 * 'Facility Detail'!$B$1749, 0 )</f>
        <v>0</v>
      </c>
      <c r="I874" s="217">
        <f>IF( $E21 = "Eligible", I871 * 'Facility Detail'!$B$1749, 0 )</f>
        <v>0</v>
      </c>
      <c r="J874" s="217">
        <f>IF( $E21 = "Eligible", J871 * 'Facility Detail'!$B$1749, 0 )</f>
        <v>0</v>
      </c>
      <c r="K874" s="217"/>
      <c r="L874" s="12"/>
      <c r="M874" s="25"/>
      <c r="N874" s="25"/>
      <c r="O874" s="33"/>
    </row>
    <row r="875" spans="1:15">
      <c r="B875" s="88" t="s">
        <v>6</v>
      </c>
      <c r="C875" s="80"/>
      <c r="D875" s="58">
        <f t="shared" ref="D875:J875" si="293">IF( $F21 = "Eligible", D871, 0 )</f>
        <v>0</v>
      </c>
      <c r="E875" s="59">
        <f t="shared" si="293"/>
        <v>0</v>
      </c>
      <c r="F875" s="59">
        <f t="shared" si="293"/>
        <v>0</v>
      </c>
      <c r="G875" s="59">
        <f t="shared" si="293"/>
        <v>0</v>
      </c>
      <c r="H875" s="218">
        <f t="shared" si="293"/>
        <v>0</v>
      </c>
      <c r="I875" s="218">
        <f t="shared" si="293"/>
        <v>0</v>
      </c>
      <c r="J875" s="218">
        <f t="shared" si="293"/>
        <v>0</v>
      </c>
      <c r="K875" s="218"/>
      <c r="L875" s="60"/>
      <c r="M875" s="25"/>
      <c r="N875" s="25"/>
      <c r="O875" s="33"/>
    </row>
    <row r="876" spans="1:15">
      <c r="B876" s="87" t="s">
        <v>121</v>
      </c>
      <c r="C876" s="86"/>
      <c r="D876" s="43">
        <f>SUM(D874:D875)</f>
        <v>0</v>
      </c>
      <c r="E876" s="44">
        <f>SUM(E874:E875)</f>
        <v>0</v>
      </c>
      <c r="F876" s="44">
        <f>SUM(F874:F875)</f>
        <v>0</v>
      </c>
      <c r="G876" s="44">
        <f t="shared" ref="G876:I876" si="294">SUM(G874:G875)</f>
        <v>0</v>
      </c>
      <c r="H876" s="44">
        <f t="shared" si="294"/>
        <v>0</v>
      </c>
      <c r="I876" s="44">
        <f t="shared" si="294"/>
        <v>0</v>
      </c>
      <c r="J876" s="44">
        <f t="shared" ref="J876" si="295">SUM(J874:J875)</f>
        <v>0</v>
      </c>
      <c r="K876" s="44"/>
      <c r="L876" s="44"/>
      <c r="M876" s="25"/>
      <c r="N876" s="25"/>
      <c r="O876" s="33"/>
    </row>
    <row r="877" spans="1:15">
      <c r="B877" s="33"/>
      <c r="C877" s="33"/>
      <c r="D877" s="42"/>
      <c r="E877" s="34"/>
      <c r="F877" s="34"/>
      <c r="G877" s="34"/>
      <c r="H877" s="34"/>
      <c r="I877" s="34"/>
      <c r="J877" s="34"/>
      <c r="K877" s="34"/>
      <c r="L877" s="34"/>
      <c r="M877" s="25"/>
      <c r="N877" s="25"/>
      <c r="O877" s="33"/>
    </row>
    <row r="878" spans="1:15" ht="18.75">
      <c r="A878" s="45" t="s">
        <v>30</v>
      </c>
      <c r="C878" s="33"/>
      <c r="D878" s="2">
        <f>'Facility Detail'!$B$1752</f>
        <v>2011</v>
      </c>
      <c r="E878" s="2">
        <f>D878+1</f>
        <v>2012</v>
      </c>
      <c r="F878" s="2">
        <f>E878+1</f>
        <v>2013</v>
      </c>
      <c r="G878" s="2">
        <f t="shared" ref="G878:K878" si="296">F878+1</f>
        <v>2014</v>
      </c>
      <c r="H878" s="2">
        <f t="shared" si="296"/>
        <v>2015</v>
      </c>
      <c r="I878" s="2">
        <f t="shared" si="296"/>
        <v>2016</v>
      </c>
      <c r="J878" s="2">
        <f t="shared" si="296"/>
        <v>2017</v>
      </c>
      <c r="K878" s="2">
        <f t="shared" si="296"/>
        <v>2018</v>
      </c>
      <c r="L878" s="2"/>
      <c r="M878" s="25"/>
      <c r="N878" s="25"/>
      <c r="O878" s="33"/>
    </row>
    <row r="879" spans="1:15">
      <c r="B879" s="88" t="s">
        <v>47</v>
      </c>
      <c r="C879" s="80"/>
      <c r="D879" s="98"/>
      <c r="E879" s="99"/>
      <c r="F879" s="99"/>
      <c r="G879" s="180"/>
      <c r="H879" s="180"/>
      <c r="I879" s="180"/>
      <c r="J879" s="180"/>
      <c r="K879" s="180"/>
      <c r="L879" s="100"/>
      <c r="M879" s="25"/>
      <c r="N879" s="25"/>
      <c r="O879" s="33"/>
    </row>
    <row r="880" spans="1:15">
      <c r="B880" s="89" t="s">
        <v>23</v>
      </c>
      <c r="C880" s="207"/>
      <c r="D880" s="101"/>
      <c r="E880" s="102"/>
      <c r="F880" s="102"/>
      <c r="G880" s="181"/>
      <c r="H880" s="181"/>
      <c r="I880" s="181"/>
      <c r="J880" s="181"/>
      <c r="K880" s="181"/>
      <c r="L880" s="103"/>
      <c r="M880" s="25"/>
      <c r="N880" s="25"/>
      <c r="O880" s="33"/>
    </row>
    <row r="881" spans="1:15">
      <c r="B881" s="104" t="s">
        <v>89</v>
      </c>
      <c r="C881" s="205"/>
      <c r="D881" s="65"/>
      <c r="E881" s="66"/>
      <c r="F881" s="66"/>
      <c r="G881" s="182"/>
      <c r="H881" s="182"/>
      <c r="I881" s="182"/>
      <c r="J881" s="182"/>
      <c r="K881" s="182"/>
      <c r="L881" s="67"/>
      <c r="M881" s="25"/>
      <c r="N881" s="25"/>
      <c r="O881" s="33"/>
    </row>
    <row r="882" spans="1:15">
      <c r="B882" s="36" t="s">
        <v>90</v>
      </c>
      <c r="D882" s="7">
        <f>SUM(D879:D881)</f>
        <v>0</v>
      </c>
      <c r="E882" s="7">
        <f>SUM(E879:E881)</f>
        <v>0</v>
      </c>
      <c r="F882" s="7">
        <f>SUM(F879:F881)</f>
        <v>0</v>
      </c>
      <c r="G882" s="7">
        <f t="shared" ref="G882:I882" si="297">SUM(G879:G881)</f>
        <v>0</v>
      </c>
      <c r="H882" s="7">
        <f t="shared" si="297"/>
        <v>0</v>
      </c>
      <c r="I882" s="7">
        <f t="shared" si="297"/>
        <v>0</v>
      </c>
      <c r="J882" s="7">
        <f t="shared" ref="J882" si="298">SUM(J879:J881)</f>
        <v>0</v>
      </c>
      <c r="K882" s="7"/>
      <c r="L882" s="7"/>
      <c r="M882" s="31"/>
      <c r="N882" s="31"/>
      <c r="O882" s="33"/>
    </row>
    <row r="883" spans="1:15">
      <c r="B883" s="6"/>
      <c r="D883" s="7"/>
      <c r="E883" s="7"/>
      <c r="F883" s="7"/>
      <c r="G883" s="7"/>
      <c r="H883" s="7"/>
      <c r="I883" s="7"/>
      <c r="J883" s="7"/>
      <c r="K883" s="7"/>
      <c r="L883" s="7"/>
      <c r="M883" s="31"/>
      <c r="N883" s="31"/>
      <c r="O883" s="33"/>
    </row>
    <row r="884" spans="1:15" ht="18.75">
      <c r="A884" s="9" t="s">
        <v>100</v>
      </c>
      <c r="D884" s="2">
        <f>'Facility Detail'!$B$1752</f>
        <v>2011</v>
      </c>
      <c r="E884" s="2">
        <f>D884+1</f>
        <v>2012</v>
      </c>
      <c r="F884" s="2">
        <f>E884+1</f>
        <v>2013</v>
      </c>
      <c r="G884" s="2">
        <f t="shared" ref="G884:K884" si="299">F884+1</f>
        <v>2014</v>
      </c>
      <c r="H884" s="2">
        <f t="shared" si="299"/>
        <v>2015</v>
      </c>
      <c r="I884" s="2">
        <f t="shared" si="299"/>
        <v>2016</v>
      </c>
      <c r="J884" s="2">
        <f t="shared" si="299"/>
        <v>2017</v>
      </c>
      <c r="K884" s="2">
        <f t="shared" si="299"/>
        <v>2018</v>
      </c>
      <c r="L884" s="2"/>
      <c r="M884" s="31"/>
      <c r="N884" s="31"/>
      <c r="O884" s="33"/>
    </row>
    <row r="885" spans="1:15" ht="14.25" customHeight="1">
      <c r="A885" s="9"/>
      <c r="B885" s="88" t="str">
        <f xml:space="preserve"> 'Facility Detail'!$B$1752 &amp; " Surplus Applied to " &amp; ( 'Facility Detail'!$B$1752 + 1 )</f>
        <v>2011 Surplus Applied to 2012</v>
      </c>
      <c r="C885" s="33"/>
      <c r="D885" s="3"/>
      <c r="E885" s="68">
        <f>D885</f>
        <v>0</v>
      </c>
      <c r="F885" s="152"/>
      <c r="G885" s="152"/>
      <c r="H885" s="152"/>
      <c r="I885" s="152"/>
      <c r="J885" s="152"/>
      <c r="K885" s="152"/>
      <c r="L885" s="69"/>
      <c r="M885" s="31"/>
      <c r="N885" s="31"/>
      <c r="O885" s="33"/>
    </row>
    <row r="886" spans="1:15" ht="14.25" customHeight="1">
      <c r="A886" s="9"/>
      <c r="B886" s="88" t="str">
        <f xml:space="preserve"> ( 'Facility Detail'!$B$1752 + 1 ) &amp; " Surplus Applied to " &amp; ( 'Facility Detail'!$B$1752 )</f>
        <v>2012 Surplus Applied to 2011</v>
      </c>
      <c r="C886" s="33"/>
      <c r="D886" s="189">
        <f>E886</f>
        <v>0</v>
      </c>
      <c r="E886" s="10"/>
      <c r="F886" s="83"/>
      <c r="G886" s="83"/>
      <c r="H886" s="83"/>
      <c r="I886" s="83"/>
      <c r="J886" s="83"/>
      <c r="K886" s="83"/>
      <c r="L886" s="190"/>
      <c r="M886" s="31"/>
      <c r="N886" s="31"/>
      <c r="O886" s="33"/>
    </row>
    <row r="887" spans="1:15" ht="14.25" customHeight="1">
      <c r="A887" s="9"/>
      <c r="B887" s="88" t="str">
        <f xml:space="preserve"> ( 'Facility Detail'!$B$1752 + 1 ) &amp; " Surplus Applied to " &amp; ( 'Facility Detail'!$B$1752 + 2 )</f>
        <v>2012 Surplus Applied to 2013</v>
      </c>
      <c r="C887" s="33"/>
      <c r="D887" s="70"/>
      <c r="E887" s="10">
        <f>E871</f>
        <v>0</v>
      </c>
      <c r="F887" s="79">
        <f>E887</f>
        <v>0</v>
      </c>
      <c r="G887" s="83"/>
      <c r="H887" s="83"/>
      <c r="I887" s="83"/>
      <c r="J887" s="83"/>
      <c r="K887" s="83"/>
      <c r="L887" s="190"/>
      <c r="M887" s="31"/>
      <c r="N887" s="31"/>
      <c r="O887" s="33"/>
    </row>
    <row r="888" spans="1:15" ht="14.25" customHeight="1">
      <c r="A888" s="9"/>
      <c r="B888" s="88" t="str">
        <f xml:space="preserve"> ( 'Facility Detail'!$B$1752 + 2 ) &amp; " Surplus Applied to " &amp; ( 'Facility Detail'!$B$1752 + 1 )</f>
        <v>2013 Surplus Applied to 2012</v>
      </c>
      <c r="C888" s="33"/>
      <c r="D888" s="70"/>
      <c r="E888" s="79">
        <f>F888</f>
        <v>0</v>
      </c>
      <c r="F888" s="188"/>
      <c r="G888" s="83"/>
      <c r="H888" s="83"/>
      <c r="I888" s="83"/>
      <c r="J888" s="83"/>
      <c r="K888" s="83"/>
      <c r="L888" s="190"/>
      <c r="M888" s="31"/>
      <c r="N888" s="31"/>
      <c r="O888" s="33"/>
    </row>
    <row r="889" spans="1:15" ht="14.25" customHeight="1">
      <c r="A889" s="9"/>
      <c r="B889" s="88" t="str">
        <f xml:space="preserve"> ( 'Facility Detail'!$B$1752 + 2 ) &amp; " Surplus Applied to " &amp; ( 'Facility Detail'!$B$1752 + 3 )</f>
        <v>2013 Surplus Applied to 2014</v>
      </c>
      <c r="C889" s="33"/>
      <c r="D889" s="70"/>
      <c r="E889" s="172"/>
      <c r="F889" s="10">
        <f>F871</f>
        <v>0</v>
      </c>
      <c r="G889" s="173">
        <f>F889</f>
        <v>0</v>
      </c>
      <c r="H889" s="83"/>
      <c r="I889" s="83"/>
      <c r="J889" s="83"/>
      <c r="K889" s="83"/>
      <c r="L889" s="190"/>
      <c r="M889" s="31"/>
      <c r="N889" s="31"/>
      <c r="O889" s="33"/>
    </row>
    <row r="890" spans="1:15" ht="14.25" customHeight="1">
      <c r="B890" s="88" t="str">
        <f xml:space="preserve"> ( 'Facility Detail'!$B$1752 + 3 ) &amp; " Surplus Applied to " &amp; ( 'Facility Detail'!$B$1752 + 2 )</f>
        <v>2014 Surplus Applied to 2013</v>
      </c>
      <c r="C890" s="33"/>
      <c r="D890" s="70"/>
      <c r="E890" s="172"/>
      <c r="F890" s="79">
        <f>G890</f>
        <v>0</v>
      </c>
      <c r="G890" s="10"/>
      <c r="H890" s="83"/>
      <c r="I890" s="83"/>
      <c r="J890" s="83"/>
      <c r="K890" s="83"/>
      <c r="L890" s="190"/>
      <c r="M890" s="31"/>
      <c r="N890" s="31"/>
      <c r="O890" s="33"/>
    </row>
    <row r="891" spans="1:15" ht="14.25" customHeight="1">
      <c r="B891" s="88" t="str">
        <f xml:space="preserve"> ( 'Facility Detail'!$B$1752 + 3 ) &amp; " Surplus Applied to " &amp; ( 'Facility Detail'!$B$1752 + 4 )</f>
        <v>2014 Surplus Applied to 2015</v>
      </c>
      <c r="C891" s="33"/>
      <c r="D891" s="70"/>
      <c r="E891" s="172"/>
      <c r="F891" s="172"/>
      <c r="G891" s="10">
        <f>G871</f>
        <v>0</v>
      </c>
      <c r="H891" s="173">
        <f>G891</f>
        <v>0</v>
      </c>
      <c r="I891" s="172">
        <f>H891</f>
        <v>0</v>
      </c>
      <c r="J891" s="172"/>
      <c r="K891" s="172"/>
      <c r="L891" s="176"/>
      <c r="M891" s="31"/>
      <c r="N891" s="31"/>
      <c r="O891" s="33"/>
    </row>
    <row r="892" spans="1:15" ht="14.25" customHeight="1">
      <c r="B892" s="88" t="str">
        <f xml:space="preserve"> ( 'Facility Detail'!$B$1752 + 4 ) &amp; " Surplus Applied to " &amp; ( 'Facility Detail'!$B$1752 + 3 )</f>
        <v>2015 Surplus Applied to 2014</v>
      </c>
      <c r="C892" s="33"/>
      <c r="D892" s="70"/>
      <c r="E892" s="172"/>
      <c r="F892" s="172"/>
      <c r="G892" s="174"/>
      <c r="H892" s="175"/>
      <c r="I892" s="172"/>
      <c r="J892" s="172"/>
      <c r="K892" s="172"/>
      <c r="L892" s="176"/>
      <c r="M892" s="31"/>
      <c r="N892" s="31"/>
      <c r="O892" s="33"/>
    </row>
    <row r="893" spans="1:15" ht="14.25" customHeight="1">
      <c r="B893" s="88" t="str">
        <f xml:space="preserve"> ( 'Facility Detail'!$B$1752 + 4 ) &amp; " Surplus Applied to " &amp; ( 'Facility Detail'!$B$1752 + 5 )</f>
        <v>2015 Surplus Applied to 2016</v>
      </c>
      <c r="C893" s="33"/>
      <c r="D893" s="70"/>
      <c r="E893" s="172"/>
      <c r="F893" s="172"/>
      <c r="G893" s="172"/>
      <c r="H893" s="175">
        <v>0</v>
      </c>
      <c r="I893" s="173">
        <f>H893</f>
        <v>0</v>
      </c>
      <c r="J893" s="173"/>
      <c r="K893" s="173"/>
      <c r="L893" s="353"/>
      <c r="M893" s="31"/>
      <c r="N893" s="31"/>
      <c r="O893" s="33"/>
    </row>
    <row r="894" spans="1:15" ht="14.25" customHeight="1">
      <c r="B894" s="88" t="str">
        <f xml:space="preserve"> ( 'Facility Detail'!$B$1752 + 5 ) &amp; " Surplus Applied to " &amp; ( 'Facility Detail'!$B$1752 + 4 )</f>
        <v>2016 Surplus Applied to 2015</v>
      </c>
      <c r="C894" s="33"/>
      <c r="D894" s="70"/>
      <c r="E894" s="172"/>
      <c r="F894" s="172"/>
      <c r="G894" s="172"/>
      <c r="H894" s="79"/>
      <c r="I894" s="175"/>
      <c r="J894" s="175"/>
      <c r="K894" s="175"/>
      <c r="L894" s="354"/>
      <c r="M894" s="31"/>
      <c r="N894" s="31"/>
      <c r="O894" s="33"/>
    </row>
    <row r="895" spans="1:15" ht="14.25" customHeight="1">
      <c r="B895" s="88" t="str">
        <f xml:space="preserve"> ( 'Facility Detail'!$B$1752 + 5 ) &amp; " Surplus Applied to " &amp; ( 'Facility Detail'!$B$1752 + 6 )</f>
        <v>2016 Surplus Applied to 2017</v>
      </c>
      <c r="C895" s="33"/>
      <c r="D895" s="71"/>
      <c r="E895" s="154"/>
      <c r="F895" s="154"/>
      <c r="G895" s="154"/>
      <c r="H895" s="154"/>
      <c r="I895" s="177">
        <f>I871</f>
        <v>0</v>
      </c>
      <c r="J895" s="177"/>
      <c r="K895" s="177"/>
      <c r="L895" s="357"/>
      <c r="M895" s="31"/>
      <c r="N895" s="31"/>
      <c r="O895" s="33"/>
    </row>
    <row r="896" spans="1:15">
      <c r="B896" s="36" t="s">
        <v>17</v>
      </c>
      <c r="D896" s="214">
        <f xml:space="preserve"> D891 - D890</f>
        <v>0</v>
      </c>
      <c r="E896" s="214">
        <f xml:space="preserve"> E890 + E893 - E892 - E891</f>
        <v>0</v>
      </c>
      <c r="F896" s="214">
        <f>F892 - F893</f>
        <v>0</v>
      </c>
      <c r="G896" s="214">
        <f t="shared" ref="G896:H896" si="300">G892 - G893</f>
        <v>0</v>
      </c>
      <c r="H896" s="214">
        <f t="shared" si="300"/>
        <v>0</v>
      </c>
      <c r="I896" s="214">
        <f>I893</f>
        <v>0</v>
      </c>
      <c r="J896" s="214">
        <f>J895</f>
        <v>0</v>
      </c>
      <c r="K896" s="214">
        <f>K895</f>
        <v>0</v>
      </c>
      <c r="L896" s="214"/>
      <c r="M896" s="31"/>
      <c r="N896" s="31"/>
      <c r="O896" s="33"/>
    </row>
    <row r="897" spans="1:15">
      <c r="B897" s="6"/>
      <c r="D897" s="7"/>
      <c r="E897" s="7"/>
      <c r="F897" s="7"/>
      <c r="G897" s="7"/>
      <c r="H897" s="7"/>
      <c r="I897" s="7"/>
      <c r="J897" s="7"/>
      <c r="K897" s="7"/>
      <c r="L897" s="7"/>
      <c r="M897" s="31"/>
      <c r="N897" s="31"/>
      <c r="O897" s="33"/>
    </row>
    <row r="898" spans="1:15">
      <c r="B898" s="85" t="s">
        <v>12</v>
      </c>
      <c r="C898" s="80"/>
      <c r="D898" s="111"/>
      <c r="E898" s="112"/>
      <c r="F898" s="185"/>
      <c r="G898" s="185"/>
      <c r="H898" s="185"/>
      <c r="I898" s="185"/>
      <c r="J898" s="185"/>
      <c r="K898" s="185"/>
      <c r="L898" s="113"/>
      <c r="M898" s="31"/>
      <c r="N898" s="31"/>
      <c r="O898" s="33"/>
    </row>
    <row r="899" spans="1:15">
      <c r="B899" s="6"/>
      <c r="D899" s="7"/>
      <c r="E899" s="7"/>
      <c r="F899" s="7"/>
      <c r="G899" s="7"/>
      <c r="H899" s="7"/>
      <c r="I899" s="7"/>
      <c r="J899" s="7"/>
      <c r="K899" s="7"/>
      <c r="L899" s="7"/>
      <c r="M899" s="31"/>
      <c r="N899" s="31"/>
      <c r="O899" s="33"/>
    </row>
    <row r="900" spans="1:15" ht="18.75">
      <c r="A900" s="45" t="s">
        <v>26</v>
      </c>
      <c r="C900" s="80"/>
      <c r="D900" s="49">
        <f xml:space="preserve"> D871 + D876 - D882 + D896 + D898</f>
        <v>0</v>
      </c>
      <c r="E900" s="50">
        <f xml:space="preserve"> E871 + E876 - E882 + E896 + E898</f>
        <v>0</v>
      </c>
      <c r="F900" s="186">
        <f xml:space="preserve"> F871 + F876 - F882 + F896 + F898</f>
        <v>0</v>
      </c>
      <c r="G900" s="186">
        <f t="shared" ref="G900:J900" si="301" xml:space="preserve"> G871 + G876 - G882 + G896 + G898</f>
        <v>0</v>
      </c>
      <c r="H900" s="186">
        <f t="shared" si="301"/>
        <v>40000</v>
      </c>
      <c r="I900" s="186">
        <f t="shared" si="301"/>
        <v>0</v>
      </c>
      <c r="J900" s="186">
        <f t="shared" si="301"/>
        <v>0</v>
      </c>
      <c r="K900" s="186">
        <f t="shared" ref="K900" si="302" xml:space="preserve"> K871 + K876 - K882 + K896 + K898</f>
        <v>0</v>
      </c>
      <c r="L900" s="51"/>
      <c r="M900" s="33"/>
      <c r="N900" s="33"/>
      <c r="O900" s="33"/>
    </row>
    <row r="901" spans="1:15">
      <c r="B901" s="6"/>
      <c r="D901" s="7"/>
      <c r="E901" s="7"/>
      <c r="F901" s="7"/>
      <c r="G901" s="31"/>
      <c r="H901" s="31"/>
      <c r="I901" s="31"/>
      <c r="J901" s="31"/>
      <c r="K901" s="31"/>
      <c r="L901" s="31"/>
      <c r="M901" s="33"/>
      <c r="N901" s="33"/>
      <c r="O901" s="33"/>
    </row>
    <row r="902" spans="1:15" ht="15.75" thickBot="1">
      <c r="M902" s="26"/>
      <c r="N902" s="26"/>
      <c r="O902" s="33"/>
    </row>
    <row r="903" spans="1:15">
      <c r="A903" s="8"/>
      <c r="B903" s="8"/>
      <c r="C903" s="8"/>
      <c r="D903" s="8"/>
      <c r="E903" s="8"/>
      <c r="F903" s="8"/>
      <c r="G903" s="8"/>
      <c r="H903" s="8"/>
      <c r="I903" s="8"/>
      <c r="J903" s="8"/>
      <c r="K903" s="8"/>
      <c r="L903" s="8"/>
      <c r="M903" s="25"/>
      <c r="N903" s="25"/>
      <c r="O903" s="33"/>
    </row>
    <row r="904" spans="1:15">
      <c r="B904" s="33"/>
      <c r="C904" s="33"/>
      <c r="D904" s="33"/>
      <c r="E904" s="33"/>
      <c r="F904" s="33"/>
      <c r="G904" s="33"/>
      <c r="H904" s="33"/>
      <c r="I904" s="33"/>
      <c r="J904" s="33"/>
      <c r="K904" s="33"/>
      <c r="L904" s="33"/>
      <c r="M904" s="25"/>
      <c r="N904" s="25"/>
      <c r="O904" s="33"/>
    </row>
    <row r="905" spans="1:15" ht="21">
      <c r="A905" s="14" t="s">
        <v>4</v>
      </c>
      <c r="B905" s="14"/>
      <c r="C905" s="46" t="str">
        <f>B22</f>
        <v>Hidden Hollow - REC Only</v>
      </c>
      <c r="D905" s="232"/>
      <c r="E905" s="24"/>
      <c r="F905" s="24"/>
      <c r="M905" s="25"/>
      <c r="N905" s="25"/>
      <c r="O905" s="33"/>
    </row>
    <row r="906" spans="1:15">
      <c r="M906" s="25"/>
      <c r="N906" s="25"/>
      <c r="O906" s="33"/>
    </row>
    <row r="907" spans="1:15" ht="18.75">
      <c r="A907" s="9" t="s">
        <v>21</v>
      </c>
      <c r="B907" s="9"/>
      <c r="D907" s="2">
        <f>'Facility Detail'!$B$1752</f>
        <v>2011</v>
      </c>
      <c r="E907" s="2">
        <f>D907+1</f>
        <v>2012</v>
      </c>
      <c r="F907" s="2">
        <f>E907+1</f>
        <v>2013</v>
      </c>
      <c r="G907" s="2">
        <f t="shared" ref="G907:K907" si="303">F907+1</f>
        <v>2014</v>
      </c>
      <c r="H907" s="2">
        <f t="shared" si="303"/>
        <v>2015</v>
      </c>
      <c r="I907" s="2">
        <f t="shared" si="303"/>
        <v>2016</v>
      </c>
      <c r="J907" s="2">
        <f t="shared" si="303"/>
        <v>2017</v>
      </c>
      <c r="K907" s="2">
        <f t="shared" si="303"/>
        <v>2018</v>
      </c>
      <c r="L907" s="2">
        <v>2019</v>
      </c>
      <c r="M907" s="25"/>
      <c r="N907" s="25"/>
      <c r="O907" s="33"/>
    </row>
    <row r="908" spans="1:15">
      <c r="B908" s="88" t="str">
        <f>"Total MWh Produced / Purchased from " &amp; C905</f>
        <v>Total MWh Produced / Purchased from Hidden Hollow - REC Only</v>
      </c>
      <c r="C908" s="80"/>
      <c r="D908" s="3"/>
      <c r="E908" s="4"/>
      <c r="F908" s="4"/>
      <c r="G908" s="4"/>
      <c r="H908" s="4">
        <v>12501</v>
      </c>
      <c r="I908" s="4">
        <v>3960</v>
      </c>
      <c r="J908" s="4"/>
      <c r="K908" s="4"/>
      <c r="L908" s="5"/>
      <c r="M908" s="25"/>
      <c r="N908" s="25"/>
      <c r="O908" s="33"/>
    </row>
    <row r="909" spans="1:15">
      <c r="B909" s="88" t="s">
        <v>25</v>
      </c>
      <c r="C909" s="80"/>
      <c r="D909" s="62"/>
      <c r="E909" s="63"/>
      <c r="F909" s="63"/>
      <c r="G909" s="63"/>
      <c r="H909" s="63">
        <v>1</v>
      </c>
      <c r="I909" s="63">
        <v>1</v>
      </c>
      <c r="J909" s="63"/>
      <c r="K909" s="63"/>
      <c r="L909" s="64"/>
      <c r="M909" s="25"/>
      <c r="N909" s="25"/>
      <c r="O909" s="33"/>
    </row>
    <row r="910" spans="1:15">
      <c r="B910" s="88" t="s">
        <v>20</v>
      </c>
      <c r="C910" s="80"/>
      <c r="D910" s="54"/>
      <c r="E910" s="55"/>
      <c r="F910" s="55"/>
      <c r="G910" s="55"/>
      <c r="H910" s="55">
        <v>1</v>
      </c>
      <c r="I910" s="55">
        <v>1</v>
      </c>
      <c r="J910" s="55"/>
      <c r="K910" s="55"/>
      <c r="L910" s="56"/>
      <c r="M910" s="31"/>
      <c r="N910" s="31"/>
      <c r="O910" s="33"/>
    </row>
    <row r="911" spans="1:15">
      <c r="B911" s="85" t="s">
        <v>22</v>
      </c>
      <c r="C911" s="86"/>
      <c r="D911" s="41">
        <f xml:space="preserve"> D908 * D909 * D910</f>
        <v>0</v>
      </c>
      <c r="E911" s="41">
        <f xml:space="preserve"> E908 * E909 * E910</f>
        <v>0</v>
      </c>
      <c r="F911" s="41">
        <f xml:space="preserve"> F908 * F909 * F910</f>
        <v>0</v>
      </c>
      <c r="G911" s="41">
        <f t="shared" ref="G911" si="304" xml:space="preserve"> G908 * G909 * G910</f>
        <v>0</v>
      </c>
      <c r="H911" s="41">
        <f t="shared" ref="H911" si="305" xml:space="preserve"> H908 * H909 * H910</f>
        <v>12501</v>
      </c>
      <c r="I911" s="41">
        <f t="shared" ref="I911" si="306" xml:space="preserve"> I908 * I909 * I910</f>
        <v>3960</v>
      </c>
      <c r="J911" s="41"/>
      <c r="K911" s="41"/>
      <c r="L911" s="41"/>
      <c r="M911" s="31"/>
      <c r="N911" s="31"/>
      <c r="O911" s="33"/>
    </row>
    <row r="912" spans="1:15">
      <c r="B912" s="24"/>
      <c r="C912" s="33"/>
      <c r="D912" s="40"/>
      <c r="E912" s="40"/>
      <c r="F912" s="40"/>
      <c r="G912" s="40"/>
      <c r="H912" s="40"/>
      <c r="I912" s="40"/>
      <c r="J912" s="40"/>
      <c r="K912" s="40"/>
      <c r="L912" s="40"/>
      <c r="M912" s="31"/>
      <c r="N912" s="31"/>
      <c r="O912" s="33"/>
    </row>
    <row r="913" spans="1:15" ht="18.75">
      <c r="A913" s="48" t="s">
        <v>119</v>
      </c>
      <c r="C913" s="33"/>
      <c r="D913" s="2">
        <f>'Facility Detail'!$B$1752</f>
        <v>2011</v>
      </c>
      <c r="E913" s="2">
        <f>D913+1</f>
        <v>2012</v>
      </c>
      <c r="F913" s="2">
        <f>E913+1</f>
        <v>2013</v>
      </c>
      <c r="G913" s="2">
        <f t="shared" ref="G913:K913" si="307">F913+1</f>
        <v>2014</v>
      </c>
      <c r="H913" s="2">
        <f t="shared" si="307"/>
        <v>2015</v>
      </c>
      <c r="I913" s="2">
        <f t="shared" si="307"/>
        <v>2016</v>
      </c>
      <c r="J913" s="2">
        <f t="shared" si="307"/>
        <v>2017</v>
      </c>
      <c r="K913" s="2">
        <f t="shared" si="307"/>
        <v>2018</v>
      </c>
      <c r="L913" s="2">
        <v>2019</v>
      </c>
      <c r="M913" s="33"/>
      <c r="N913" s="33"/>
      <c r="O913" s="33"/>
    </row>
    <row r="914" spans="1:15">
      <c r="B914" s="88" t="s">
        <v>10</v>
      </c>
      <c r="C914" s="80"/>
      <c r="D914" s="57">
        <f>IF( $E22 = "Eligible", D911 * 'Facility Detail'!$B$1749, 0 )</f>
        <v>0</v>
      </c>
      <c r="E914" s="11">
        <f>IF( $E22 = "Eligible", E911 * 'Facility Detail'!$B$1749, 0 )</f>
        <v>0</v>
      </c>
      <c r="F914" s="11">
        <f>IF( $E22 = "Eligible", F911 * 'Facility Detail'!$B$1749, 0 )</f>
        <v>0</v>
      </c>
      <c r="G914" s="11">
        <f>IF( $E22 = "Eligible", G911 * 'Facility Detail'!$B$1749, 0 )</f>
        <v>0</v>
      </c>
      <c r="H914" s="11">
        <f>IF( $E22 = "Eligible", H911 * 'Facility Detail'!$B$1749, 0 )</f>
        <v>0</v>
      </c>
      <c r="I914" s="11">
        <f>IF( $E22 = "Eligible", I911 * 'Facility Detail'!$B$1749, 0 )</f>
        <v>0</v>
      </c>
      <c r="J914" s="11">
        <f>IF( $E22 = "Eligible", J911 * 'Facility Detail'!$B$1749, 0 )</f>
        <v>0</v>
      </c>
      <c r="K914" s="11"/>
      <c r="L914" s="12"/>
      <c r="M914" s="33"/>
      <c r="N914" s="33"/>
      <c r="O914" s="33"/>
    </row>
    <row r="915" spans="1:15">
      <c r="B915" s="88" t="s">
        <v>6</v>
      </c>
      <c r="C915" s="80"/>
      <c r="D915" s="58">
        <f t="shared" ref="D915:J915" si="308">IF( $F22 = "Eligible", D911, 0 )</f>
        <v>0</v>
      </c>
      <c r="E915" s="59">
        <f t="shared" si="308"/>
        <v>0</v>
      </c>
      <c r="F915" s="59">
        <f t="shared" si="308"/>
        <v>0</v>
      </c>
      <c r="G915" s="59">
        <f t="shared" si="308"/>
        <v>0</v>
      </c>
      <c r="H915" s="59">
        <f t="shared" si="308"/>
        <v>0</v>
      </c>
      <c r="I915" s="59">
        <f t="shared" si="308"/>
        <v>0</v>
      </c>
      <c r="J915" s="59">
        <f t="shared" si="308"/>
        <v>0</v>
      </c>
      <c r="K915" s="59"/>
      <c r="L915" s="60"/>
      <c r="M915" s="33"/>
      <c r="N915" s="33"/>
      <c r="O915" s="33"/>
    </row>
    <row r="916" spans="1:15">
      <c r="B916" s="87" t="s">
        <v>121</v>
      </c>
      <c r="C916" s="86"/>
      <c r="D916" s="43">
        <f>SUM(D914:D915)</f>
        <v>0</v>
      </c>
      <c r="E916" s="44">
        <f>SUM(E914:E915)</f>
        <v>0</v>
      </c>
      <c r="F916" s="44">
        <f>SUM(F914:F915)</f>
        <v>0</v>
      </c>
      <c r="G916" s="44">
        <f t="shared" ref="G916:I916" si="309">SUM(G914:G915)</f>
        <v>0</v>
      </c>
      <c r="H916" s="44">
        <f t="shared" si="309"/>
        <v>0</v>
      </c>
      <c r="I916" s="44">
        <f t="shared" si="309"/>
        <v>0</v>
      </c>
      <c r="J916" s="44">
        <f t="shared" ref="J916" si="310">SUM(J914:J915)</f>
        <v>0</v>
      </c>
      <c r="K916" s="44"/>
      <c r="L916" s="44"/>
      <c r="M916" s="26"/>
      <c r="N916" s="26"/>
      <c r="O916" s="33"/>
    </row>
    <row r="917" spans="1:15">
      <c r="B917" s="33"/>
      <c r="C917" s="33"/>
      <c r="D917" s="42"/>
      <c r="E917" s="34"/>
      <c r="F917" s="34"/>
      <c r="G917" s="34"/>
      <c r="H917" s="34"/>
      <c r="I917" s="34"/>
      <c r="J917" s="34"/>
      <c r="K917" s="34"/>
      <c r="L917" s="34"/>
      <c r="M917" s="25"/>
      <c r="N917" s="25"/>
      <c r="O917" s="33"/>
    </row>
    <row r="918" spans="1:15" ht="18.75">
      <c r="A918" s="45" t="s">
        <v>30</v>
      </c>
      <c r="C918" s="33"/>
      <c r="D918" s="2">
        <f>'Facility Detail'!$B$1752</f>
        <v>2011</v>
      </c>
      <c r="E918" s="2">
        <f>D918+1</f>
        <v>2012</v>
      </c>
      <c r="F918" s="2">
        <f>E918+1</f>
        <v>2013</v>
      </c>
      <c r="G918" s="2">
        <f t="shared" ref="G918:K918" si="311">F918+1</f>
        <v>2014</v>
      </c>
      <c r="H918" s="2">
        <f t="shared" si="311"/>
        <v>2015</v>
      </c>
      <c r="I918" s="2">
        <f t="shared" si="311"/>
        <v>2016</v>
      </c>
      <c r="J918" s="2">
        <f t="shared" si="311"/>
        <v>2017</v>
      </c>
      <c r="K918" s="2">
        <f t="shared" si="311"/>
        <v>2018</v>
      </c>
      <c r="L918" s="2">
        <v>2019</v>
      </c>
      <c r="M918" s="25"/>
      <c r="N918" s="25"/>
      <c r="O918" s="33"/>
    </row>
    <row r="919" spans="1:15">
      <c r="B919" s="88" t="s">
        <v>47</v>
      </c>
      <c r="C919" s="80"/>
      <c r="D919" s="98"/>
      <c r="E919" s="99"/>
      <c r="F919" s="99"/>
      <c r="G919" s="99"/>
      <c r="H919" s="99"/>
      <c r="I919" s="99"/>
      <c r="J919" s="99"/>
      <c r="K919" s="99"/>
      <c r="L919" s="100"/>
      <c r="M919" s="25"/>
      <c r="N919" s="25"/>
      <c r="O919" s="33"/>
    </row>
    <row r="920" spans="1:15">
      <c r="B920" s="89" t="s">
        <v>23</v>
      </c>
      <c r="C920" s="207"/>
      <c r="D920" s="101"/>
      <c r="E920" s="102"/>
      <c r="F920" s="102"/>
      <c r="G920" s="102"/>
      <c r="H920" s="102"/>
      <c r="I920" s="102"/>
      <c r="J920" s="102"/>
      <c r="K920" s="102"/>
      <c r="L920" s="103"/>
      <c r="M920" s="25"/>
      <c r="N920" s="25"/>
      <c r="O920" s="33"/>
    </row>
    <row r="921" spans="1:15">
      <c r="B921" s="104" t="s">
        <v>89</v>
      </c>
      <c r="C921" s="205"/>
      <c r="D921" s="65"/>
      <c r="E921" s="66"/>
      <c r="F921" s="66"/>
      <c r="G921" s="66"/>
      <c r="H921" s="66"/>
      <c r="I921" s="66"/>
      <c r="J921" s="66"/>
      <c r="K921" s="66"/>
      <c r="L921" s="67"/>
      <c r="M921" s="25"/>
      <c r="N921" s="25"/>
      <c r="O921" s="33"/>
    </row>
    <row r="922" spans="1:15">
      <c r="B922" s="36" t="s">
        <v>90</v>
      </c>
      <c r="D922" s="7">
        <f>SUM(D919:D921)</f>
        <v>0</v>
      </c>
      <c r="E922" s="7">
        <f>SUM(E919:E921)</f>
        <v>0</v>
      </c>
      <c r="F922" s="7">
        <f>SUM(F919:F921)</f>
        <v>0</v>
      </c>
      <c r="G922" s="7">
        <f t="shared" ref="G922:I922" si="312">SUM(G919:G921)</f>
        <v>0</v>
      </c>
      <c r="H922" s="7">
        <f t="shared" si="312"/>
        <v>0</v>
      </c>
      <c r="I922" s="7">
        <f t="shared" si="312"/>
        <v>0</v>
      </c>
      <c r="J922" s="7">
        <f t="shared" ref="J922" si="313">SUM(J919:J921)</f>
        <v>0</v>
      </c>
      <c r="K922" s="7"/>
      <c r="L922" s="7"/>
      <c r="M922" s="25"/>
      <c r="N922" s="25"/>
      <c r="O922" s="33"/>
    </row>
    <row r="923" spans="1:15">
      <c r="B923" s="6"/>
      <c r="D923" s="7"/>
      <c r="E923" s="7"/>
      <c r="F923" s="7"/>
      <c r="G923" s="7"/>
      <c r="H923" s="7"/>
      <c r="I923" s="7"/>
      <c r="J923" s="7"/>
      <c r="K923" s="7"/>
      <c r="L923" s="7"/>
      <c r="M923" s="25"/>
      <c r="N923" s="25"/>
      <c r="O923" s="33"/>
    </row>
    <row r="924" spans="1:15" ht="18.75">
      <c r="A924" s="9" t="s">
        <v>100</v>
      </c>
      <c r="D924" s="2">
        <f>'Facility Detail'!$B$1752</f>
        <v>2011</v>
      </c>
      <c r="E924" s="2">
        <f>D924+1</f>
        <v>2012</v>
      </c>
      <c r="F924" s="2">
        <f>E924+1</f>
        <v>2013</v>
      </c>
      <c r="G924" s="2">
        <f t="shared" ref="G924:K924" si="314">F924+1</f>
        <v>2014</v>
      </c>
      <c r="H924" s="2">
        <f t="shared" si="314"/>
        <v>2015</v>
      </c>
      <c r="I924" s="2">
        <f t="shared" si="314"/>
        <v>2016</v>
      </c>
      <c r="J924" s="2">
        <f t="shared" si="314"/>
        <v>2017</v>
      </c>
      <c r="K924" s="2">
        <f t="shared" si="314"/>
        <v>2018</v>
      </c>
      <c r="L924" s="2">
        <v>2019</v>
      </c>
      <c r="M924" s="25"/>
      <c r="N924" s="25"/>
      <c r="O924" s="33"/>
    </row>
    <row r="925" spans="1:15" ht="14.25" customHeight="1">
      <c r="A925" s="9"/>
      <c r="B925" s="88" t="s">
        <v>68</v>
      </c>
      <c r="C925" s="80"/>
      <c r="D925" s="3"/>
      <c r="E925" s="68">
        <f>D925</f>
        <v>0</v>
      </c>
      <c r="F925" s="152"/>
      <c r="G925" s="152"/>
      <c r="H925" s="152"/>
      <c r="I925" s="152"/>
      <c r="J925" s="152"/>
      <c r="K925" s="152"/>
      <c r="L925" s="69"/>
      <c r="M925" s="25"/>
      <c r="N925" s="25"/>
      <c r="O925" s="33"/>
    </row>
    <row r="926" spans="1:15" ht="14.25" customHeight="1">
      <c r="A926" s="9"/>
      <c r="B926" s="88" t="s">
        <v>69</v>
      </c>
      <c r="C926" s="80"/>
      <c r="D926" s="189">
        <f>E926</f>
        <v>0</v>
      </c>
      <c r="E926" s="10"/>
      <c r="F926" s="83"/>
      <c r="G926" s="83"/>
      <c r="H926" s="83"/>
      <c r="I926" s="83"/>
      <c r="J926" s="83"/>
      <c r="K926" s="83"/>
      <c r="L926" s="190"/>
      <c r="M926" s="25"/>
      <c r="N926" s="25"/>
      <c r="O926" s="33"/>
    </row>
    <row r="927" spans="1:15" ht="14.25" customHeight="1">
      <c r="A927" s="9"/>
      <c r="B927" s="88" t="s">
        <v>70</v>
      </c>
      <c r="C927" s="80"/>
      <c r="D927" s="70"/>
      <c r="E927" s="10">
        <f>E911</f>
        <v>0</v>
      </c>
      <c r="F927" s="79">
        <f>E927</f>
        <v>0</v>
      </c>
      <c r="G927" s="83"/>
      <c r="H927" s="83"/>
      <c r="I927" s="83"/>
      <c r="J927" s="83"/>
      <c r="K927" s="83"/>
      <c r="L927" s="190"/>
      <c r="M927" s="25"/>
      <c r="N927" s="25"/>
      <c r="O927" s="33"/>
    </row>
    <row r="928" spans="1:15" ht="14.25" customHeight="1">
      <c r="A928" s="9"/>
      <c r="B928" s="88" t="s">
        <v>71</v>
      </c>
      <c r="C928" s="80"/>
      <c r="D928" s="70"/>
      <c r="E928" s="79">
        <f>F928</f>
        <v>0</v>
      </c>
      <c r="F928" s="188"/>
      <c r="G928" s="83"/>
      <c r="H928" s="83"/>
      <c r="I928" s="83"/>
      <c r="J928" s="83"/>
      <c r="K928" s="83"/>
      <c r="L928" s="190"/>
      <c r="M928" s="25"/>
      <c r="N928" s="25"/>
      <c r="O928" s="33"/>
    </row>
    <row r="929" spans="1:15" ht="14.25" customHeight="1">
      <c r="A929" s="9"/>
      <c r="B929" s="88" t="s">
        <v>194</v>
      </c>
      <c r="C929" s="80"/>
      <c r="D929" s="70"/>
      <c r="E929" s="172"/>
      <c r="F929" s="10">
        <f>F911</f>
        <v>0</v>
      </c>
      <c r="G929" s="173">
        <f>F929</f>
        <v>0</v>
      </c>
      <c r="H929" s="83"/>
      <c r="I929" s="83"/>
      <c r="J929" s="83"/>
      <c r="K929" s="83"/>
      <c r="L929" s="190"/>
      <c r="M929" s="25"/>
      <c r="N929" s="25"/>
      <c r="O929" s="33"/>
    </row>
    <row r="930" spans="1:15" ht="14.25" customHeight="1">
      <c r="B930" s="88" t="s">
        <v>195</v>
      </c>
      <c r="C930" s="80"/>
      <c r="D930" s="70"/>
      <c r="E930" s="172"/>
      <c r="F930" s="79">
        <f>G930</f>
        <v>0</v>
      </c>
      <c r="G930" s="10"/>
      <c r="H930" s="83"/>
      <c r="I930" s="83"/>
      <c r="J930" s="83"/>
      <c r="K930" s="83"/>
      <c r="L930" s="190"/>
      <c r="M930" s="25"/>
      <c r="N930" s="25"/>
      <c r="O930" s="33"/>
    </row>
    <row r="931" spans="1:15" ht="14.25" customHeight="1">
      <c r="B931" s="88" t="s">
        <v>196</v>
      </c>
      <c r="C931" s="80"/>
      <c r="D931" s="70"/>
      <c r="E931" s="172"/>
      <c r="F931" s="172"/>
      <c r="G931" s="10">
        <f>G911</f>
        <v>0</v>
      </c>
      <c r="H931" s="173">
        <f>G931</f>
        <v>0</v>
      </c>
      <c r="I931" s="172">
        <f>H931</f>
        <v>0</v>
      </c>
      <c r="J931" s="172"/>
      <c r="K931" s="172"/>
      <c r="L931" s="176"/>
      <c r="M931" s="25"/>
      <c r="N931" s="25"/>
      <c r="O931" s="33"/>
    </row>
    <row r="932" spans="1:15" ht="14.25" customHeight="1">
      <c r="B932" s="88" t="s">
        <v>197</v>
      </c>
      <c r="C932" s="80"/>
      <c r="D932" s="70"/>
      <c r="E932" s="172"/>
      <c r="F932" s="172"/>
      <c r="G932" s="174"/>
      <c r="H932" s="175"/>
      <c r="I932" s="172"/>
      <c r="J932" s="172"/>
      <c r="K932" s="172"/>
      <c r="L932" s="176"/>
      <c r="M932" s="25"/>
      <c r="N932" s="25"/>
      <c r="O932" s="33"/>
    </row>
    <row r="933" spans="1:15" ht="14.25" customHeight="1">
      <c r="B933" s="88" t="s">
        <v>198</v>
      </c>
      <c r="C933" s="80"/>
      <c r="D933" s="70"/>
      <c r="E933" s="172"/>
      <c r="F933" s="172"/>
      <c r="G933" s="172"/>
      <c r="H933" s="175">
        <f>H911</f>
        <v>12501</v>
      </c>
      <c r="I933" s="173">
        <f>H933</f>
        <v>12501</v>
      </c>
      <c r="J933" s="173"/>
      <c r="K933" s="173"/>
      <c r="L933" s="353"/>
      <c r="M933" s="25"/>
      <c r="N933" s="25"/>
      <c r="O933" s="33"/>
    </row>
    <row r="934" spans="1:15" ht="14.25" customHeight="1">
      <c r="B934" s="88" t="s">
        <v>199</v>
      </c>
      <c r="C934" s="33"/>
      <c r="D934" s="70"/>
      <c r="E934" s="172"/>
      <c r="F934" s="172"/>
      <c r="G934" s="172"/>
      <c r="H934" s="79"/>
      <c r="I934" s="175"/>
      <c r="J934" s="175"/>
      <c r="K934" s="175"/>
      <c r="L934" s="354"/>
      <c r="M934" s="25"/>
      <c r="N934" s="25"/>
      <c r="O934" s="33"/>
    </row>
    <row r="935" spans="1:15" ht="14.25" customHeight="1">
      <c r="B935" s="88" t="s">
        <v>200</v>
      </c>
      <c r="C935" s="33"/>
      <c r="D935" s="70"/>
      <c r="E935" s="172"/>
      <c r="F935" s="172"/>
      <c r="G935" s="172"/>
      <c r="H935" s="172"/>
      <c r="I935" s="175">
        <f>I911</f>
        <v>3960</v>
      </c>
      <c r="J935" s="175">
        <f>I935</f>
        <v>3960</v>
      </c>
      <c r="K935" s="175"/>
      <c r="L935" s="354"/>
      <c r="M935" s="25"/>
      <c r="N935" s="25"/>
      <c r="O935" s="33"/>
    </row>
    <row r="936" spans="1:15" ht="14.25" customHeight="1">
      <c r="B936" s="88" t="s">
        <v>191</v>
      </c>
      <c r="C936" s="33"/>
      <c r="D936" s="70"/>
      <c r="E936" s="172"/>
      <c r="F936" s="172"/>
      <c r="G936" s="172"/>
      <c r="H936" s="172"/>
      <c r="I936" s="79"/>
      <c r="J936" s="79"/>
      <c r="K936" s="79"/>
      <c r="L936" s="365"/>
      <c r="M936" s="25"/>
      <c r="N936" s="25"/>
      <c r="O936" s="33"/>
    </row>
    <row r="937" spans="1:15" ht="14.25" customHeight="1">
      <c r="B937" s="88" t="s">
        <v>192</v>
      </c>
      <c r="C937" s="33"/>
      <c r="D937" s="71"/>
      <c r="E937" s="154"/>
      <c r="F937" s="154"/>
      <c r="G937" s="154"/>
      <c r="H937" s="154"/>
      <c r="I937" s="154"/>
      <c r="J937" s="154"/>
      <c r="K937" s="154"/>
      <c r="L937" s="352"/>
      <c r="M937" s="25"/>
      <c r="N937" s="25"/>
      <c r="O937" s="33"/>
    </row>
    <row r="938" spans="1:15">
      <c r="B938" s="36" t="s">
        <v>17</v>
      </c>
      <c r="D938" s="214">
        <f xml:space="preserve"> D931 - D930</f>
        <v>0</v>
      </c>
      <c r="E938" s="214">
        <f xml:space="preserve"> E930 + E933 - E932 - E931</f>
        <v>0</v>
      </c>
      <c r="F938" s="214">
        <f>F932 - F933</f>
        <v>0</v>
      </c>
      <c r="G938" s="214">
        <f t="shared" ref="G938" si="315">G932 - G933</f>
        <v>0</v>
      </c>
      <c r="H938" s="31">
        <f>H931-H932-H933</f>
        <v>-12501</v>
      </c>
      <c r="I938" s="31">
        <f>I933-I934-I935</f>
        <v>8541</v>
      </c>
      <c r="J938" s="31">
        <f>J935-J936-J937</f>
        <v>3960</v>
      </c>
      <c r="K938" s="31">
        <f>K935</f>
        <v>0</v>
      </c>
      <c r="L938" s="31"/>
      <c r="M938" s="25"/>
      <c r="N938" s="25"/>
      <c r="O938" s="33"/>
    </row>
    <row r="939" spans="1:15">
      <c r="B939" s="6"/>
      <c r="D939" s="7"/>
      <c r="E939" s="7"/>
      <c r="F939" s="7"/>
      <c r="G939" s="7"/>
      <c r="H939" s="7"/>
      <c r="I939" s="7"/>
      <c r="J939" s="7"/>
      <c r="K939" s="7"/>
      <c r="L939" s="7"/>
      <c r="M939" s="25"/>
      <c r="N939" s="25"/>
      <c r="O939" s="33"/>
    </row>
    <row r="940" spans="1:15">
      <c r="B940" s="85" t="s">
        <v>12</v>
      </c>
      <c r="C940" s="80"/>
      <c r="D940" s="111"/>
      <c r="E940" s="112"/>
      <c r="F940" s="112"/>
      <c r="G940" s="112"/>
      <c r="H940" s="112"/>
      <c r="I940" s="112"/>
      <c r="J940" s="112"/>
      <c r="K940" s="112"/>
      <c r="L940" s="113"/>
      <c r="M940" s="25"/>
      <c r="N940" s="25"/>
      <c r="O940" s="33"/>
    </row>
    <row r="941" spans="1:15">
      <c r="B941" s="6"/>
      <c r="D941" s="7"/>
      <c r="E941" s="7"/>
      <c r="F941" s="7"/>
      <c r="G941" s="7"/>
      <c r="H941" s="7"/>
      <c r="I941" s="7"/>
      <c r="J941" s="7"/>
      <c r="K941" s="7"/>
      <c r="L941" s="7"/>
      <c r="M941" s="25"/>
      <c r="N941" s="25"/>
      <c r="O941" s="33"/>
    </row>
    <row r="942" spans="1:15" ht="18.75">
      <c r="A942" s="45" t="s">
        <v>26</v>
      </c>
      <c r="C942" s="80"/>
      <c r="D942" s="49">
        <f xml:space="preserve"> D911 + D916 - D922 + D938 + D940</f>
        <v>0</v>
      </c>
      <c r="E942" s="50">
        <f xml:space="preserve"> E911 + E916 - E922 + E938 + E940</f>
        <v>0</v>
      </c>
      <c r="F942" s="50">
        <f xml:space="preserve"> F911 + F916 - F922 + F938 + F940</f>
        <v>0</v>
      </c>
      <c r="G942" s="50">
        <f t="shared" ref="G942:H942" si="316" xml:space="preserve"> G911 + G916 - G922 + G938 + G940</f>
        <v>0</v>
      </c>
      <c r="H942" s="50">
        <f t="shared" si="316"/>
        <v>0</v>
      </c>
      <c r="I942" s="50">
        <f t="shared" ref="I942:J942" si="317" xml:space="preserve"> I911 + I916 - I922 + I938 + I940</f>
        <v>12501</v>
      </c>
      <c r="J942" s="50">
        <f t="shared" si="317"/>
        <v>3960</v>
      </c>
      <c r="K942" s="50">
        <f t="shared" ref="K942" si="318" xml:space="preserve"> K911 + K916 - K922 + K938 + K940</f>
        <v>0</v>
      </c>
      <c r="L942" s="51"/>
      <c r="M942" s="31"/>
      <c r="N942" s="31"/>
      <c r="O942" s="33"/>
    </row>
    <row r="943" spans="1:15">
      <c r="B943" s="6"/>
      <c r="D943" s="7"/>
      <c r="E943" s="7"/>
      <c r="F943" s="7"/>
      <c r="G943" s="31"/>
      <c r="H943" s="31"/>
      <c r="I943" s="31"/>
      <c r="J943" s="31"/>
      <c r="K943" s="31"/>
      <c r="L943" s="31"/>
      <c r="M943" s="31"/>
      <c r="N943" s="31"/>
      <c r="O943" s="33"/>
    </row>
    <row r="944" spans="1:15" ht="15.75" thickBot="1">
      <c r="M944" s="33"/>
      <c r="N944" s="33"/>
      <c r="O944" s="33"/>
    </row>
    <row r="945" spans="1:15">
      <c r="A945" s="8"/>
      <c r="B945" s="8"/>
      <c r="C945" s="8"/>
      <c r="D945" s="8"/>
      <c r="E945" s="8"/>
      <c r="F945" s="8"/>
      <c r="G945" s="8"/>
      <c r="H945" s="8"/>
      <c r="I945" s="8"/>
      <c r="J945" s="8"/>
      <c r="K945" s="8"/>
      <c r="L945" s="8"/>
      <c r="M945" s="33"/>
      <c r="N945" s="33"/>
      <c r="O945" s="33"/>
    </row>
    <row r="946" spans="1:15">
      <c r="B946" s="33"/>
      <c r="C946" s="33"/>
      <c r="D946" s="33"/>
      <c r="E946" s="33"/>
      <c r="F946" s="33"/>
      <c r="G946" s="33"/>
      <c r="H946" s="33"/>
      <c r="I946" s="33"/>
      <c r="J946" s="33"/>
      <c r="K946" s="33"/>
      <c r="L946" s="33"/>
    </row>
    <row r="947" spans="1:15" ht="21">
      <c r="A947" s="14" t="s">
        <v>4</v>
      </c>
      <c r="B947" s="14"/>
      <c r="C947" s="46" t="str">
        <f>B23</f>
        <v>Fighting Creek - REC Only</v>
      </c>
      <c r="D947" s="47"/>
      <c r="E947" s="24"/>
      <c r="F947" s="24"/>
      <c r="M947" s="26"/>
      <c r="N947" s="26"/>
    </row>
    <row r="948" spans="1:15">
      <c r="M948" s="25"/>
      <c r="N948" s="25"/>
    </row>
    <row r="949" spans="1:15" ht="18.75">
      <c r="A949" s="9" t="s">
        <v>21</v>
      </c>
      <c r="B949" s="9"/>
      <c r="D949" s="2">
        <f>'Facility Detail'!$B$1752</f>
        <v>2011</v>
      </c>
      <c r="E949" s="2">
        <f>D949+1</f>
        <v>2012</v>
      </c>
      <c r="F949" s="2">
        <f>E949+1</f>
        <v>2013</v>
      </c>
      <c r="G949" s="2">
        <f t="shared" ref="G949:K949" si="319">F949+1</f>
        <v>2014</v>
      </c>
      <c r="H949" s="2">
        <f t="shared" si="319"/>
        <v>2015</v>
      </c>
      <c r="I949" s="2">
        <f t="shared" si="319"/>
        <v>2016</v>
      </c>
      <c r="J949" s="2">
        <f t="shared" si="319"/>
        <v>2017</v>
      </c>
      <c r="K949" s="2">
        <f t="shared" si="319"/>
        <v>2018</v>
      </c>
      <c r="L949" s="2">
        <v>2019</v>
      </c>
      <c r="M949" s="25"/>
      <c r="N949" s="25"/>
    </row>
    <row r="950" spans="1:15">
      <c r="B950" s="88" t="str">
        <f>"Total MWh Produced / Purchased from " &amp; C947</f>
        <v>Total MWh Produced / Purchased from Fighting Creek - REC Only</v>
      </c>
      <c r="C950" s="80"/>
      <c r="D950" s="3"/>
      <c r="E950" s="4"/>
      <c r="F950" s="4"/>
      <c r="G950" s="4"/>
      <c r="H950" s="4">
        <v>730</v>
      </c>
      <c r="I950" s="4"/>
      <c r="J950" s="4"/>
      <c r="K950" s="4"/>
      <c r="L950" s="5"/>
      <c r="M950" s="25"/>
      <c r="N950" s="25"/>
    </row>
    <row r="951" spans="1:15">
      <c r="B951" s="88" t="s">
        <v>25</v>
      </c>
      <c r="C951" s="80"/>
      <c r="D951" s="62"/>
      <c r="E951" s="63"/>
      <c r="F951" s="63"/>
      <c r="G951" s="63"/>
      <c r="H951" s="63">
        <v>1</v>
      </c>
      <c r="I951" s="63"/>
      <c r="J951" s="63"/>
      <c r="K951" s="63"/>
      <c r="L951" s="64"/>
      <c r="M951" s="25"/>
      <c r="N951" s="25"/>
    </row>
    <row r="952" spans="1:15">
      <c r="B952" s="88" t="s">
        <v>20</v>
      </c>
      <c r="C952" s="80"/>
      <c r="D952" s="54"/>
      <c r="E952" s="55"/>
      <c r="F952" s="55"/>
      <c r="G952" s="55"/>
      <c r="H952" s="55">
        <v>1</v>
      </c>
      <c r="I952" s="55"/>
      <c r="J952" s="55"/>
      <c r="K952" s="55"/>
      <c r="L952" s="56"/>
      <c r="M952" s="25"/>
      <c r="N952" s="25"/>
    </row>
    <row r="953" spans="1:15">
      <c r="B953" s="85" t="s">
        <v>22</v>
      </c>
      <c r="C953" s="86"/>
      <c r="D953" s="41">
        <f xml:space="preserve"> D950 * D951 * D952</f>
        <v>0</v>
      </c>
      <c r="E953" s="41">
        <f xml:space="preserve"> E950 * E951 * E952</f>
        <v>0</v>
      </c>
      <c r="F953" s="41">
        <f xml:space="preserve"> F950 * F951 * F952</f>
        <v>0</v>
      </c>
      <c r="G953" s="41">
        <f t="shared" ref="G953:J953" si="320" xml:space="preserve"> G950 * G951 * G952</f>
        <v>0</v>
      </c>
      <c r="H953" s="41">
        <f t="shared" si="320"/>
        <v>730</v>
      </c>
      <c r="I953" s="41">
        <f t="shared" si="320"/>
        <v>0</v>
      </c>
      <c r="J953" s="41">
        <f t="shared" si="320"/>
        <v>0</v>
      </c>
      <c r="K953" s="41">
        <f t="shared" ref="K953" si="321" xml:space="preserve"> K950 * K951 * K952</f>
        <v>0</v>
      </c>
      <c r="L953" s="41"/>
      <c r="M953" s="25"/>
      <c r="N953" s="25"/>
    </row>
    <row r="954" spans="1:15">
      <c r="B954" s="24"/>
      <c r="C954" s="33"/>
      <c r="D954" s="40"/>
      <c r="E954" s="40"/>
      <c r="F954" s="40"/>
      <c r="G954" s="40"/>
      <c r="H954" s="40"/>
      <c r="I954" s="40"/>
      <c r="J954" s="40"/>
      <c r="K954" s="40"/>
      <c r="L954" s="40"/>
      <c r="M954" s="25"/>
      <c r="N954" s="25"/>
    </row>
    <row r="955" spans="1:15" ht="18.75">
      <c r="A955" s="48" t="s">
        <v>119</v>
      </c>
      <c r="C955" s="33"/>
      <c r="D955" s="2">
        <f>'Facility Detail'!$B$1752</f>
        <v>2011</v>
      </c>
      <c r="E955" s="2">
        <f>D955+1</f>
        <v>2012</v>
      </c>
      <c r="F955" s="2">
        <f>E955+1</f>
        <v>2013</v>
      </c>
      <c r="G955" s="2">
        <f t="shared" ref="G955:K955" si="322">F955+1</f>
        <v>2014</v>
      </c>
      <c r="H955" s="2">
        <f t="shared" si="322"/>
        <v>2015</v>
      </c>
      <c r="I955" s="2">
        <f t="shared" si="322"/>
        <v>2016</v>
      </c>
      <c r="J955" s="2">
        <f t="shared" si="322"/>
        <v>2017</v>
      </c>
      <c r="K955" s="2">
        <f t="shared" si="322"/>
        <v>2018</v>
      </c>
      <c r="L955" s="2">
        <v>2019</v>
      </c>
      <c r="M955" s="31"/>
      <c r="N955" s="31"/>
    </row>
    <row r="956" spans="1:15">
      <c r="B956" s="88" t="s">
        <v>10</v>
      </c>
      <c r="C956" s="80"/>
      <c r="D956" s="57">
        <f>IF( $E23 = "Eligible", D953 * 'Facility Detail'!$B$1749, 0 )</f>
        <v>0</v>
      </c>
      <c r="E956" s="11">
        <f>IF( $E23 = "Eligible", E953 * 'Facility Detail'!$B$1749, 0 )</f>
        <v>0</v>
      </c>
      <c r="F956" s="11">
        <f>IF( $E23 = "Eligible", F953 * 'Facility Detail'!$B$1749, 0 )</f>
        <v>0</v>
      </c>
      <c r="G956" s="11">
        <f>IF( $E23 = "Eligible", G953 * 'Facility Detail'!$B$1749, 0 )</f>
        <v>0</v>
      </c>
      <c r="H956" s="11">
        <f>IF( $E23 = "Eligible", H953 * 'Facility Detail'!$B$1749, 0 )</f>
        <v>0</v>
      </c>
      <c r="I956" s="11">
        <f>IF( $E23 = "Eligible", I953 * 'Facility Detail'!$B$1749, 0 )</f>
        <v>0</v>
      </c>
      <c r="J956" s="11">
        <f>IF( $E23 = "Eligible", J953 * 'Facility Detail'!$B$1749, 0 )</f>
        <v>0</v>
      </c>
      <c r="K956" s="11">
        <f>IF( $E23 = "Eligible", K953 * 'Facility Detail'!$B$1749, 0 )</f>
        <v>0</v>
      </c>
      <c r="L956" s="12"/>
    </row>
    <row r="957" spans="1:15">
      <c r="B957" s="88" t="s">
        <v>6</v>
      </c>
      <c r="C957" s="80"/>
      <c r="D957" s="58">
        <f t="shared" ref="D957:K957" si="323">IF( $F23 = "Eligible", D953, 0 )</f>
        <v>0</v>
      </c>
      <c r="E957" s="59">
        <f t="shared" si="323"/>
        <v>0</v>
      </c>
      <c r="F957" s="59">
        <f t="shared" si="323"/>
        <v>0</v>
      </c>
      <c r="G957" s="59">
        <f t="shared" si="323"/>
        <v>0</v>
      </c>
      <c r="H957" s="59">
        <f t="shared" si="323"/>
        <v>0</v>
      </c>
      <c r="I957" s="59">
        <f t="shared" si="323"/>
        <v>0</v>
      </c>
      <c r="J957" s="59">
        <f t="shared" si="323"/>
        <v>0</v>
      </c>
      <c r="K957" s="59">
        <f t="shared" si="323"/>
        <v>0</v>
      </c>
      <c r="L957" s="60"/>
    </row>
    <row r="958" spans="1:15">
      <c r="B958" s="87" t="s">
        <v>121</v>
      </c>
      <c r="C958" s="86"/>
      <c r="D958" s="43">
        <f>SUM(D956:D957)</f>
        <v>0</v>
      </c>
      <c r="E958" s="44">
        <f>SUM(E956:E957)</f>
        <v>0</v>
      </c>
      <c r="F958" s="44">
        <f>SUM(F956:F957)</f>
        <v>0</v>
      </c>
      <c r="G958" s="44">
        <f t="shared" ref="G958:I958" si="324">SUM(G956:G957)</f>
        <v>0</v>
      </c>
      <c r="H958" s="44">
        <f t="shared" si="324"/>
        <v>0</v>
      </c>
      <c r="I958" s="44">
        <f t="shared" si="324"/>
        <v>0</v>
      </c>
      <c r="J958" s="44">
        <f t="shared" ref="J958" si="325">SUM(J956:J957)</f>
        <v>0</v>
      </c>
      <c r="K958" s="44">
        <f t="shared" ref="K958" si="326">SUM(K956:K957)</f>
        <v>0</v>
      </c>
      <c r="L958" s="44"/>
    </row>
    <row r="959" spans="1:15">
      <c r="B959" s="33"/>
      <c r="C959" s="33"/>
      <c r="D959" s="42"/>
      <c r="E959" s="34"/>
      <c r="F959" s="34"/>
      <c r="G959" s="34"/>
      <c r="H959" s="34"/>
      <c r="I959" s="34"/>
      <c r="J959" s="34"/>
      <c r="K959" s="34"/>
      <c r="L959" s="34"/>
    </row>
    <row r="960" spans="1:15" ht="18.75">
      <c r="A960" s="45" t="s">
        <v>30</v>
      </c>
      <c r="C960" s="33"/>
      <c r="D960" s="2">
        <f>'Facility Detail'!$B$1752</f>
        <v>2011</v>
      </c>
      <c r="E960" s="2">
        <f>D960+1</f>
        <v>2012</v>
      </c>
      <c r="F960" s="2">
        <f>E960+1</f>
        <v>2013</v>
      </c>
      <c r="G960" s="2">
        <f t="shared" ref="G960:K960" si="327">F960+1</f>
        <v>2014</v>
      </c>
      <c r="H960" s="2">
        <f t="shared" si="327"/>
        <v>2015</v>
      </c>
      <c r="I960" s="2">
        <f t="shared" si="327"/>
        <v>2016</v>
      </c>
      <c r="J960" s="2">
        <f t="shared" si="327"/>
        <v>2017</v>
      </c>
      <c r="K960" s="2">
        <f t="shared" si="327"/>
        <v>2018</v>
      </c>
      <c r="L960" s="2">
        <v>2019</v>
      </c>
    </row>
    <row r="961" spans="1:12">
      <c r="B961" s="88" t="s">
        <v>47</v>
      </c>
      <c r="C961" s="80"/>
      <c r="D961" s="98"/>
      <c r="E961" s="99"/>
      <c r="F961" s="99"/>
      <c r="G961" s="99"/>
      <c r="H961" s="99"/>
      <c r="I961" s="99"/>
      <c r="J961" s="99"/>
      <c r="K961" s="99"/>
      <c r="L961" s="100"/>
    </row>
    <row r="962" spans="1:12">
      <c r="B962" s="89" t="s">
        <v>23</v>
      </c>
      <c r="C962" s="207"/>
      <c r="D962" s="101"/>
      <c r="E962" s="102"/>
      <c r="F962" s="102"/>
      <c r="G962" s="102"/>
      <c r="H962" s="102"/>
      <c r="I962" s="102"/>
      <c r="J962" s="102"/>
      <c r="K962" s="102"/>
      <c r="L962" s="103"/>
    </row>
    <row r="963" spans="1:12">
      <c r="B963" s="104" t="s">
        <v>89</v>
      </c>
      <c r="C963" s="205"/>
      <c r="D963" s="65"/>
      <c r="E963" s="66"/>
      <c r="F963" s="66"/>
      <c r="G963" s="66"/>
      <c r="H963" s="66"/>
      <c r="I963" s="66"/>
      <c r="J963" s="66"/>
      <c r="K963" s="66"/>
      <c r="L963" s="67"/>
    </row>
    <row r="964" spans="1:12">
      <c r="B964" s="36" t="s">
        <v>90</v>
      </c>
      <c r="D964" s="7">
        <f>SUM(D961:D963)</f>
        <v>0</v>
      </c>
      <c r="E964" s="7">
        <f>SUM(E961:E963)</f>
        <v>0</v>
      </c>
      <c r="F964" s="7">
        <f>SUM(F961:F963)</f>
        <v>0</v>
      </c>
      <c r="G964" s="7">
        <f t="shared" ref="G964:I964" si="328">SUM(G961:G963)</f>
        <v>0</v>
      </c>
      <c r="H964" s="7">
        <f t="shared" si="328"/>
        <v>0</v>
      </c>
      <c r="I964" s="7">
        <f t="shared" si="328"/>
        <v>0</v>
      </c>
      <c r="J964" s="7">
        <f t="shared" ref="J964" si="329">SUM(J961:J963)</f>
        <v>0</v>
      </c>
      <c r="K964" s="7">
        <f t="shared" ref="K964" si="330">SUM(K961:K963)</f>
        <v>0</v>
      </c>
      <c r="L964" s="7"/>
    </row>
    <row r="965" spans="1:12">
      <c r="B965" s="6"/>
      <c r="D965" s="7"/>
      <c r="E965" s="7"/>
      <c r="F965" s="7"/>
      <c r="G965" s="7"/>
      <c r="H965" s="7"/>
      <c r="I965" s="7"/>
      <c r="J965" s="7"/>
      <c r="K965" s="7"/>
      <c r="L965" s="7"/>
    </row>
    <row r="966" spans="1:12" ht="18.75">
      <c r="A966" s="9" t="s">
        <v>100</v>
      </c>
      <c r="D966" s="2">
        <f>'Facility Detail'!$B$1752</f>
        <v>2011</v>
      </c>
      <c r="E966" s="2">
        <f>D966+1</f>
        <v>2012</v>
      </c>
      <c r="F966" s="2">
        <f>E966+1</f>
        <v>2013</v>
      </c>
      <c r="G966" s="2">
        <f t="shared" ref="G966:K966" si="331">F966+1</f>
        <v>2014</v>
      </c>
      <c r="H966" s="2">
        <f t="shared" si="331"/>
        <v>2015</v>
      </c>
      <c r="I966" s="2">
        <f t="shared" si="331"/>
        <v>2016</v>
      </c>
      <c r="J966" s="2">
        <f t="shared" si="331"/>
        <v>2017</v>
      </c>
      <c r="K966" s="2">
        <f t="shared" si="331"/>
        <v>2018</v>
      </c>
      <c r="L966" s="2">
        <v>2019</v>
      </c>
    </row>
    <row r="967" spans="1:12">
      <c r="B967" s="88" t="s">
        <v>68</v>
      </c>
      <c r="C967" s="80"/>
      <c r="D967" s="3"/>
      <c r="E967" s="68">
        <f>D967</f>
        <v>0</v>
      </c>
      <c r="F967" s="152"/>
      <c r="G967" s="152"/>
      <c r="H967" s="152"/>
      <c r="I967" s="152"/>
      <c r="J967" s="152"/>
      <c r="K967" s="152"/>
      <c r="L967" s="69"/>
    </row>
    <row r="968" spans="1:12">
      <c r="B968" s="88" t="s">
        <v>69</v>
      </c>
      <c r="C968" s="80"/>
      <c r="D968" s="189">
        <f>E968</f>
        <v>0</v>
      </c>
      <c r="E968" s="10"/>
      <c r="F968" s="83"/>
      <c r="G968" s="83"/>
      <c r="H968" s="83"/>
      <c r="I968" s="83"/>
      <c r="J968" s="83"/>
      <c r="K968" s="83"/>
      <c r="L968" s="190"/>
    </row>
    <row r="969" spans="1:12">
      <c r="B969" s="88" t="s">
        <v>70</v>
      </c>
      <c r="C969" s="80"/>
      <c r="D969" s="70"/>
      <c r="E969" s="10">
        <f>E953</f>
        <v>0</v>
      </c>
      <c r="F969" s="79">
        <f>E969</f>
        <v>0</v>
      </c>
      <c r="G969" s="83"/>
      <c r="H969" s="83"/>
      <c r="I969" s="83"/>
      <c r="J969" s="83"/>
      <c r="K969" s="83"/>
      <c r="L969" s="190"/>
    </row>
    <row r="970" spans="1:12">
      <c r="B970" s="88" t="s">
        <v>71</v>
      </c>
      <c r="C970" s="80"/>
      <c r="D970" s="70"/>
      <c r="E970" s="79">
        <f>F970</f>
        <v>0</v>
      </c>
      <c r="F970" s="188"/>
      <c r="G970" s="83"/>
      <c r="H970" s="83"/>
      <c r="I970" s="83"/>
      <c r="J970" s="83"/>
      <c r="K970" s="83"/>
      <c r="L970" s="190"/>
    </row>
    <row r="971" spans="1:12">
      <c r="B971" s="88" t="s">
        <v>194</v>
      </c>
      <c r="C971" s="80"/>
      <c r="D971" s="70"/>
      <c r="E971" s="172"/>
      <c r="F971" s="10">
        <f>F953</f>
        <v>0</v>
      </c>
      <c r="G971" s="173">
        <f>F971</f>
        <v>0</v>
      </c>
      <c r="H971" s="83"/>
      <c r="I971" s="83"/>
      <c r="J971" s="83"/>
      <c r="K971" s="83"/>
      <c r="L971" s="190"/>
    </row>
    <row r="972" spans="1:12">
      <c r="B972" s="88" t="s">
        <v>195</v>
      </c>
      <c r="C972" s="80"/>
      <c r="D972" s="70"/>
      <c r="E972" s="172"/>
      <c r="F972" s="79">
        <f>G972</f>
        <v>0</v>
      </c>
      <c r="G972" s="10"/>
      <c r="H972" s="83"/>
      <c r="I972" s="83"/>
      <c r="J972" s="83"/>
      <c r="K972" s="83"/>
      <c r="L972" s="190"/>
    </row>
    <row r="973" spans="1:12">
      <c r="B973" s="88" t="s">
        <v>196</v>
      </c>
      <c r="C973" s="80"/>
      <c r="D973" s="70"/>
      <c r="E973" s="172"/>
      <c r="F973" s="172"/>
      <c r="G973" s="10">
        <f>G953</f>
        <v>0</v>
      </c>
      <c r="H973" s="173">
        <f>G973</f>
        <v>0</v>
      </c>
      <c r="I973" s="172">
        <f>H973</f>
        <v>0</v>
      </c>
      <c r="J973" s="172"/>
      <c r="K973" s="172"/>
      <c r="L973" s="176"/>
    </row>
    <row r="974" spans="1:12">
      <c r="B974" s="88" t="s">
        <v>197</v>
      </c>
      <c r="C974" s="80"/>
      <c r="D974" s="70"/>
      <c r="E974" s="172"/>
      <c r="F974" s="172"/>
      <c r="G974" s="174">
        <f>H974</f>
        <v>0</v>
      </c>
      <c r="H974" s="175"/>
      <c r="I974" s="172"/>
      <c r="J974" s="172"/>
      <c r="K974" s="172"/>
      <c r="L974" s="176"/>
    </row>
    <row r="975" spans="1:12">
      <c r="B975" s="88" t="s">
        <v>198</v>
      </c>
      <c r="C975" s="80"/>
      <c r="D975" s="70"/>
      <c r="E975" s="172"/>
      <c r="F975" s="172"/>
      <c r="G975" s="172"/>
      <c r="H975" s="175">
        <f>H953</f>
        <v>730</v>
      </c>
      <c r="I975" s="173">
        <f>H975</f>
        <v>730</v>
      </c>
      <c r="J975" s="173"/>
      <c r="K975" s="173"/>
      <c r="L975" s="353"/>
    </row>
    <row r="976" spans="1:12">
      <c r="B976" s="88" t="s">
        <v>199</v>
      </c>
      <c r="C976" s="33"/>
      <c r="D976" s="70"/>
      <c r="E976" s="172"/>
      <c r="F976" s="172"/>
      <c r="G976" s="172"/>
      <c r="H976" s="79">
        <f>I976</f>
        <v>0</v>
      </c>
      <c r="I976" s="175"/>
      <c r="J976" s="175"/>
      <c r="K976" s="175"/>
      <c r="L976" s="354"/>
    </row>
    <row r="977" spans="1:12">
      <c r="B977" s="88" t="s">
        <v>200</v>
      </c>
      <c r="C977" s="33"/>
      <c r="D977" s="70"/>
      <c r="E977" s="172"/>
      <c r="F977" s="172"/>
      <c r="G977" s="172"/>
      <c r="H977" s="172"/>
      <c r="I977" s="175">
        <f>I953</f>
        <v>0</v>
      </c>
      <c r="J977" s="175">
        <f>I977</f>
        <v>0</v>
      </c>
      <c r="K977" s="175">
        <f>J977</f>
        <v>0</v>
      </c>
      <c r="L977" s="354"/>
    </row>
    <row r="978" spans="1:12">
      <c r="B978" s="88" t="s">
        <v>191</v>
      </c>
      <c r="C978" s="33"/>
      <c r="D978" s="70"/>
      <c r="E978" s="172"/>
      <c r="F978" s="172"/>
      <c r="G978" s="172"/>
      <c r="H978" s="172"/>
      <c r="I978" s="270"/>
      <c r="J978" s="270"/>
      <c r="K978" s="270"/>
      <c r="L978" s="355"/>
    </row>
    <row r="979" spans="1:12">
      <c r="B979" s="88" t="s">
        <v>192</v>
      </c>
      <c r="C979" s="33"/>
      <c r="D979" s="71"/>
      <c r="E979" s="154"/>
      <c r="F979" s="154"/>
      <c r="G979" s="154"/>
      <c r="H979" s="154"/>
      <c r="I979" s="154"/>
      <c r="J979" s="154"/>
      <c r="K979" s="154"/>
      <c r="L979" s="352"/>
    </row>
    <row r="980" spans="1:12">
      <c r="B980" s="36" t="s">
        <v>17</v>
      </c>
      <c r="D980" s="214">
        <f xml:space="preserve"> D973 - D972</f>
        <v>0</v>
      </c>
      <c r="E980" s="214">
        <f xml:space="preserve"> E972 + E975 - E974 - E973</f>
        <v>0</v>
      </c>
      <c r="F980" s="214">
        <f>F969-F970-F971</f>
        <v>0</v>
      </c>
      <c r="G980" s="214">
        <f>G971-G972-G973</f>
        <v>0</v>
      </c>
      <c r="H980" s="214">
        <f>H973-H974-H975</f>
        <v>-730</v>
      </c>
      <c r="I980" s="214">
        <f>I975-I976-I977</f>
        <v>730</v>
      </c>
      <c r="J980" s="214">
        <f>J977</f>
        <v>0</v>
      </c>
      <c r="K980" s="214">
        <f>K977</f>
        <v>0</v>
      </c>
      <c r="L980" s="214"/>
    </row>
    <row r="981" spans="1:12">
      <c r="B981" s="6"/>
      <c r="D981" s="7"/>
      <c r="E981" s="7"/>
      <c r="F981" s="7"/>
      <c r="G981" s="7"/>
      <c r="H981" s="7"/>
      <c r="I981" s="7"/>
      <c r="J981" s="7"/>
      <c r="K981" s="7"/>
      <c r="L981" s="7"/>
    </row>
    <row r="982" spans="1:12">
      <c r="B982" s="85" t="s">
        <v>12</v>
      </c>
      <c r="C982" s="80"/>
      <c r="D982" s="111"/>
      <c r="E982" s="112"/>
      <c r="F982" s="112"/>
      <c r="G982" s="112"/>
      <c r="H982" s="112"/>
      <c r="I982" s="112"/>
      <c r="J982" s="112"/>
      <c r="K982" s="112"/>
      <c r="L982" s="113"/>
    </row>
    <row r="983" spans="1:12">
      <c r="B983" s="6"/>
      <c r="D983" s="7"/>
      <c r="E983" s="7"/>
      <c r="F983" s="7"/>
      <c r="G983" s="7"/>
      <c r="H983" s="7"/>
      <c r="I983" s="7"/>
      <c r="J983" s="7"/>
      <c r="K983" s="7"/>
      <c r="L983" s="7"/>
    </row>
    <row r="984" spans="1:12" ht="18.75">
      <c r="A984" s="45" t="s">
        <v>26</v>
      </c>
      <c r="C984" s="80"/>
      <c r="D984" s="49">
        <f xml:space="preserve"> D953 + D958 - D964 + D980 + D982</f>
        <v>0</v>
      </c>
      <c r="E984" s="50">
        <f xml:space="preserve"> E953 + E958 - E964 + E980 + E982</f>
        <v>0</v>
      </c>
      <c r="F984" s="50">
        <f t="shared" ref="F984:J984" si="332" xml:space="preserve"> F953 + F958 - F964 + F980 + F982</f>
        <v>0</v>
      </c>
      <c r="G984" s="50">
        <f t="shared" si="332"/>
        <v>0</v>
      </c>
      <c r="H984" s="50">
        <f t="shared" si="332"/>
        <v>0</v>
      </c>
      <c r="I984" s="50">
        <f t="shared" si="332"/>
        <v>730</v>
      </c>
      <c r="J984" s="50">
        <f t="shared" si="332"/>
        <v>0</v>
      </c>
      <c r="K984" s="50">
        <f t="shared" ref="K984" si="333" xml:space="preserve"> K953 + K958 - K964 + K980 + K982</f>
        <v>0</v>
      </c>
      <c r="L984" s="51"/>
    </row>
    <row r="985" spans="1:12">
      <c r="B985" s="6"/>
      <c r="D985" s="7"/>
      <c r="E985" s="7"/>
      <c r="F985" s="7"/>
      <c r="G985" s="31"/>
      <c r="H985" s="31"/>
      <c r="I985" s="31"/>
      <c r="J985" s="31"/>
      <c r="K985" s="31"/>
      <c r="L985" s="31"/>
    </row>
    <row r="986" spans="1:12" ht="15.75" thickBot="1"/>
    <row r="987" spans="1:12">
      <c r="A987" s="8"/>
      <c r="B987" s="8"/>
      <c r="C987" s="8"/>
      <c r="D987" s="8"/>
      <c r="E987" s="8"/>
      <c r="F987" s="8"/>
      <c r="G987" s="8"/>
      <c r="H987" s="8"/>
      <c r="I987" s="8"/>
      <c r="J987" s="8"/>
      <c r="K987" s="8"/>
      <c r="L987" s="8"/>
    </row>
    <row r="988" spans="1:12">
      <c r="B988" s="33"/>
      <c r="C988" s="33"/>
      <c r="D988" s="33"/>
      <c r="E988" s="33"/>
      <c r="F988" s="33"/>
      <c r="G988" s="33"/>
      <c r="H988" s="33"/>
      <c r="I988" s="33"/>
      <c r="J988" s="33"/>
      <c r="K988" s="33"/>
      <c r="L988" s="33"/>
    </row>
    <row r="989" spans="1:12" ht="21">
      <c r="A989" s="14" t="s">
        <v>4</v>
      </c>
      <c r="B989" s="14"/>
      <c r="C989" s="46" t="str">
        <f>B24</f>
        <v>Lower Snake – Phalen Gulch - REC Only</v>
      </c>
      <c r="D989" s="47"/>
      <c r="E989" s="24"/>
      <c r="F989" s="24"/>
    </row>
    <row r="991" spans="1:12" ht="18.75">
      <c r="A991" s="9" t="s">
        <v>21</v>
      </c>
      <c r="B991" s="9"/>
      <c r="D991" s="2">
        <f>'Facility Detail'!$B$1752</f>
        <v>2011</v>
      </c>
      <c r="E991" s="2">
        <f>D991+1</f>
        <v>2012</v>
      </c>
      <c r="F991" s="2">
        <f>E991+1</f>
        <v>2013</v>
      </c>
      <c r="G991" s="2">
        <f t="shared" ref="G991:K991" si="334">F991+1</f>
        <v>2014</v>
      </c>
      <c r="H991" s="2">
        <f t="shared" si="334"/>
        <v>2015</v>
      </c>
      <c r="I991" s="2">
        <f t="shared" si="334"/>
        <v>2016</v>
      </c>
      <c r="J991" s="2">
        <f t="shared" si="334"/>
        <v>2017</v>
      </c>
      <c r="K991" s="2">
        <f t="shared" si="334"/>
        <v>2018</v>
      </c>
      <c r="L991" s="2">
        <v>2019</v>
      </c>
    </row>
    <row r="992" spans="1:12">
      <c r="B992" s="88" t="str">
        <f>"Total MWh Produced / Purchased from " &amp; C989</f>
        <v>Total MWh Produced / Purchased from Lower Snake – Phalen Gulch - REC Only</v>
      </c>
      <c r="C992" s="80"/>
      <c r="D992" s="3"/>
      <c r="E992" s="4"/>
      <c r="F992" s="4"/>
      <c r="G992" s="4"/>
      <c r="H992" s="4">
        <v>1300</v>
      </c>
      <c r="I992" s="4"/>
      <c r="J992" s="4"/>
      <c r="K992" s="4"/>
      <c r="L992" s="5"/>
    </row>
    <row r="993" spans="1:12">
      <c r="B993" s="88" t="s">
        <v>25</v>
      </c>
      <c r="C993" s="80"/>
      <c r="D993" s="62"/>
      <c r="E993" s="63"/>
      <c r="F993" s="63"/>
      <c r="G993" s="63"/>
      <c r="H993" s="63">
        <v>1</v>
      </c>
      <c r="I993" s="63"/>
      <c r="J993" s="63">
        <v>1</v>
      </c>
      <c r="K993" s="63">
        <v>1</v>
      </c>
      <c r="L993" s="64"/>
    </row>
    <row r="994" spans="1:12">
      <c r="B994" s="88" t="s">
        <v>20</v>
      </c>
      <c r="C994" s="80"/>
      <c r="D994" s="54"/>
      <c r="E994" s="55"/>
      <c r="F994" s="55"/>
      <c r="G994" s="55"/>
      <c r="H994" s="55">
        <v>1</v>
      </c>
      <c r="I994" s="55"/>
      <c r="J994" s="55"/>
      <c r="K994" s="55"/>
      <c r="L994" s="56"/>
    </row>
    <row r="995" spans="1:12">
      <c r="B995" s="85" t="s">
        <v>22</v>
      </c>
      <c r="C995" s="86"/>
      <c r="D995" s="41">
        <f xml:space="preserve"> D992 * D993 * D994</f>
        <v>0</v>
      </c>
      <c r="E995" s="41">
        <f xml:space="preserve"> E992 * E993 * E994</f>
        <v>0</v>
      </c>
      <c r="F995" s="41">
        <f xml:space="preserve"> F992 * F993 * F994</f>
        <v>0</v>
      </c>
      <c r="G995" s="41">
        <f t="shared" ref="G995:J995" si="335" xml:space="preserve"> G992 * G993 * G994</f>
        <v>0</v>
      </c>
      <c r="H995" s="41">
        <f t="shared" si="335"/>
        <v>1300</v>
      </c>
      <c r="I995" s="41">
        <f t="shared" si="335"/>
        <v>0</v>
      </c>
      <c r="J995" s="41">
        <f t="shared" si="335"/>
        <v>0</v>
      </c>
      <c r="K995" s="41">
        <f t="shared" ref="K995" si="336" xml:space="preserve"> K992 * K993 * K994</f>
        <v>0</v>
      </c>
      <c r="L995" s="41"/>
    </row>
    <row r="996" spans="1:12">
      <c r="B996" s="24"/>
      <c r="C996" s="33"/>
      <c r="D996" s="40"/>
      <c r="E996" s="40"/>
      <c r="F996" s="40"/>
      <c r="G996" s="40"/>
      <c r="H996" s="40"/>
      <c r="I996" s="40"/>
      <c r="J996" s="40"/>
      <c r="K996" s="40"/>
      <c r="L996" s="40"/>
    </row>
    <row r="997" spans="1:12" ht="18.75">
      <c r="A997" s="48" t="s">
        <v>119</v>
      </c>
      <c r="C997" s="33"/>
      <c r="D997" s="2">
        <f>'Facility Detail'!$B$1752</f>
        <v>2011</v>
      </c>
      <c r="E997" s="2">
        <f>D997+1</f>
        <v>2012</v>
      </c>
      <c r="F997" s="2">
        <f>E997+1</f>
        <v>2013</v>
      </c>
      <c r="G997" s="2">
        <f t="shared" ref="G997:K997" si="337">F997+1</f>
        <v>2014</v>
      </c>
      <c r="H997" s="2">
        <f t="shared" si="337"/>
        <v>2015</v>
      </c>
      <c r="I997" s="2">
        <f t="shared" si="337"/>
        <v>2016</v>
      </c>
      <c r="J997" s="2">
        <f t="shared" si="337"/>
        <v>2017</v>
      </c>
      <c r="K997" s="2">
        <f t="shared" si="337"/>
        <v>2018</v>
      </c>
      <c r="L997" s="2">
        <v>2019</v>
      </c>
    </row>
    <row r="998" spans="1:12">
      <c r="B998" s="88" t="s">
        <v>10</v>
      </c>
      <c r="C998" s="80"/>
      <c r="D998" s="57">
        <f>IF( $E24 = "Eligible", D995 * 'Facility Detail'!$B$1749, 0 )</f>
        <v>0</v>
      </c>
      <c r="E998" s="11">
        <f>IF( $E24 = "Eligible", E995 * 'Facility Detail'!$B$1749, 0 )</f>
        <v>0</v>
      </c>
      <c r="F998" s="11">
        <f>IF( $E24 = "Eligible", F995 * 'Facility Detail'!$B$1749, 0 )</f>
        <v>0</v>
      </c>
      <c r="G998" s="11">
        <f>IF( $E24 = "Eligible", G995 * 'Facility Detail'!$B$1749, 0 )</f>
        <v>0</v>
      </c>
      <c r="H998" s="11">
        <f>IF( $E24 = "Eligible", H995 * 'Facility Detail'!$B$1749, 0 )</f>
        <v>0</v>
      </c>
      <c r="I998" s="11">
        <f>IF( $E24 = "Eligible", I995 * 'Facility Detail'!$B$1749, 0 )</f>
        <v>0</v>
      </c>
      <c r="J998" s="11">
        <f>IF( $E24 = "Eligible", J995 * 'Facility Detail'!$B$1749, 0 )</f>
        <v>0</v>
      </c>
      <c r="K998" s="11">
        <f>IF( $E24 = "Eligible", K995 * 'Facility Detail'!$B$1749, 0 )</f>
        <v>0</v>
      </c>
      <c r="L998" s="12"/>
    </row>
    <row r="999" spans="1:12">
      <c r="B999" s="88" t="s">
        <v>6</v>
      </c>
      <c r="C999" s="80"/>
      <c r="D999" s="58">
        <f t="shared" ref="D999:K999" si="338">IF( $F24 = "Eligible", D995, 0 )</f>
        <v>0</v>
      </c>
      <c r="E999" s="59">
        <f t="shared" si="338"/>
        <v>0</v>
      </c>
      <c r="F999" s="59">
        <f t="shared" si="338"/>
        <v>0</v>
      </c>
      <c r="G999" s="59">
        <f t="shared" si="338"/>
        <v>0</v>
      </c>
      <c r="H999" s="59">
        <f t="shared" si="338"/>
        <v>0</v>
      </c>
      <c r="I999" s="59">
        <f t="shared" si="338"/>
        <v>0</v>
      </c>
      <c r="J999" s="59">
        <f t="shared" si="338"/>
        <v>0</v>
      </c>
      <c r="K999" s="59">
        <f t="shared" si="338"/>
        <v>0</v>
      </c>
      <c r="L999" s="60"/>
    </row>
    <row r="1000" spans="1:12">
      <c r="B1000" s="87" t="s">
        <v>121</v>
      </c>
      <c r="C1000" s="86"/>
      <c r="D1000" s="43">
        <f>SUM(D998:D999)</f>
        <v>0</v>
      </c>
      <c r="E1000" s="44">
        <f>SUM(E998:E999)</f>
        <v>0</v>
      </c>
      <c r="F1000" s="44">
        <f>SUM(F998:F999)</f>
        <v>0</v>
      </c>
      <c r="G1000" s="44">
        <f t="shared" ref="G1000:I1000" si="339">SUM(G998:G999)</f>
        <v>0</v>
      </c>
      <c r="H1000" s="44">
        <f t="shared" si="339"/>
        <v>0</v>
      </c>
      <c r="I1000" s="44">
        <f t="shared" si="339"/>
        <v>0</v>
      </c>
      <c r="J1000" s="44">
        <f t="shared" ref="J1000" si="340">SUM(J998:J999)</f>
        <v>0</v>
      </c>
      <c r="K1000" s="44">
        <f t="shared" ref="K1000" si="341">SUM(K998:K999)</f>
        <v>0</v>
      </c>
      <c r="L1000" s="44"/>
    </row>
    <row r="1001" spans="1:12">
      <c r="B1001" s="33"/>
      <c r="C1001" s="33"/>
      <c r="D1001" s="42"/>
      <c r="E1001" s="34"/>
      <c r="F1001" s="34"/>
      <c r="G1001" s="34"/>
      <c r="H1001" s="34"/>
      <c r="I1001" s="34"/>
      <c r="J1001" s="34"/>
      <c r="K1001" s="34"/>
      <c r="L1001" s="34"/>
    </row>
    <row r="1002" spans="1:12" ht="18.75">
      <c r="A1002" s="45" t="s">
        <v>30</v>
      </c>
      <c r="C1002" s="33"/>
      <c r="D1002" s="2">
        <f>'Facility Detail'!$B$1752</f>
        <v>2011</v>
      </c>
      <c r="E1002" s="2">
        <f>D1002+1</f>
        <v>2012</v>
      </c>
      <c r="F1002" s="2">
        <f>E1002+1</f>
        <v>2013</v>
      </c>
      <c r="G1002" s="2">
        <f t="shared" ref="G1002:K1002" si="342">F1002+1</f>
        <v>2014</v>
      </c>
      <c r="H1002" s="2">
        <f t="shared" si="342"/>
        <v>2015</v>
      </c>
      <c r="I1002" s="2">
        <f t="shared" si="342"/>
        <v>2016</v>
      </c>
      <c r="J1002" s="2">
        <f t="shared" si="342"/>
        <v>2017</v>
      </c>
      <c r="K1002" s="2">
        <f t="shared" si="342"/>
        <v>2018</v>
      </c>
      <c r="L1002" s="2">
        <v>2019</v>
      </c>
    </row>
    <row r="1003" spans="1:12">
      <c r="B1003" s="88" t="s">
        <v>47</v>
      </c>
      <c r="C1003" s="80"/>
      <c r="D1003" s="98"/>
      <c r="E1003" s="99"/>
      <c r="F1003" s="99"/>
      <c r="G1003" s="99"/>
      <c r="H1003" s="99"/>
      <c r="I1003" s="99"/>
      <c r="J1003" s="99"/>
      <c r="K1003" s="99"/>
      <c r="L1003" s="100"/>
    </row>
    <row r="1004" spans="1:12">
      <c r="B1004" s="89" t="s">
        <v>23</v>
      </c>
      <c r="C1004" s="207"/>
      <c r="D1004" s="101"/>
      <c r="E1004" s="102"/>
      <c r="F1004" s="102"/>
      <c r="G1004" s="102"/>
      <c r="H1004" s="102"/>
      <c r="I1004" s="102"/>
      <c r="J1004" s="102"/>
      <c r="K1004" s="102"/>
      <c r="L1004" s="103"/>
    </row>
    <row r="1005" spans="1:12">
      <c r="B1005" s="104" t="s">
        <v>89</v>
      </c>
      <c r="C1005" s="205"/>
      <c r="D1005" s="65"/>
      <c r="E1005" s="66"/>
      <c r="F1005" s="66"/>
      <c r="G1005" s="66"/>
      <c r="H1005" s="66"/>
      <c r="I1005" s="66"/>
      <c r="J1005" s="66"/>
      <c r="K1005" s="66"/>
      <c r="L1005" s="67"/>
    </row>
    <row r="1006" spans="1:12">
      <c r="B1006" s="36" t="s">
        <v>90</v>
      </c>
      <c r="D1006" s="7">
        <f>SUM(D1003:D1005)</f>
        <v>0</v>
      </c>
      <c r="E1006" s="7">
        <f>SUM(E1003:E1005)</f>
        <v>0</v>
      </c>
      <c r="F1006" s="7">
        <f>SUM(F1003:F1005)</f>
        <v>0</v>
      </c>
      <c r="G1006" s="7">
        <f t="shared" ref="G1006:I1006" si="343">SUM(G1003:G1005)</f>
        <v>0</v>
      </c>
      <c r="H1006" s="7">
        <f t="shared" si="343"/>
        <v>0</v>
      </c>
      <c r="I1006" s="7">
        <f t="shared" si="343"/>
        <v>0</v>
      </c>
      <c r="J1006" s="7">
        <f t="shared" ref="J1006" si="344">SUM(J1003:J1005)</f>
        <v>0</v>
      </c>
      <c r="K1006" s="7">
        <f t="shared" ref="K1006" si="345">SUM(K1003:K1005)</f>
        <v>0</v>
      </c>
      <c r="L1006" s="7"/>
    </row>
    <row r="1007" spans="1:12">
      <c r="B1007" s="6"/>
      <c r="D1007" s="7"/>
      <c r="E1007" s="7"/>
      <c r="F1007" s="7"/>
      <c r="G1007" s="7"/>
      <c r="H1007" s="7"/>
      <c r="I1007" s="7"/>
      <c r="J1007" s="7"/>
      <c r="K1007" s="7"/>
      <c r="L1007" s="7"/>
    </row>
    <row r="1008" spans="1:12" ht="18.75">
      <c r="A1008" s="9" t="s">
        <v>100</v>
      </c>
      <c r="D1008" s="2">
        <f>'Facility Detail'!$B$1752</f>
        <v>2011</v>
      </c>
      <c r="E1008" s="2">
        <f>D1008+1</f>
        <v>2012</v>
      </c>
      <c r="F1008" s="2">
        <f>E1008+1</f>
        <v>2013</v>
      </c>
      <c r="G1008" s="2">
        <f t="shared" ref="G1008:K1008" si="346">F1008+1</f>
        <v>2014</v>
      </c>
      <c r="H1008" s="2">
        <f t="shared" si="346"/>
        <v>2015</v>
      </c>
      <c r="I1008" s="2">
        <f t="shared" si="346"/>
        <v>2016</v>
      </c>
      <c r="J1008" s="2">
        <f t="shared" si="346"/>
        <v>2017</v>
      </c>
      <c r="K1008" s="2">
        <f t="shared" si="346"/>
        <v>2018</v>
      </c>
      <c r="L1008" s="2">
        <v>2019</v>
      </c>
    </row>
    <row r="1009" spans="2:12">
      <c r="B1009" s="88" t="s">
        <v>68</v>
      </c>
      <c r="C1009" s="80"/>
      <c r="D1009" s="3"/>
      <c r="E1009" s="68">
        <f>D1009</f>
        <v>0</v>
      </c>
      <c r="F1009" s="152"/>
      <c r="G1009" s="152"/>
      <c r="H1009" s="152"/>
      <c r="I1009" s="152"/>
      <c r="J1009" s="152"/>
      <c r="K1009" s="152"/>
      <c r="L1009" s="69"/>
    </row>
    <row r="1010" spans="2:12">
      <c r="B1010" s="88" t="s">
        <v>69</v>
      </c>
      <c r="C1010" s="80"/>
      <c r="D1010" s="189">
        <f>E1010</f>
        <v>0</v>
      </c>
      <c r="E1010" s="10"/>
      <c r="F1010" s="83"/>
      <c r="G1010" s="83"/>
      <c r="H1010" s="83"/>
      <c r="I1010" s="83"/>
      <c r="J1010" s="83"/>
      <c r="K1010" s="83"/>
      <c r="L1010" s="190"/>
    </row>
    <row r="1011" spans="2:12">
      <c r="B1011" s="88" t="s">
        <v>70</v>
      </c>
      <c r="C1011" s="80"/>
      <c r="D1011" s="70"/>
      <c r="E1011" s="10">
        <f>E995</f>
        <v>0</v>
      </c>
      <c r="F1011" s="79">
        <f>E1011</f>
        <v>0</v>
      </c>
      <c r="G1011" s="83"/>
      <c r="H1011" s="83"/>
      <c r="I1011" s="83"/>
      <c r="J1011" s="83"/>
      <c r="K1011" s="83"/>
      <c r="L1011" s="190"/>
    </row>
    <row r="1012" spans="2:12">
      <c r="B1012" s="88" t="s">
        <v>71</v>
      </c>
      <c r="C1012" s="80"/>
      <c r="D1012" s="70"/>
      <c r="E1012" s="79">
        <f>F1012</f>
        <v>0</v>
      </c>
      <c r="F1012" s="188"/>
      <c r="G1012" s="83"/>
      <c r="H1012" s="83"/>
      <c r="I1012" s="83"/>
      <c r="J1012" s="83"/>
      <c r="K1012" s="83"/>
      <c r="L1012" s="190"/>
    </row>
    <row r="1013" spans="2:12">
      <c r="B1013" s="88" t="s">
        <v>194</v>
      </c>
      <c r="C1013" s="33"/>
      <c r="D1013" s="70"/>
      <c r="E1013" s="172"/>
      <c r="F1013" s="10">
        <f>F995</f>
        <v>0</v>
      </c>
      <c r="G1013" s="173">
        <f>F1013</f>
        <v>0</v>
      </c>
      <c r="H1013" s="83"/>
      <c r="I1013" s="83"/>
      <c r="J1013" s="83"/>
      <c r="K1013" s="83"/>
      <c r="L1013" s="190"/>
    </row>
    <row r="1014" spans="2:12">
      <c r="B1014" s="88" t="s">
        <v>195</v>
      </c>
      <c r="C1014" s="33"/>
      <c r="D1014" s="70"/>
      <c r="E1014" s="172"/>
      <c r="F1014" s="79">
        <f>G1014</f>
        <v>0</v>
      </c>
      <c r="G1014" s="10"/>
      <c r="H1014" s="83"/>
      <c r="I1014" s="83"/>
      <c r="J1014" s="83"/>
      <c r="K1014" s="83"/>
      <c r="L1014" s="190"/>
    </row>
    <row r="1015" spans="2:12">
      <c r="B1015" s="88" t="s">
        <v>196</v>
      </c>
      <c r="C1015" s="33"/>
      <c r="D1015" s="70"/>
      <c r="E1015" s="172"/>
      <c r="F1015" s="172"/>
      <c r="G1015" s="10">
        <f>G995</f>
        <v>0</v>
      </c>
      <c r="H1015" s="173">
        <f>G1015</f>
        <v>0</v>
      </c>
      <c r="I1015" s="172">
        <f>H1015</f>
        <v>0</v>
      </c>
      <c r="J1015" s="172"/>
      <c r="K1015" s="172"/>
      <c r="L1015" s="176"/>
    </row>
    <row r="1016" spans="2:12">
      <c r="B1016" s="88" t="s">
        <v>197</v>
      </c>
      <c r="C1016" s="33"/>
      <c r="D1016" s="70"/>
      <c r="E1016" s="172"/>
      <c r="F1016" s="172"/>
      <c r="G1016" s="174"/>
      <c r="H1016" s="175"/>
      <c r="I1016" s="172"/>
      <c r="J1016" s="172"/>
      <c r="K1016" s="172"/>
      <c r="L1016" s="176"/>
    </row>
    <row r="1017" spans="2:12">
      <c r="B1017" s="88" t="s">
        <v>198</v>
      </c>
      <c r="C1017" s="33"/>
      <c r="D1017" s="70"/>
      <c r="E1017" s="172"/>
      <c r="F1017" s="172"/>
      <c r="G1017" s="172"/>
      <c r="H1017" s="175">
        <f>H995</f>
        <v>1300</v>
      </c>
      <c r="I1017" s="173">
        <f>H1017</f>
        <v>1300</v>
      </c>
      <c r="J1017" s="173"/>
      <c r="K1017" s="173"/>
      <c r="L1017" s="353"/>
    </row>
    <row r="1018" spans="2:12">
      <c r="B1018" s="88" t="s">
        <v>199</v>
      </c>
      <c r="C1018" s="33"/>
      <c r="D1018" s="70"/>
      <c r="E1018" s="172"/>
      <c r="F1018" s="172"/>
      <c r="G1018" s="172"/>
      <c r="H1018" s="79"/>
      <c r="I1018" s="175"/>
      <c r="J1018" s="175"/>
      <c r="K1018" s="175"/>
      <c r="L1018" s="354"/>
    </row>
    <row r="1019" spans="2:12">
      <c r="B1019" s="88" t="s">
        <v>200</v>
      </c>
      <c r="C1019" s="33"/>
      <c r="D1019" s="70"/>
      <c r="E1019" s="172"/>
      <c r="F1019" s="172"/>
      <c r="G1019" s="172"/>
      <c r="H1019" s="172"/>
      <c r="I1019" s="175">
        <f>I995</f>
        <v>0</v>
      </c>
      <c r="J1019" s="175">
        <f>I1019</f>
        <v>0</v>
      </c>
      <c r="K1019" s="175">
        <f>J1019</f>
        <v>0</v>
      </c>
      <c r="L1019" s="354"/>
    </row>
    <row r="1020" spans="2:12">
      <c r="B1020" s="88" t="s">
        <v>191</v>
      </c>
      <c r="C1020" s="33"/>
      <c r="D1020" s="70"/>
      <c r="E1020" s="172"/>
      <c r="F1020" s="172"/>
      <c r="G1020" s="172"/>
      <c r="H1020" s="172"/>
      <c r="I1020" s="79"/>
      <c r="J1020" s="79"/>
      <c r="K1020" s="79"/>
      <c r="L1020" s="365"/>
    </row>
    <row r="1021" spans="2:12">
      <c r="B1021" s="88" t="s">
        <v>192</v>
      </c>
      <c r="C1021" s="33"/>
      <c r="D1021" s="71"/>
      <c r="E1021" s="154"/>
      <c r="F1021" s="154"/>
      <c r="G1021" s="154"/>
      <c r="H1021" s="154"/>
      <c r="I1021" s="154"/>
      <c r="J1021" s="154"/>
      <c r="K1021" s="154"/>
      <c r="L1021" s="352"/>
    </row>
    <row r="1022" spans="2:12">
      <c r="B1022" s="36" t="s">
        <v>17</v>
      </c>
      <c r="D1022" s="214">
        <f xml:space="preserve"> D1015 - D1014</f>
        <v>0</v>
      </c>
      <c r="E1022" s="214">
        <f xml:space="preserve"> E1014 + E1017 - E1016 - E1015</f>
        <v>0</v>
      </c>
      <c r="F1022" s="214">
        <f>F1016 - F1017</f>
        <v>0</v>
      </c>
      <c r="G1022" s="214">
        <f t="shared" ref="G1022" si="347">G1016 - G1017</f>
        <v>0</v>
      </c>
      <c r="H1022" s="214">
        <f>H1015-H1016-H1017</f>
        <v>-1300</v>
      </c>
      <c r="I1022" s="214">
        <f>I1017-I1018-I1019</f>
        <v>1300</v>
      </c>
      <c r="J1022" s="214">
        <f>J1019-J1020-J1021</f>
        <v>0</v>
      </c>
      <c r="K1022" s="214">
        <f>K1021</f>
        <v>0</v>
      </c>
      <c r="L1022" s="214"/>
    </row>
    <row r="1023" spans="2:12">
      <c r="B1023" s="6"/>
      <c r="D1023" s="7"/>
      <c r="E1023" s="7"/>
      <c r="F1023" s="7"/>
      <c r="G1023" s="7"/>
      <c r="H1023" s="7"/>
      <c r="I1023" s="7"/>
      <c r="J1023" s="7"/>
      <c r="K1023" s="7"/>
      <c r="L1023" s="7"/>
    </row>
    <row r="1024" spans="2:12">
      <c r="B1024" s="85" t="s">
        <v>12</v>
      </c>
      <c r="C1024" s="80"/>
      <c r="D1024" s="111"/>
      <c r="E1024" s="112"/>
      <c r="F1024" s="112"/>
      <c r="G1024" s="112"/>
      <c r="H1024" s="112"/>
      <c r="I1024" s="112"/>
      <c r="J1024" s="112"/>
      <c r="K1024" s="112"/>
      <c r="L1024" s="113"/>
    </row>
    <row r="1025" spans="1:12">
      <c r="B1025" s="6"/>
      <c r="D1025" s="7"/>
      <c r="E1025" s="7"/>
      <c r="F1025" s="7"/>
      <c r="G1025" s="7"/>
      <c r="H1025" s="7"/>
      <c r="I1025" s="7"/>
      <c r="J1025" s="7"/>
      <c r="K1025" s="7"/>
      <c r="L1025" s="7"/>
    </row>
    <row r="1026" spans="1:12" ht="18.75">
      <c r="A1026" s="45" t="s">
        <v>26</v>
      </c>
      <c r="C1026" s="80"/>
      <c r="D1026" s="49">
        <f xml:space="preserve"> D995 + D1000 - D1006 + D1022 + D1024</f>
        <v>0</v>
      </c>
      <c r="E1026" s="50">
        <f xml:space="preserve"> E995 + E1000 - E1006 + E1022 + E1024</f>
        <v>0</v>
      </c>
      <c r="F1026" s="50">
        <f xml:space="preserve"> F995 + F1000 - F1006 + F1022 + F1024</f>
        <v>0</v>
      </c>
      <c r="G1026" s="50">
        <f t="shared" ref="G1026:I1026" si="348" xml:space="preserve"> G995 + G1000 - G1006 + G1022 + G1024</f>
        <v>0</v>
      </c>
      <c r="H1026" s="50">
        <f t="shared" si="348"/>
        <v>0</v>
      </c>
      <c r="I1026" s="50">
        <f t="shared" si="348"/>
        <v>1300</v>
      </c>
      <c r="J1026" s="50">
        <f t="shared" ref="J1026" si="349" xml:space="preserve"> J995 + J1000 - J1006 + J1022 + J1024</f>
        <v>0</v>
      </c>
      <c r="K1026" s="50">
        <f t="shared" ref="K1026" si="350" xml:space="preserve"> K995 + K1000 - K1006 + K1022 + K1024</f>
        <v>0</v>
      </c>
      <c r="L1026" s="51"/>
    </row>
    <row r="1027" spans="1:12">
      <c r="B1027" s="6"/>
      <c r="D1027" s="7"/>
      <c r="E1027" s="7"/>
      <c r="F1027" s="7"/>
      <c r="G1027" s="31"/>
      <c r="H1027" s="31"/>
      <c r="I1027" s="31"/>
      <c r="J1027" s="31"/>
      <c r="K1027" s="31"/>
      <c r="L1027" s="31"/>
    </row>
    <row r="1028" spans="1:12" ht="15.75" thickBot="1"/>
    <row r="1029" spans="1:12">
      <c r="A1029" s="8"/>
      <c r="B1029" s="8"/>
      <c r="C1029" s="8"/>
      <c r="D1029" s="8"/>
      <c r="E1029" s="8"/>
      <c r="F1029" s="8"/>
      <c r="G1029" s="8"/>
      <c r="H1029" s="8"/>
      <c r="I1029" s="8"/>
      <c r="J1029" s="8"/>
      <c r="K1029" s="8"/>
      <c r="L1029" s="8"/>
    </row>
    <row r="1030" spans="1:12">
      <c r="B1030" s="33"/>
      <c r="C1030" s="33"/>
      <c r="D1030" s="33"/>
      <c r="E1030" s="33"/>
      <c r="F1030" s="33"/>
      <c r="G1030" s="33"/>
      <c r="H1030" s="33"/>
      <c r="I1030" s="33"/>
      <c r="J1030" s="33"/>
      <c r="K1030" s="33"/>
      <c r="L1030" s="33"/>
    </row>
    <row r="1031" spans="1:12" ht="21">
      <c r="A1031" s="14" t="s">
        <v>4</v>
      </c>
      <c r="B1031" s="14"/>
      <c r="C1031" s="46" t="str">
        <f>B25</f>
        <v>Elkhorn Valley Wind - REC Only</v>
      </c>
      <c r="D1031" s="47"/>
      <c r="E1031" s="24"/>
      <c r="F1031" s="24"/>
    </row>
    <row r="1033" spans="1:12" ht="18.75">
      <c r="A1033" s="9" t="s">
        <v>21</v>
      </c>
      <c r="B1033" s="9"/>
      <c r="D1033" s="2">
        <f>'Facility Detail'!$B$1752</f>
        <v>2011</v>
      </c>
      <c r="E1033" s="2">
        <f>D1033+1</f>
        <v>2012</v>
      </c>
      <c r="F1033" s="2">
        <f>E1033+1</f>
        <v>2013</v>
      </c>
      <c r="G1033" s="2">
        <f t="shared" ref="G1033:K1033" si="351">F1033+1</f>
        <v>2014</v>
      </c>
      <c r="H1033" s="2">
        <f t="shared" si="351"/>
        <v>2015</v>
      </c>
      <c r="I1033" s="2">
        <f t="shared" si="351"/>
        <v>2016</v>
      </c>
      <c r="J1033" s="2">
        <f t="shared" si="351"/>
        <v>2017</v>
      </c>
      <c r="K1033" s="2">
        <f t="shared" si="351"/>
        <v>2018</v>
      </c>
      <c r="L1033" s="2"/>
    </row>
    <row r="1034" spans="1:12">
      <c r="B1034" s="88" t="str">
        <f>"Total MWh Produced / Purchased from " &amp; C1031</f>
        <v>Total MWh Produced / Purchased from Elkhorn Valley Wind - REC Only</v>
      </c>
      <c r="C1034" s="80"/>
      <c r="D1034" s="3"/>
      <c r="E1034" s="4"/>
      <c r="F1034" s="4"/>
      <c r="G1034" s="4"/>
      <c r="H1034" s="4">
        <v>4468</v>
      </c>
      <c r="I1034" s="4"/>
      <c r="J1034" s="4"/>
      <c r="K1034" s="4"/>
      <c r="L1034" s="5"/>
    </row>
    <row r="1035" spans="1:12">
      <c r="B1035" s="88" t="s">
        <v>25</v>
      </c>
      <c r="C1035" s="80"/>
      <c r="D1035" s="62"/>
      <c r="E1035" s="63"/>
      <c r="F1035" s="63"/>
      <c r="G1035" s="63"/>
      <c r="H1035" s="63">
        <v>1</v>
      </c>
      <c r="I1035" s="63"/>
      <c r="J1035" s="63"/>
      <c r="K1035" s="63"/>
      <c r="L1035" s="64"/>
    </row>
    <row r="1036" spans="1:12">
      <c r="B1036" s="88" t="s">
        <v>20</v>
      </c>
      <c r="C1036" s="80"/>
      <c r="D1036" s="54"/>
      <c r="E1036" s="55"/>
      <c r="F1036" s="55"/>
      <c r="G1036" s="55"/>
      <c r="H1036" s="55">
        <v>1</v>
      </c>
      <c r="I1036" s="55"/>
      <c r="J1036" s="55"/>
      <c r="K1036" s="55"/>
      <c r="L1036" s="56"/>
    </row>
    <row r="1037" spans="1:12">
      <c r="B1037" s="85" t="s">
        <v>22</v>
      </c>
      <c r="C1037" s="86"/>
      <c r="D1037" s="41">
        <f xml:space="preserve"> D1034 * D1035 * D1036</f>
        <v>0</v>
      </c>
      <c r="E1037" s="41">
        <f xml:space="preserve"> E1034 * E1035 * E1036</f>
        <v>0</v>
      </c>
      <c r="F1037" s="41">
        <f xml:space="preserve"> F1034 * F1035 * F1036</f>
        <v>0</v>
      </c>
      <c r="G1037" s="41">
        <f t="shared" ref="G1037:J1037" si="352" xml:space="preserve"> G1034 * G1035 * G1036</f>
        <v>0</v>
      </c>
      <c r="H1037" s="41">
        <f t="shared" si="352"/>
        <v>4468</v>
      </c>
      <c r="I1037" s="41">
        <f t="shared" si="352"/>
        <v>0</v>
      </c>
      <c r="J1037" s="41">
        <f t="shared" si="352"/>
        <v>0</v>
      </c>
      <c r="K1037" s="41">
        <f t="shared" ref="K1037" si="353" xml:space="preserve"> K1034 * K1035 * K1036</f>
        <v>0</v>
      </c>
      <c r="L1037" s="41"/>
    </row>
    <row r="1038" spans="1:12">
      <c r="B1038" s="24"/>
      <c r="C1038" s="33"/>
      <c r="D1038" s="40"/>
      <c r="E1038" s="40"/>
      <c r="F1038" s="40"/>
      <c r="G1038" s="40"/>
      <c r="H1038" s="40"/>
      <c r="I1038" s="40"/>
      <c r="J1038" s="40"/>
      <c r="K1038" s="40"/>
      <c r="L1038" s="40"/>
    </row>
    <row r="1039" spans="1:12" ht="18.75">
      <c r="A1039" s="48" t="s">
        <v>119</v>
      </c>
      <c r="C1039" s="33"/>
      <c r="D1039" s="2">
        <f>'Facility Detail'!$B$1752</f>
        <v>2011</v>
      </c>
      <c r="E1039" s="2">
        <f>D1039+1</f>
        <v>2012</v>
      </c>
      <c r="F1039" s="2">
        <f>E1039+1</f>
        <v>2013</v>
      </c>
      <c r="G1039" s="2">
        <f t="shared" ref="G1039:K1039" si="354">F1039+1</f>
        <v>2014</v>
      </c>
      <c r="H1039" s="2">
        <f t="shared" si="354"/>
        <v>2015</v>
      </c>
      <c r="I1039" s="2">
        <f t="shared" si="354"/>
        <v>2016</v>
      </c>
      <c r="J1039" s="2">
        <f t="shared" si="354"/>
        <v>2017</v>
      </c>
      <c r="K1039" s="2">
        <f t="shared" si="354"/>
        <v>2018</v>
      </c>
      <c r="L1039" s="2"/>
    </row>
    <row r="1040" spans="1:12">
      <c r="B1040" s="88" t="s">
        <v>10</v>
      </c>
      <c r="C1040" s="80"/>
      <c r="D1040" s="57">
        <f>IF( $E25 = "Eligible", D1037 * 'Facility Detail'!$B$1749, 0 )</f>
        <v>0</v>
      </c>
      <c r="E1040" s="11">
        <f>IF( $E25 = "Eligible", E1037 * 'Facility Detail'!$B$1749, 0 )</f>
        <v>0</v>
      </c>
      <c r="F1040" s="11">
        <f>IF( $E25 = "Eligible", F1037 * 'Facility Detail'!$B$1749, 0 )</f>
        <v>0</v>
      </c>
      <c r="G1040" s="11">
        <f>IF( $E25 = "Eligible", G1037 * 'Facility Detail'!$B$1749, 0 )</f>
        <v>0</v>
      </c>
      <c r="H1040" s="11">
        <f>IF( $E25 = "Eligible", H1037 * 'Facility Detail'!$B$1749, 0 )</f>
        <v>0</v>
      </c>
      <c r="I1040" s="11">
        <f>IF( $E25 = "Eligible", I1037 * 'Facility Detail'!$B$1749, 0 )</f>
        <v>0</v>
      </c>
      <c r="J1040" s="11">
        <f>IF( $E25 = "Eligible", J1037 * 'Facility Detail'!$B$1749, 0 )</f>
        <v>0</v>
      </c>
      <c r="K1040" s="11">
        <f>IF( $E25 = "Eligible", K1037 * 'Facility Detail'!$B$1749, 0 )</f>
        <v>0</v>
      </c>
      <c r="L1040" s="12"/>
    </row>
    <row r="1041" spans="1:12">
      <c r="B1041" s="88" t="s">
        <v>6</v>
      </c>
      <c r="C1041" s="80"/>
      <c r="D1041" s="58">
        <f t="shared" ref="D1041:K1041" si="355">IF( $F25 = "Eligible", D1037, 0 )</f>
        <v>0</v>
      </c>
      <c r="E1041" s="59">
        <f t="shared" si="355"/>
        <v>0</v>
      </c>
      <c r="F1041" s="59">
        <f t="shared" si="355"/>
        <v>0</v>
      </c>
      <c r="G1041" s="59">
        <f t="shared" si="355"/>
        <v>0</v>
      </c>
      <c r="H1041" s="59">
        <f t="shared" si="355"/>
        <v>0</v>
      </c>
      <c r="I1041" s="59">
        <f t="shared" si="355"/>
        <v>0</v>
      </c>
      <c r="J1041" s="59">
        <f t="shared" si="355"/>
        <v>0</v>
      </c>
      <c r="K1041" s="59">
        <f t="shared" si="355"/>
        <v>0</v>
      </c>
      <c r="L1041" s="60"/>
    </row>
    <row r="1042" spans="1:12">
      <c r="B1042" s="87" t="s">
        <v>121</v>
      </c>
      <c r="C1042" s="86"/>
      <c r="D1042" s="43">
        <f>SUM(D1040:D1041)</f>
        <v>0</v>
      </c>
      <c r="E1042" s="44">
        <f>SUM(E1040:E1041)</f>
        <v>0</v>
      </c>
      <c r="F1042" s="44">
        <f>SUM(F1040:F1041)</f>
        <v>0</v>
      </c>
      <c r="G1042" s="44">
        <f t="shared" ref="G1042:I1042" si="356">SUM(G1040:G1041)</f>
        <v>0</v>
      </c>
      <c r="H1042" s="44">
        <f t="shared" si="356"/>
        <v>0</v>
      </c>
      <c r="I1042" s="44">
        <f t="shared" si="356"/>
        <v>0</v>
      </c>
      <c r="J1042" s="44">
        <f t="shared" ref="J1042" si="357">SUM(J1040:J1041)</f>
        <v>0</v>
      </c>
      <c r="K1042" s="44">
        <f t="shared" ref="K1042" si="358">SUM(K1040:K1041)</f>
        <v>0</v>
      </c>
      <c r="L1042" s="44"/>
    </row>
    <row r="1043" spans="1:12">
      <c r="B1043" s="33"/>
      <c r="C1043" s="33"/>
      <c r="D1043" s="42"/>
      <c r="E1043" s="34"/>
      <c r="F1043" s="34"/>
      <c r="G1043" s="34"/>
      <c r="H1043" s="34"/>
      <c r="I1043" s="34"/>
      <c r="J1043" s="34"/>
      <c r="K1043" s="34"/>
      <c r="L1043" s="34"/>
    </row>
    <row r="1044" spans="1:12" ht="18.75">
      <c r="A1044" s="45" t="s">
        <v>30</v>
      </c>
      <c r="C1044" s="33"/>
      <c r="D1044" s="2">
        <f>'Facility Detail'!$B$1752</f>
        <v>2011</v>
      </c>
      <c r="E1044" s="2">
        <f>D1044+1</f>
        <v>2012</v>
      </c>
      <c r="F1044" s="2">
        <f>E1044+1</f>
        <v>2013</v>
      </c>
      <c r="G1044" s="2">
        <f t="shared" ref="G1044:K1044" si="359">F1044+1</f>
        <v>2014</v>
      </c>
      <c r="H1044" s="2">
        <f t="shared" si="359"/>
        <v>2015</v>
      </c>
      <c r="I1044" s="2">
        <f t="shared" si="359"/>
        <v>2016</v>
      </c>
      <c r="J1044" s="2">
        <f t="shared" si="359"/>
        <v>2017</v>
      </c>
      <c r="K1044" s="2">
        <f t="shared" si="359"/>
        <v>2018</v>
      </c>
      <c r="L1044" s="2"/>
    </row>
    <row r="1045" spans="1:12">
      <c r="B1045" s="88" t="s">
        <v>47</v>
      </c>
      <c r="C1045" s="80"/>
      <c r="D1045" s="98"/>
      <c r="E1045" s="99"/>
      <c r="F1045" s="99"/>
      <c r="G1045" s="99"/>
      <c r="H1045" s="99"/>
      <c r="I1045" s="99"/>
      <c r="J1045" s="99"/>
      <c r="K1045" s="99"/>
      <c r="L1045" s="100"/>
    </row>
    <row r="1046" spans="1:12">
      <c r="B1046" s="89" t="s">
        <v>23</v>
      </c>
      <c r="C1046" s="207"/>
      <c r="D1046" s="101"/>
      <c r="E1046" s="102"/>
      <c r="F1046" s="102"/>
      <c r="G1046" s="102"/>
      <c r="H1046" s="102"/>
      <c r="I1046" s="102"/>
      <c r="J1046" s="102"/>
      <c r="K1046" s="102"/>
      <c r="L1046" s="103"/>
    </row>
    <row r="1047" spans="1:12">
      <c r="B1047" s="104" t="s">
        <v>89</v>
      </c>
      <c r="C1047" s="205"/>
      <c r="D1047" s="65"/>
      <c r="E1047" s="66"/>
      <c r="F1047" s="66"/>
      <c r="G1047" s="66"/>
      <c r="H1047" s="66"/>
      <c r="I1047" s="66"/>
      <c r="J1047" s="66"/>
      <c r="K1047" s="66"/>
      <c r="L1047" s="67"/>
    </row>
    <row r="1048" spans="1:12">
      <c r="B1048" s="36" t="s">
        <v>90</v>
      </c>
      <c r="D1048" s="7">
        <f>SUM(D1045:D1047)</f>
        <v>0</v>
      </c>
      <c r="E1048" s="7">
        <f>SUM(E1045:E1047)</f>
        <v>0</v>
      </c>
      <c r="F1048" s="7">
        <f>SUM(F1045:F1047)</f>
        <v>0</v>
      </c>
      <c r="G1048" s="7">
        <f t="shared" ref="G1048:I1048" si="360">SUM(G1045:G1047)</f>
        <v>0</v>
      </c>
      <c r="H1048" s="7">
        <f t="shared" si="360"/>
        <v>0</v>
      </c>
      <c r="I1048" s="7">
        <f t="shared" si="360"/>
        <v>0</v>
      </c>
      <c r="J1048" s="7">
        <f t="shared" ref="J1048" si="361">SUM(J1045:J1047)</f>
        <v>0</v>
      </c>
      <c r="K1048" s="7">
        <f t="shared" ref="K1048" si="362">SUM(K1045:K1047)</f>
        <v>0</v>
      </c>
      <c r="L1048" s="7"/>
    </row>
    <row r="1049" spans="1:12">
      <c r="B1049" s="6"/>
      <c r="D1049" s="7"/>
      <c r="E1049" s="7"/>
      <c r="F1049" s="7"/>
      <c r="G1049" s="7"/>
      <c r="H1049" s="7"/>
      <c r="I1049" s="7"/>
      <c r="J1049" s="7"/>
      <c r="K1049" s="7"/>
      <c r="L1049" s="7"/>
    </row>
    <row r="1050" spans="1:12" ht="18.75">
      <c r="A1050" s="9" t="s">
        <v>100</v>
      </c>
      <c r="D1050" s="2">
        <f>'Facility Detail'!$B$1752</f>
        <v>2011</v>
      </c>
      <c r="E1050" s="2">
        <f>D1050+1</f>
        <v>2012</v>
      </c>
      <c r="F1050" s="2">
        <f>E1050+1</f>
        <v>2013</v>
      </c>
      <c r="G1050" s="2">
        <f t="shared" ref="G1050:K1050" si="363">F1050+1</f>
        <v>2014</v>
      </c>
      <c r="H1050" s="2">
        <f t="shared" si="363"/>
        <v>2015</v>
      </c>
      <c r="I1050" s="2">
        <f t="shared" si="363"/>
        <v>2016</v>
      </c>
      <c r="J1050" s="2">
        <f t="shared" si="363"/>
        <v>2017</v>
      </c>
      <c r="K1050" s="2">
        <f t="shared" si="363"/>
        <v>2018</v>
      </c>
      <c r="L1050" s="2"/>
    </row>
    <row r="1051" spans="1:12">
      <c r="B1051" s="88" t="s">
        <v>68</v>
      </c>
      <c r="C1051" s="80"/>
      <c r="D1051" s="3"/>
      <c r="E1051" s="68">
        <f>D1051</f>
        <v>0</v>
      </c>
      <c r="F1051" s="152"/>
      <c r="G1051" s="152"/>
      <c r="H1051" s="152"/>
      <c r="I1051" s="152"/>
      <c r="J1051" s="152"/>
      <c r="K1051" s="152"/>
      <c r="L1051" s="69"/>
    </row>
    <row r="1052" spans="1:12">
      <c r="B1052" s="88" t="s">
        <v>69</v>
      </c>
      <c r="C1052" s="80"/>
      <c r="D1052" s="189">
        <f>E1052</f>
        <v>0</v>
      </c>
      <c r="E1052" s="10"/>
      <c r="F1052" s="83"/>
      <c r="G1052" s="83"/>
      <c r="H1052" s="83"/>
      <c r="I1052" s="83"/>
      <c r="J1052" s="83"/>
      <c r="K1052" s="83"/>
      <c r="L1052" s="190"/>
    </row>
    <row r="1053" spans="1:12">
      <c r="B1053" s="88" t="s">
        <v>70</v>
      </c>
      <c r="C1053" s="80"/>
      <c r="D1053" s="70"/>
      <c r="E1053" s="10">
        <f>E1037</f>
        <v>0</v>
      </c>
      <c r="F1053" s="79">
        <f>E1053</f>
        <v>0</v>
      </c>
      <c r="G1053" s="83"/>
      <c r="H1053" s="83"/>
      <c r="I1053" s="83"/>
      <c r="J1053" s="83"/>
      <c r="K1053" s="83"/>
      <c r="L1053" s="190"/>
    </row>
    <row r="1054" spans="1:12">
      <c r="B1054" s="88" t="s">
        <v>71</v>
      </c>
      <c r="C1054" s="80"/>
      <c r="D1054" s="70"/>
      <c r="E1054" s="79">
        <f>F1054</f>
        <v>0</v>
      </c>
      <c r="F1054" s="188"/>
      <c r="G1054" s="83"/>
      <c r="H1054" s="83"/>
      <c r="I1054" s="83"/>
      <c r="J1054" s="83"/>
      <c r="K1054" s="83"/>
      <c r="L1054" s="190"/>
    </row>
    <row r="1055" spans="1:12">
      <c r="B1055" s="88" t="s">
        <v>194</v>
      </c>
      <c r="C1055" s="33"/>
      <c r="D1055" s="70"/>
      <c r="E1055" s="172"/>
      <c r="F1055" s="10">
        <f>F1037</f>
        <v>0</v>
      </c>
      <c r="G1055" s="173">
        <f>F1055</f>
        <v>0</v>
      </c>
      <c r="H1055" s="83"/>
      <c r="I1055" s="83"/>
      <c r="J1055" s="83"/>
      <c r="K1055" s="83"/>
      <c r="L1055" s="190"/>
    </row>
    <row r="1056" spans="1:12">
      <c r="B1056" s="88" t="s">
        <v>195</v>
      </c>
      <c r="C1056" s="33"/>
      <c r="D1056" s="70"/>
      <c r="E1056" s="172"/>
      <c r="F1056" s="79">
        <f>G1056</f>
        <v>0</v>
      </c>
      <c r="G1056" s="10"/>
      <c r="H1056" s="83"/>
      <c r="I1056" s="83"/>
      <c r="J1056" s="83"/>
      <c r="K1056" s="83"/>
      <c r="L1056" s="190"/>
    </row>
    <row r="1057" spans="1:12">
      <c r="B1057" s="88" t="s">
        <v>196</v>
      </c>
      <c r="C1057" s="33"/>
      <c r="D1057" s="70"/>
      <c r="E1057" s="172"/>
      <c r="F1057" s="172"/>
      <c r="G1057" s="10">
        <f>G1037</f>
        <v>0</v>
      </c>
      <c r="H1057" s="173">
        <f>G1057</f>
        <v>0</v>
      </c>
      <c r="I1057" s="172">
        <f>H1057</f>
        <v>0</v>
      </c>
      <c r="J1057" s="172"/>
      <c r="K1057" s="172"/>
      <c r="L1057" s="176"/>
    </row>
    <row r="1058" spans="1:12">
      <c r="B1058" s="88" t="s">
        <v>197</v>
      </c>
      <c r="C1058" s="33"/>
      <c r="D1058" s="70"/>
      <c r="E1058" s="172"/>
      <c r="F1058" s="172"/>
      <c r="G1058" s="174"/>
      <c r="H1058" s="175"/>
      <c r="I1058" s="172"/>
      <c r="J1058" s="172"/>
      <c r="K1058" s="172"/>
      <c r="L1058" s="176"/>
    </row>
    <row r="1059" spans="1:12">
      <c r="B1059" s="88" t="s">
        <v>198</v>
      </c>
      <c r="C1059" s="33"/>
      <c r="D1059" s="70"/>
      <c r="E1059" s="172"/>
      <c r="F1059" s="172"/>
      <c r="G1059" s="172"/>
      <c r="H1059" s="175">
        <f>H1037</f>
        <v>4468</v>
      </c>
      <c r="I1059" s="173">
        <f>H1059</f>
        <v>4468</v>
      </c>
      <c r="J1059" s="173"/>
      <c r="K1059" s="173"/>
      <c r="L1059" s="353"/>
    </row>
    <row r="1060" spans="1:12">
      <c r="B1060" s="88" t="s">
        <v>199</v>
      </c>
      <c r="C1060" s="33"/>
      <c r="D1060" s="70"/>
      <c r="E1060" s="172"/>
      <c r="F1060" s="172"/>
      <c r="G1060" s="172"/>
      <c r="H1060" s="79"/>
      <c r="I1060" s="175"/>
      <c r="J1060" s="175"/>
      <c r="K1060" s="175"/>
      <c r="L1060" s="354"/>
    </row>
    <row r="1061" spans="1:12">
      <c r="B1061" s="88" t="s">
        <v>200</v>
      </c>
      <c r="C1061" s="33"/>
      <c r="D1061" s="70"/>
      <c r="E1061" s="172"/>
      <c r="F1061" s="172"/>
      <c r="G1061" s="172"/>
      <c r="H1061" s="172"/>
      <c r="I1061" s="175">
        <f>I1037</f>
        <v>0</v>
      </c>
      <c r="J1061" s="175">
        <f>I1061</f>
        <v>0</v>
      </c>
      <c r="K1061" s="175"/>
      <c r="L1061" s="354"/>
    </row>
    <row r="1062" spans="1:12">
      <c r="B1062" s="88" t="s">
        <v>191</v>
      </c>
      <c r="C1062" s="33"/>
      <c r="D1062" s="70"/>
      <c r="E1062" s="172"/>
      <c r="F1062" s="172"/>
      <c r="G1062" s="172"/>
      <c r="H1062" s="172"/>
      <c r="I1062" s="79"/>
      <c r="J1062" s="79"/>
      <c r="K1062" s="79"/>
      <c r="L1062" s="365"/>
    </row>
    <row r="1063" spans="1:12">
      <c r="B1063" s="88" t="s">
        <v>192</v>
      </c>
      <c r="C1063" s="33"/>
      <c r="D1063" s="71"/>
      <c r="E1063" s="154"/>
      <c r="F1063" s="154"/>
      <c r="G1063" s="154"/>
      <c r="H1063" s="154"/>
      <c r="I1063" s="154"/>
      <c r="J1063" s="154"/>
      <c r="K1063" s="154"/>
      <c r="L1063" s="352"/>
    </row>
    <row r="1064" spans="1:12">
      <c r="B1064" s="36" t="s">
        <v>17</v>
      </c>
      <c r="D1064" s="7">
        <f xml:space="preserve"> D1052 - D1051</f>
        <v>0</v>
      </c>
      <c r="E1064" s="7">
        <f xml:space="preserve"> E1051 + E1054 - E1053 - E1052</f>
        <v>0</v>
      </c>
      <c r="F1064" s="7">
        <f>F1053 - F1054</f>
        <v>0</v>
      </c>
      <c r="G1064" s="7">
        <f t="shared" ref="G1064" si="364">G1053 - G1054</f>
        <v>0</v>
      </c>
      <c r="H1064" s="7">
        <f>H1057-H1058-H1059</f>
        <v>-4468</v>
      </c>
      <c r="I1064" s="7">
        <f>I1059-I1060-I1061</f>
        <v>4468</v>
      </c>
      <c r="J1064" s="7">
        <f>J1061-J1062-J1063</f>
        <v>0</v>
      </c>
      <c r="K1064" s="7">
        <f>K1063</f>
        <v>0</v>
      </c>
      <c r="L1064" s="7"/>
    </row>
    <row r="1065" spans="1:12">
      <c r="B1065" s="6"/>
      <c r="D1065" s="7"/>
      <c r="E1065" s="7"/>
      <c r="F1065" s="7"/>
      <c r="G1065" s="7"/>
      <c r="H1065" s="7"/>
      <c r="I1065" s="7"/>
      <c r="J1065" s="7"/>
      <c r="K1065" s="7"/>
      <c r="L1065" s="7"/>
    </row>
    <row r="1066" spans="1:12">
      <c r="B1066" s="85" t="s">
        <v>12</v>
      </c>
      <c r="C1066" s="80"/>
      <c r="D1066" s="111"/>
      <c r="E1066" s="112"/>
      <c r="F1066" s="112"/>
      <c r="G1066" s="112"/>
      <c r="H1066" s="112"/>
      <c r="I1066" s="112"/>
      <c r="J1066" s="112"/>
      <c r="K1066" s="112"/>
      <c r="L1066" s="113"/>
    </row>
    <row r="1067" spans="1:12">
      <c r="B1067" s="6"/>
      <c r="D1067" s="7"/>
      <c r="E1067" s="7"/>
      <c r="F1067" s="7"/>
      <c r="G1067" s="7"/>
      <c r="H1067" s="7"/>
      <c r="I1067" s="7"/>
      <c r="J1067" s="7"/>
      <c r="K1067" s="7"/>
      <c r="L1067" s="7"/>
    </row>
    <row r="1068" spans="1:12" ht="18.75">
      <c r="A1068" s="45" t="s">
        <v>26</v>
      </c>
      <c r="C1068" s="80"/>
      <c r="D1068" s="49">
        <f t="shared" ref="D1068:H1068" si="365" xml:space="preserve"> D1037 + D1042 - D1048 + D1064 + D1066</f>
        <v>0</v>
      </c>
      <c r="E1068" s="50">
        <f t="shared" si="365"/>
        <v>0</v>
      </c>
      <c r="F1068" s="50">
        <f t="shared" si="365"/>
        <v>0</v>
      </c>
      <c r="G1068" s="50">
        <f t="shared" si="365"/>
        <v>0</v>
      </c>
      <c r="H1068" s="50">
        <f t="shared" si="365"/>
        <v>0</v>
      </c>
      <c r="I1068" s="50">
        <f t="shared" ref="I1068:J1068" si="366" xml:space="preserve"> I1037 + I1042 - I1048 + I1064 + I1066</f>
        <v>4468</v>
      </c>
      <c r="J1068" s="50">
        <f t="shared" si="366"/>
        <v>0</v>
      </c>
      <c r="K1068" s="50">
        <f t="shared" ref="K1068" si="367" xml:space="preserve"> K1037 + K1042 - K1048 + K1064 + K1066</f>
        <v>0</v>
      </c>
      <c r="L1068" s="51"/>
    </row>
    <row r="1069" spans="1:12">
      <c r="B1069" s="6"/>
      <c r="D1069" s="7"/>
      <c r="E1069" s="7"/>
      <c r="F1069" s="7"/>
      <c r="G1069" s="31"/>
      <c r="H1069" s="31"/>
      <c r="I1069" s="31"/>
      <c r="J1069" s="31"/>
      <c r="K1069" s="31"/>
      <c r="L1069" s="31"/>
    </row>
    <row r="1070" spans="1:12" ht="15.75" thickBot="1"/>
    <row r="1071" spans="1:12">
      <c r="A1071" s="8"/>
      <c r="B1071" s="8"/>
      <c r="C1071" s="8"/>
      <c r="D1071" s="8"/>
      <c r="E1071" s="8"/>
      <c r="F1071" s="8"/>
      <c r="G1071" s="8"/>
      <c r="H1071" s="8"/>
      <c r="I1071" s="8"/>
      <c r="J1071" s="8"/>
      <c r="K1071" s="8"/>
      <c r="L1071" s="8"/>
    </row>
    <row r="1072" spans="1:12">
      <c r="B1072" s="33"/>
      <c r="C1072" s="33"/>
      <c r="D1072" s="33"/>
      <c r="E1072" s="33"/>
      <c r="F1072" s="33"/>
      <c r="G1072" s="33"/>
      <c r="H1072" s="33"/>
      <c r="I1072" s="33"/>
      <c r="J1072" s="33"/>
      <c r="K1072" s="33"/>
      <c r="L1072" s="33"/>
    </row>
    <row r="1073" spans="1:12" ht="21">
      <c r="A1073" s="14" t="s">
        <v>4</v>
      </c>
      <c r="B1073" s="14"/>
      <c r="C1073" s="46" t="str">
        <f>B26</f>
        <v>Condon Wind Power Project - Condon Phase II - REC Only</v>
      </c>
      <c r="D1073" s="47"/>
      <c r="E1073" s="24"/>
      <c r="F1073" s="24"/>
    </row>
    <row r="1075" spans="1:12" ht="18.75">
      <c r="A1075" s="9" t="s">
        <v>21</v>
      </c>
      <c r="B1075" s="9"/>
      <c r="D1075" s="2">
        <f>'Facility Detail'!$B$1752</f>
        <v>2011</v>
      </c>
      <c r="E1075" s="2">
        <f>D1075+1</f>
        <v>2012</v>
      </c>
      <c r="F1075" s="2">
        <f>E1075+1</f>
        <v>2013</v>
      </c>
      <c r="G1075" s="2">
        <f t="shared" ref="G1075:K1075" si="368">F1075+1</f>
        <v>2014</v>
      </c>
      <c r="H1075" s="2">
        <f t="shared" si="368"/>
        <v>2015</v>
      </c>
      <c r="I1075" s="2">
        <f t="shared" si="368"/>
        <v>2016</v>
      </c>
      <c r="J1075" s="2">
        <f t="shared" si="368"/>
        <v>2017</v>
      </c>
      <c r="K1075" s="2">
        <f t="shared" si="368"/>
        <v>2018</v>
      </c>
      <c r="L1075" s="2"/>
    </row>
    <row r="1076" spans="1:12">
      <c r="B1076" s="88" t="str">
        <f>"Total MWh Produced / Purchased from " &amp; C1073</f>
        <v>Total MWh Produced / Purchased from Condon Wind Power Project - Condon Phase II - REC Only</v>
      </c>
      <c r="C1076" s="80"/>
      <c r="D1076" s="3"/>
      <c r="E1076" s="4"/>
      <c r="F1076" s="4"/>
      <c r="G1076" s="4"/>
      <c r="H1076" s="339"/>
      <c r="I1076" s="339">
        <v>7725</v>
      </c>
      <c r="J1076" s="339"/>
      <c r="K1076" s="339"/>
      <c r="L1076" s="370"/>
    </row>
    <row r="1077" spans="1:12">
      <c r="B1077" s="88" t="s">
        <v>25</v>
      </c>
      <c r="C1077" s="80"/>
      <c r="D1077" s="62"/>
      <c r="E1077" s="63"/>
      <c r="F1077" s="63"/>
      <c r="G1077" s="63"/>
      <c r="H1077" s="63"/>
      <c r="I1077" s="63">
        <v>1</v>
      </c>
      <c r="J1077" s="63">
        <v>1</v>
      </c>
      <c r="K1077" s="63">
        <v>1</v>
      </c>
      <c r="L1077" s="64"/>
    </row>
    <row r="1078" spans="1:12">
      <c r="B1078" s="88" t="s">
        <v>20</v>
      </c>
      <c r="C1078" s="80"/>
      <c r="D1078" s="54"/>
      <c r="E1078" s="55"/>
      <c r="F1078" s="55"/>
      <c r="G1078" s="55"/>
      <c r="H1078" s="55"/>
      <c r="I1078" s="55">
        <v>1</v>
      </c>
      <c r="J1078" s="55"/>
      <c r="K1078" s="55"/>
      <c r="L1078" s="56"/>
    </row>
    <row r="1079" spans="1:12">
      <c r="B1079" s="85" t="s">
        <v>22</v>
      </c>
      <c r="C1079" s="86"/>
      <c r="D1079" s="41">
        <f xml:space="preserve"> D1076 * D1077 * D1078</f>
        <v>0</v>
      </c>
      <c r="E1079" s="41">
        <f xml:space="preserve"> E1076 * E1077 * E1078</f>
        <v>0</v>
      </c>
      <c r="F1079" s="41">
        <f xml:space="preserve"> F1076 * F1077 * F1078</f>
        <v>0</v>
      </c>
      <c r="G1079" s="41">
        <f t="shared" ref="G1079" si="369" xml:space="preserve"> G1076 * G1077 * G1078</f>
        <v>0</v>
      </c>
      <c r="H1079" s="337">
        <f t="shared" ref="H1079" si="370" xml:space="preserve"> H1076 * H1077 * H1078</f>
        <v>0</v>
      </c>
      <c r="I1079" s="337">
        <f t="shared" ref="I1079" si="371" xml:space="preserve"> I1076 * I1077 * I1078</f>
        <v>7725</v>
      </c>
      <c r="J1079" s="337">
        <f t="shared" ref="J1079:K1079" si="372" xml:space="preserve"> J1076 * J1077 * J1078</f>
        <v>0</v>
      </c>
      <c r="K1079" s="337">
        <f t="shared" si="372"/>
        <v>0</v>
      </c>
      <c r="L1079" s="337"/>
    </row>
    <row r="1080" spans="1:12">
      <c r="B1080" s="24"/>
      <c r="C1080" s="33"/>
      <c r="D1080" s="40"/>
      <c r="E1080" s="40"/>
      <c r="F1080" s="40"/>
      <c r="G1080" s="40"/>
      <c r="H1080" s="40"/>
      <c r="I1080" s="40"/>
      <c r="J1080" s="40"/>
      <c r="K1080" s="40"/>
      <c r="L1080" s="40"/>
    </row>
    <row r="1081" spans="1:12" ht="18.75">
      <c r="A1081" s="48" t="s">
        <v>119</v>
      </c>
      <c r="C1081" s="33"/>
      <c r="D1081" s="2">
        <f>'Facility Detail'!$B$1752</f>
        <v>2011</v>
      </c>
      <c r="E1081" s="2">
        <f>D1081+1</f>
        <v>2012</v>
      </c>
      <c r="F1081" s="2">
        <f>E1081+1</f>
        <v>2013</v>
      </c>
      <c r="G1081" s="2">
        <f t="shared" ref="G1081:K1081" si="373">F1081+1</f>
        <v>2014</v>
      </c>
      <c r="H1081" s="2">
        <f t="shared" si="373"/>
        <v>2015</v>
      </c>
      <c r="I1081" s="2">
        <f t="shared" si="373"/>
        <v>2016</v>
      </c>
      <c r="J1081" s="2">
        <f t="shared" si="373"/>
        <v>2017</v>
      </c>
      <c r="K1081" s="2">
        <f t="shared" si="373"/>
        <v>2018</v>
      </c>
      <c r="L1081" s="2"/>
    </row>
    <row r="1082" spans="1:12">
      <c r="B1082" s="88" t="s">
        <v>10</v>
      </c>
      <c r="C1082" s="80"/>
      <c r="D1082" s="57">
        <f>IF( $E117 = "Eligible", D1079 * 'Facility Detail'!$B$1749, 0 )</f>
        <v>0</v>
      </c>
      <c r="E1082" s="11">
        <f>IF( $E117 = "Eligible", E1079 * 'Facility Detail'!$B$1749, 0 )</f>
        <v>0</v>
      </c>
      <c r="F1082" s="11">
        <f>IF( $E117 = "Eligible", F1079 * 'Facility Detail'!$B$1749, 0 )</f>
        <v>0</v>
      </c>
      <c r="G1082" s="11">
        <f>IF( $E117 = "Eligible", G1079 * 'Facility Detail'!$B$1749, 0 )</f>
        <v>0</v>
      </c>
      <c r="H1082" s="11">
        <f>IF( $E117 = "Eligible", H1079 * 'Facility Detail'!$B$1749, 0 )</f>
        <v>0</v>
      </c>
      <c r="I1082" s="11">
        <f>IF( $E117 = "Eligible", I1079 * 'Facility Detail'!$B$1749, 0 )</f>
        <v>0</v>
      </c>
      <c r="J1082" s="11">
        <f>IF( $E117 = "Eligible", J1079 * 'Facility Detail'!$B$1749, 0 )</f>
        <v>0</v>
      </c>
      <c r="K1082" s="11">
        <f>IF( $E117 = "Eligible", K1079 * 'Facility Detail'!$B$1749, 0 )</f>
        <v>0</v>
      </c>
      <c r="L1082" s="12"/>
    </row>
    <row r="1083" spans="1:12">
      <c r="B1083" s="88" t="s">
        <v>6</v>
      </c>
      <c r="C1083" s="80"/>
      <c r="D1083" s="58">
        <f>IF( $F117 = "Eligible", D1079, 0 )</f>
        <v>0</v>
      </c>
      <c r="E1083" s="59">
        <f>IF( $F117 = "Eligible", E1079, 0 )</f>
        <v>0</v>
      </c>
      <c r="F1083" s="59">
        <f>IF( $F117 = "Eligible", F1079, 0 )</f>
        <v>0</v>
      </c>
      <c r="G1083" s="59">
        <f t="shared" ref="G1083:I1083" si="374">IF( $F117 = "Eligible", G1079, 0 )</f>
        <v>0</v>
      </c>
      <c r="H1083" s="59">
        <f t="shared" si="374"/>
        <v>0</v>
      </c>
      <c r="I1083" s="59">
        <f t="shared" si="374"/>
        <v>0</v>
      </c>
      <c r="J1083" s="59">
        <f t="shared" ref="J1083" si="375">IF( $F117 = "Eligible", J1079, 0 )</f>
        <v>0</v>
      </c>
      <c r="K1083" s="59">
        <f t="shared" ref="K1083" si="376">IF( $F117 = "Eligible", K1079, 0 )</f>
        <v>0</v>
      </c>
      <c r="L1083" s="60"/>
    </row>
    <row r="1084" spans="1:12">
      <c r="B1084" s="87" t="s">
        <v>121</v>
      </c>
      <c r="C1084" s="86"/>
      <c r="D1084" s="43">
        <f>SUM(D1082:D1083)</f>
        <v>0</v>
      </c>
      <c r="E1084" s="44">
        <f>SUM(E1082:E1083)</f>
        <v>0</v>
      </c>
      <c r="F1084" s="44">
        <f>SUM(F1082:F1083)</f>
        <v>0</v>
      </c>
      <c r="G1084" s="44">
        <f t="shared" ref="G1084" si="377">SUM(G1082:G1083)</f>
        <v>0</v>
      </c>
      <c r="H1084" s="44">
        <f t="shared" ref="H1084" si="378">SUM(H1082:H1083)</f>
        <v>0</v>
      </c>
      <c r="I1084" s="44">
        <f t="shared" ref="I1084:J1084" si="379">SUM(I1082:I1083)</f>
        <v>0</v>
      </c>
      <c r="J1084" s="44">
        <f t="shared" si="379"/>
        <v>0</v>
      </c>
      <c r="K1084" s="44">
        <f t="shared" ref="K1084" si="380">SUM(K1082:K1083)</f>
        <v>0</v>
      </c>
      <c r="L1084" s="44"/>
    </row>
    <row r="1085" spans="1:12">
      <c r="B1085" s="33"/>
      <c r="C1085" s="33"/>
      <c r="D1085" s="42"/>
      <c r="E1085" s="34"/>
      <c r="F1085" s="34"/>
      <c r="G1085" s="34"/>
      <c r="H1085" s="34"/>
      <c r="I1085" s="34"/>
      <c r="J1085" s="34"/>
      <c r="K1085" s="34"/>
      <c r="L1085" s="34"/>
    </row>
    <row r="1086" spans="1:12" ht="18.75">
      <c r="A1086" s="45" t="s">
        <v>30</v>
      </c>
      <c r="C1086" s="33"/>
      <c r="D1086" s="2">
        <f>'Facility Detail'!$B$1752</f>
        <v>2011</v>
      </c>
      <c r="E1086" s="2">
        <f>D1086+1</f>
        <v>2012</v>
      </c>
      <c r="F1086" s="2">
        <f>E1086+1</f>
        <v>2013</v>
      </c>
      <c r="G1086" s="2">
        <f t="shared" ref="G1086:K1086" si="381">F1086+1</f>
        <v>2014</v>
      </c>
      <c r="H1086" s="2">
        <f t="shared" si="381"/>
        <v>2015</v>
      </c>
      <c r="I1086" s="2">
        <f t="shared" si="381"/>
        <v>2016</v>
      </c>
      <c r="J1086" s="2">
        <f t="shared" si="381"/>
        <v>2017</v>
      </c>
      <c r="K1086" s="2">
        <f t="shared" si="381"/>
        <v>2018</v>
      </c>
      <c r="L1086" s="2"/>
    </row>
    <row r="1087" spans="1:12">
      <c r="B1087" s="88" t="s">
        <v>47</v>
      </c>
      <c r="C1087" s="80"/>
      <c r="D1087" s="98"/>
      <c r="E1087" s="99"/>
      <c r="F1087" s="99"/>
      <c r="G1087" s="99"/>
      <c r="H1087" s="99"/>
      <c r="I1087" s="99"/>
      <c r="J1087" s="99"/>
      <c r="K1087" s="99"/>
      <c r="L1087" s="100"/>
    </row>
    <row r="1088" spans="1:12">
      <c r="B1088" s="89" t="s">
        <v>23</v>
      </c>
      <c r="C1088" s="207"/>
      <c r="D1088" s="101"/>
      <c r="E1088" s="102"/>
      <c r="F1088" s="102"/>
      <c r="G1088" s="102"/>
      <c r="H1088" s="102"/>
      <c r="I1088" s="102"/>
      <c r="J1088" s="102"/>
      <c r="K1088" s="102"/>
      <c r="L1088" s="103"/>
    </row>
    <row r="1089" spans="1:12">
      <c r="B1089" s="104" t="s">
        <v>89</v>
      </c>
      <c r="C1089" s="205"/>
      <c r="D1089" s="65"/>
      <c r="E1089" s="66"/>
      <c r="F1089" s="66"/>
      <c r="G1089" s="66"/>
      <c r="H1089" s="66"/>
      <c r="I1089" s="66"/>
      <c r="J1089" s="66"/>
      <c r="K1089" s="66"/>
      <c r="L1089" s="67"/>
    </row>
    <row r="1090" spans="1:12">
      <c r="B1090" s="36" t="s">
        <v>90</v>
      </c>
      <c r="D1090" s="7">
        <f>SUM(D1087:D1089)</f>
        <v>0</v>
      </c>
      <c r="E1090" s="7">
        <f>SUM(E1087:E1089)</f>
        <v>0</v>
      </c>
      <c r="F1090" s="7">
        <f>SUM(F1087:F1089)</f>
        <v>0</v>
      </c>
      <c r="G1090" s="7">
        <f t="shared" ref="G1090" si="382">SUM(G1087:G1089)</f>
        <v>0</v>
      </c>
      <c r="H1090" s="7">
        <f t="shared" ref="H1090" si="383">SUM(H1087:H1089)</f>
        <v>0</v>
      </c>
      <c r="I1090" s="7">
        <f t="shared" ref="I1090:J1090" si="384">SUM(I1087:I1089)</f>
        <v>0</v>
      </c>
      <c r="J1090" s="7">
        <f t="shared" si="384"/>
        <v>0</v>
      </c>
      <c r="K1090" s="7">
        <f t="shared" ref="K1090" si="385">SUM(K1087:K1089)</f>
        <v>0</v>
      </c>
      <c r="L1090" s="7"/>
    </row>
    <row r="1091" spans="1:12">
      <c r="B1091" s="6"/>
      <c r="D1091" s="7"/>
      <c r="E1091" s="7"/>
      <c r="F1091" s="7"/>
      <c r="G1091" s="7"/>
      <c r="H1091" s="7"/>
      <c r="I1091" s="7"/>
      <c r="J1091" s="7"/>
      <c r="K1091" s="7"/>
      <c r="L1091" s="7"/>
    </row>
    <row r="1092" spans="1:12" ht="18.75">
      <c r="A1092" s="9" t="s">
        <v>100</v>
      </c>
      <c r="D1092" s="2">
        <f>'Facility Detail'!$B$1752</f>
        <v>2011</v>
      </c>
      <c r="E1092" s="2">
        <f>D1092+1</f>
        <v>2012</v>
      </c>
      <c r="F1092" s="2">
        <f>E1092+1</f>
        <v>2013</v>
      </c>
      <c r="G1092" s="2">
        <f t="shared" ref="G1092:K1092" si="386">F1092+1</f>
        <v>2014</v>
      </c>
      <c r="H1092" s="2">
        <f t="shared" si="386"/>
        <v>2015</v>
      </c>
      <c r="I1092" s="2">
        <f t="shared" si="386"/>
        <v>2016</v>
      </c>
      <c r="J1092" s="2">
        <f t="shared" si="386"/>
        <v>2017</v>
      </c>
      <c r="K1092" s="2">
        <f t="shared" si="386"/>
        <v>2018</v>
      </c>
      <c r="L1092" s="2"/>
    </row>
    <row r="1093" spans="1:12">
      <c r="B1093" s="88" t="s">
        <v>68</v>
      </c>
      <c r="C1093" s="80"/>
      <c r="D1093" s="3"/>
      <c r="E1093" s="68">
        <f>D1093</f>
        <v>0</v>
      </c>
      <c r="F1093" s="152"/>
      <c r="G1093" s="152"/>
      <c r="H1093" s="152"/>
      <c r="I1093" s="152"/>
      <c r="J1093" s="152"/>
      <c r="K1093" s="152"/>
      <c r="L1093" s="69"/>
    </row>
    <row r="1094" spans="1:12">
      <c r="B1094" s="88" t="s">
        <v>69</v>
      </c>
      <c r="C1094" s="80"/>
      <c r="D1094" s="189">
        <f>E1094</f>
        <v>0</v>
      </c>
      <c r="E1094" s="10"/>
      <c r="F1094" s="83"/>
      <c r="G1094" s="83"/>
      <c r="H1094" s="83"/>
      <c r="I1094" s="83"/>
      <c r="J1094" s="83"/>
      <c r="K1094" s="83"/>
      <c r="L1094" s="190"/>
    </row>
    <row r="1095" spans="1:12">
      <c r="B1095" s="88" t="s">
        <v>70</v>
      </c>
      <c r="C1095" s="80"/>
      <c r="D1095" s="70"/>
      <c r="E1095" s="10">
        <f>E1079</f>
        <v>0</v>
      </c>
      <c r="F1095" s="79">
        <f>E1095</f>
        <v>0</v>
      </c>
      <c r="G1095" s="83"/>
      <c r="H1095" s="83"/>
      <c r="I1095" s="83"/>
      <c r="J1095" s="83"/>
      <c r="K1095" s="83"/>
      <c r="L1095" s="190"/>
    </row>
    <row r="1096" spans="1:12">
      <c r="B1096" s="88" t="s">
        <v>71</v>
      </c>
      <c r="C1096" s="80"/>
      <c r="D1096" s="70"/>
      <c r="E1096" s="79">
        <f>F1096</f>
        <v>0</v>
      </c>
      <c r="F1096" s="188"/>
      <c r="G1096" s="83"/>
      <c r="H1096" s="83"/>
      <c r="I1096" s="83"/>
      <c r="J1096" s="83"/>
      <c r="K1096" s="83"/>
      <c r="L1096" s="190"/>
    </row>
    <row r="1097" spans="1:12">
      <c r="B1097" s="88" t="s">
        <v>194</v>
      </c>
      <c r="C1097" s="33"/>
      <c r="D1097" s="70"/>
      <c r="E1097" s="172"/>
      <c r="F1097" s="10">
        <f>F1079</f>
        <v>0</v>
      </c>
      <c r="G1097" s="173">
        <f>F1097</f>
        <v>0</v>
      </c>
      <c r="H1097" s="83"/>
      <c r="I1097" s="83"/>
      <c r="J1097" s="83"/>
      <c r="K1097" s="83"/>
      <c r="L1097" s="190"/>
    </row>
    <row r="1098" spans="1:12">
      <c r="B1098" s="88" t="s">
        <v>195</v>
      </c>
      <c r="C1098" s="33"/>
      <c r="D1098" s="70"/>
      <c r="E1098" s="172"/>
      <c r="F1098" s="79">
        <f>G1098</f>
        <v>0</v>
      </c>
      <c r="G1098" s="10"/>
      <c r="H1098" s="83"/>
      <c r="I1098" s="83"/>
      <c r="J1098" s="83"/>
      <c r="K1098" s="83"/>
      <c r="L1098" s="190"/>
    </row>
    <row r="1099" spans="1:12">
      <c r="B1099" s="88" t="s">
        <v>196</v>
      </c>
      <c r="C1099" s="33"/>
      <c r="D1099" s="70"/>
      <c r="E1099" s="172"/>
      <c r="F1099" s="172"/>
      <c r="G1099" s="10">
        <f>G1079</f>
        <v>0</v>
      </c>
      <c r="H1099" s="173">
        <f>G1099</f>
        <v>0</v>
      </c>
      <c r="I1099" s="172">
        <f>H1099</f>
        <v>0</v>
      </c>
      <c r="J1099" s="172"/>
      <c r="K1099" s="172"/>
      <c r="L1099" s="176"/>
    </row>
    <row r="1100" spans="1:12">
      <c r="B1100" s="88" t="s">
        <v>197</v>
      </c>
      <c r="C1100" s="33"/>
      <c r="D1100" s="70"/>
      <c r="E1100" s="172"/>
      <c r="F1100" s="172"/>
      <c r="G1100" s="174"/>
      <c r="H1100" s="175"/>
      <c r="I1100" s="172"/>
      <c r="J1100" s="172"/>
      <c r="K1100" s="172"/>
      <c r="L1100" s="176"/>
    </row>
    <row r="1101" spans="1:12">
      <c r="B1101" s="88" t="s">
        <v>198</v>
      </c>
      <c r="C1101" s="33"/>
      <c r="D1101" s="70"/>
      <c r="E1101" s="172"/>
      <c r="F1101" s="172"/>
      <c r="G1101" s="172"/>
      <c r="H1101" s="175">
        <v>0</v>
      </c>
      <c r="I1101" s="173">
        <f>H1101</f>
        <v>0</v>
      </c>
      <c r="J1101" s="173"/>
      <c r="K1101" s="173"/>
      <c r="L1101" s="353"/>
    </row>
    <row r="1102" spans="1:12">
      <c r="B1102" s="88" t="s">
        <v>199</v>
      </c>
      <c r="C1102" s="33"/>
      <c r="D1102" s="70"/>
      <c r="E1102" s="172"/>
      <c r="F1102" s="172"/>
      <c r="G1102" s="172"/>
      <c r="H1102" s="79"/>
      <c r="I1102" s="175"/>
      <c r="J1102" s="175"/>
      <c r="K1102" s="175"/>
      <c r="L1102" s="354"/>
    </row>
    <row r="1103" spans="1:12">
      <c r="B1103" s="88" t="s">
        <v>200</v>
      </c>
      <c r="C1103" s="33"/>
      <c r="D1103" s="70"/>
      <c r="E1103" s="172"/>
      <c r="F1103" s="172"/>
      <c r="G1103" s="172"/>
      <c r="H1103" s="172"/>
      <c r="I1103" s="175">
        <f>I1079</f>
        <v>7725</v>
      </c>
      <c r="J1103" s="175">
        <f>I1103</f>
        <v>7725</v>
      </c>
      <c r="K1103" s="175"/>
      <c r="L1103" s="354"/>
    </row>
    <row r="1104" spans="1:12">
      <c r="B1104" s="88" t="s">
        <v>191</v>
      </c>
      <c r="C1104" s="33"/>
      <c r="D1104" s="70"/>
      <c r="E1104" s="172"/>
      <c r="F1104" s="172"/>
      <c r="G1104" s="172"/>
      <c r="H1104" s="172"/>
      <c r="I1104" s="270"/>
      <c r="J1104" s="270"/>
      <c r="K1104" s="270"/>
      <c r="L1104" s="355"/>
    </row>
    <row r="1105" spans="1:12">
      <c r="B1105" s="88" t="s">
        <v>192</v>
      </c>
      <c r="C1105" s="33"/>
      <c r="D1105" s="71"/>
      <c r="E1105" s="154"/>
      <c r="F1105" s="154"/>
      <c r="G1105" s="154"/>
      <c r="H1105" s="154"/>
      <c r="I1105" s="154"/>
      <c r="J1105" s="154"/>
      <c r="K1105" s="154"/>
      <c r="L1105" s="352"/>
    </row>
    <row r="1106" spans="1:12">
      <c r="B1106" s="36" t="s">
        <v>17</v>
      </c>
      <c r="D1106" s="214">
        <f xml:space="preserve"> D1099 - D1098</f>
        <v>0</v>
      </c>
      <c r="E1106" s="214">
        <f xml:space="preserve"> E1098 + E1101 - E1100 - E1099</f>
        <v>0</v>
      </c>
      <c r="F1106" s="214">
        <f>F1100 - F1101</f>
        <v>0</v>
      </c>
      <c r="G1106" s="214">
        <f t="shared" ref="G1106" si="387">G1100 - G1101</f>
        <v>0</v>
      </c>
      <c r="H1106" s="31">
        <f>H1099-H1100-H1101</f>
        <v>0</v>
      </c>
      <c r="I1106" s="31">
        <f>I1101-I1102-I1103</f>
        <v>-7725</v>
      </c>
      <c r="J1106" s="31">
        <f>J1103-J1104-J1105</f>
        <v>7725</v>
      </c>
      <c r="K1106" s="31">
        <f>K1105</f>
        <v>0</v>
      </c>
      <c r="L1106" s="31"/>
    </row>
    <row r="1107" spans="1:12">
      <c r="B1107" s="6"/>
      <c r="D1107" s="7"/>
      <c r="E1107" s="7"/>
      <c r="F1107" s="7"/>
      <c r="G1107" s="7"/>
      <c r="H1107" s="7"/>
      <c r="I1107" s="7"/>
      <c r="J1107" s="7"/>
      <c r="K1107" s="7"/>
      <c r="L1107" s="7"/>
    </row>
    <row r="1108" spans="1:12">
      <c r="B1108" s="85" t="s">
        <v>12</v>
      </c>
      <c r="C1108" s="80"/>
      <c r="D1108" s="111"/>
      <c r="E1108" s="112"/>
      <c r="F1108" s="112"/>
      <c r="G1108" s="112"/>
      <c r="H1108" s="112"/>
      <c r="I1108" s="112"/>
      <c r="J1108" s="112"/>
      <c r="K1108" s="112"/>
      <c r="L1108" s="113"/>
    </row>
    <row r="1109" spans="1:12">
      <c r="B1109" s="6"/>
      <c r="D1109" s="7"/>
      <c r="E1109" s="7"/>
      <c r="F1109" s="7"/>
      <c r="G1109" s="7"/>
      <c r="H1109" s="7"/>
      <c r="I1109" s="7"/>
      <c r="J1109" s="7"/>
      <c r="K1109" s="7"/>
      <c r="L1109" s="7"/>
    </row>
    <row r="1110" spans="1:12" ht="18.75">
      <c r="A1110" s="45" t="s">
        <v>26</v>
      </c>
      <c r="C1110" s="80"/>
      <c r="D1110" s="49">
        <f xml:space="preserve"> D1079 + D1084 - D1090 + D1106 + D1108</f>
        <v>0</v>
      </c>
      <c r="E1110" s="50">
        <f xml:space="preserve"> E1079 + E1084 - E1090 + E1106 + E1108</f>
        <v>0</v>
      </c>
      <c r="F1110" s="50">
        <f xml:space="preserve"> F1079 + F1084 - F1090 + F1106 + F1108</f>
        <v>0</v>
      </c>
      <c r="G1110" s="50">
        <f t="shared" ref="G1110:J1110" si="388" xml:space="preserve"> G1079 + G1084 - G1090 + G1106 + G1108</f>
        <v>0</v>
      </c>
      <c r="H1110" s="50">
        <f t="shared" si="388"/>
        <v>0</v>
      </c>
      <c r="I1110" s="50">
        <f t="shared" si="388"/>
        <v>0</v>
      </c>
      <c r="J1110" s="50">
        <f t="shared" si="388"/>
        <v>7725</v>
      </c>
      <c r="K1110" s="50">
        <f t="shared" ref="K1110" si="389" xml:space="preserve"> K1079 + K1084 - K1090 + K1106 + K1108</f>
        <v>0</v>
      </c>
      <c r="L1110" s="51"/>
    </row>
    <row r="1111" spans="1:12">
      <c r="B1111" s="6"/>
      <c r="D1111" s="7"/>
      <c r="E1111" s="7"/>
      <c r="F1111" s="7"/>
      <c r="G1111" s="31"/>
      <c r="H1111" s="31"/>
      <c r="I1111" s="31"/>
      <c r="J1111" s="31"/>
      <c r="K1111" s="31"/>
      <c r="L1111" s="31"/>
    </row>
    <row r="1112" spans="1:12" ht="15.75" thickBot="1"/>
    <row r="1113" spans="1:12">
      <c r="A1113" s="8"/>
      <c r="B1113" s="8"/>
      <c r="C1113" s="8"/>
      <c r="D1113" s="8"/>
      <c r="E1113" s="8"/>
      <c r="F1113" s="8"/>
      <c r="G1113" s="8"/>
      <c r="H1113" s="8"/>
      <c r="I1113" s="8"/>
      <c r="J1113" s="8"/>
      <c r="K1113" s="8"/>
      <c r="L1113" s="8"/>
    </row>
    <row r="1114" spans="1:12">
      <c r="B1114" s="33"/>
      <c r="C1114" s="33"/>
      <c r="D1114" s="33"/>
      <c r="E1114" s="33"/>
      <c r="F1114" s="33"/>
      <c r="G1114" s="33"/>
      <c r="H1114" s="33"/>
      <c r="I1114" s="33"/>
      <c r="J1114" s="33"/>
      <c r="K1114" s="33"/>
      <c r="L1114" s="33"/>
    </row>
    <row r="1115" spans="1:12" ht="21">
      <c r="A1115" s="14" t="s">
        <v>4</v>
      </c>
      <c r="B1115" s="14"/>
      <c r="C1115" s="46" t="str">
        <f>B27</f>
        <v>Condon Wind Power Project - Condon Wind Power Project - REC Only</v>
      </c>
      <c r="D1115" s="47"/>
      <c r="E1115" s="24"/>
      <c r="F1115" s="24"/>
    </row>
    <row r="1117" spans="1:12" ht="18.75">
      <c r="A1117" s="9" t="s">
        <v>21</v>
      </c>
      <c r="B1117" s="9"/>
      <c r="D1117" s="2">
        <f>'Facility Detail'!$B$1752</f>
        <v>2011</v>
      </c>
      <c r="E1117" s="2">
        <f>D1117+1</f>
        <v>2012</v>
      </c>
      <c r="F1117" s="2">
        <f>E1117+1</f>
        <v>2013</v>
      </c>
      <c r="G1117" s="2">
        <f t="shared" ref="G1117:K1117" si="390">F1117+1</f>
        <v>2014</v>
      </c>
      <c r="H1117" s="2">
        <f t="shared" si="390"/>
        <v>2015</v>
      </c>
      <c r="I1117" s="2">
        <f t="shared" si="390"/>
        <v>2016</v>
      </c>
      <c r="J1117" s="2">
        <f t="shared" si="390"/>
        <v>2017</v>
      </c>
      <c r="K1117" s="2">
        <f t="shared" si="390"/>
        <v>2018</v>
      </c>
      <c r="L1117" s="2"/>
    </row>
    <row r="1118" spans="1:12">
      <c r="B1118" s="88" t="str">
        <f>"Total MWh Produced / Purchased from " &amp; C1115</f>
        <v>Total MWh Produced / Purchased from Condon Wind Power Project - Condon Wind Power Project - REC Only</v>
      </c>
      <c r="C1118" s="80"/>
      <c r="D1118" s="3"/>
      <c r="E1118" s="4"/>
      <c r="F1118" s="4"/>
      <c r="G1118" s="4"/>
      <c r="H1118" s="339"/>
      <c r="I1118" s="339">
        <v>8286</v>
      </c>
      <c r="J1118" s="339"/>
      <c r="K1118" s="339"/>
      <c r="L1118" s="370"/>
    </row>
    <row r="1119" spans="1:12">
      <c r="B1119" s="88" t="s">
        <v>25</v>
      </c>
      <c r="C1119" s="80"/>
      <c r="D1119" s="62"/>
      <c r="E1119" s="63"/>
      <c r="F1119" s="63"/>
      <c r="G1119" s="63"/>
      <c r="H1119" s="63"/>
      <c r="I1119" s="63">
        <v>1</v>
      </c>
      <c r="J1119" s="63">
        <v>1</v>
      </c>
      <c r="K1119" s="63">
        <v>1</v>
      </c>
      <c r="L1119" s="64"/>
    </row>
    <row r="1120" spans="1:12">
      <c r="B1120" s="88" t="s">
        <v>20</v>
      </c>
      <c r="C1120" s="80"/>
      <c r="D1120" s="54"/>
      <c r="E1120" s="55"/>
      <c r="F1120" s="55"/>
      <c r="G1120" s="55"/>
      <c r="H1120" s="55"/>
      <c r="I1120" s="55">
        <v>1</v>
      </c>
      <c r="J1120" s="55"/>
      <c r="K1120" s="55"/>
      <c r="L1120" s="56"/>
    </row>
    <row r="1121" spans="1:12">
      <c r="B1121" s="85" t="s">
        <v>22</v>
      </c>
      <c r="C1121" s="86"/>
      <c r="D1121" s="41">
        <f xml:space="preserve"> D1118 * D1119 * D1120</f>
        <v>0</v>
      </c>
      <c r="E1121" s="41">
        <f xml:space="preserve"> E1118 * E1119 * E1120</f>
        <v>0</v>
      </c>
      <c r="F1121" s="41">
        <f xml:space="preserve"> F1118 * F1119 * F1120</f>
        <v>0</v>
      </c>
      <c r="G1121" s="41">
        <f t="shared" ref="G1121" si="391" xml:space="preserve"> G1118 * G1119 * G1120</f>
        <v>0</v>
      </c>
      <c r="H1121" s="337">
        <f t="shared" ref="H1121" si="392" xml:space="preserve"> H1118 * H1119 * H1120</f>
        <v>0</v>
      </c>
      <c r="I1121" s="337">
        <f t="shared" ref="I1121" si="393" xml:space="preserve"> I1118 * I1119 * I1120</f>
        <v>8286</v>
      </c>
      <c r="J1121" s="337">
        <f t="shared" ref="J1121:K1121" si="394" xml:space="preserve"> J1118 * J1119 * J1120</f>
        <v>0</v>
      </c>
      <c r="K1121" s="337">
        <f t="shared" si="394"/>
        <v>0</v>
      </c>
      <c r="L1121" s="337"/>
    </row>
    <row r="1122" spans="1:12">
      <c r="B1122" s="24"/>
      <c r="C1122" s="33"/>
      <c r="D1122" s="40"/>
      <c r="E1122" s="40"/>
      <c r="F1122" s="40"/>
      <c r="G1122" s="40"/>
      <c r="H1122" s="40"/>
      <c r="I1122" s="40"/>
      <c r="J1122" s="40"/>
      <c r="K1122" s="40"/>
      <c r="L1122" s="40"/>
    </row>
    <row r="1123" spans="1:12" ht="18.75">
      <c r="A1123" s="48" t="s">
        <v>119</v>
      </c>
      <c r="C1123" s="33"/>
      <c r="D1123" s="2">
        <f>'Facility Detail'!$B$1752</f>
        <v>2011</v>
      </c>
      <c r="E1123" s="2">
        <f>D1123+1</f>
        <v>2012</v>
      </c>
      <c r="F1123" s="2">
        <f>E1123+1</f>
        <v>2013</v>
      </c>
      <c r="G1123" s="2">
        <f t="shared" ref="G1123:K1123" si="395">F1123+1</f>
        <v>2014</v>
      </c>
      <c r="H1123" s="2">
        <f t="shared" si="395"/>
        <v>2015</v>
      </c>
      <c r="I1123" s="2">
        <f t="shared" si="395"/>
        <v>2016</v>
      </c>
      <c r="J1123" s="2">
        <f t="shared" si="395"/>
        <v>2017</v>
      </c>
      <c r="K1123" s="2">
        <f t="shared" si="395"/>
        <v>2018</v>
      </c>
      <c r="L1123" s="2"/>
    </row>
    <row r="1124" spans="1:12">
      <c r="B1124" s="88" t="s">
        <v>10</v>
      </c>
      <c r="C1124" s="80"/>
      <c r="D1124" s="57">
        <f>IF( $E161 = "Eligible", D1121 * 'Facility Detail'!$B$1749, 0 )</f>
        <v>0</v>
      </c>
      <c r="E1124" s="11">
        <f>IF( $E161 = "Eligible", E1121 * 'Facility Detail'!$B$1749, 0 )</f>
        <v>0</v>
      </c>
      <c r="F1124" s="11">
        <f>IF( $E161 = "Eligible", F1121 * 'Facility Detail'!$B$1749, 0 )</f>
        <v>0</v>
      </c>
      <c r="G1124" s="11">
        <f>IF( $E161 = "Eligible", G1121 * 'Facility Detail'!$B$1749, 0 )</f>
        <v>0</v>
      </c>
      <c r="H1124" s="11">
        <f>IF( $E161 = "Eligible", H1121 * 'Facility Detail'!$B$1749, 0 )</f>
        <v>0</v>
      </c>
      <c r="I1124" s="11">
        <f>IF( $E161 = "Eligible", I1121 * 'Facility Detail'!$B$1749, 0 )</f>
        <v>0</v>
      </c>
      <c r="J1124" s="11">
        <f>IF( $E161 = "Eligible", J1121 * 'Facility Detail'!$B$1749, 0 )</f>
        <v>0</v>
      </c>
      <c r="K1124" s="11">
        <f>IF( $E161 = "Eligible", K1121 * 'Facility Detail'!$B$1749, 0 )</f>
        <v>0</v>
      </c>
      <c r="L1124" s="12"/>
    </row>
    <row r="1125" spans="1:12">
      <c r="B1125" s="88" t="s">
        <v>6</v>
      </c>
      <c r="C1125" s="80"/>
      <c r="D1125" s="58">
        <f>IF( $F161 = "Eligible", D1121, 0 )</f>
        <v>0</v>
      </c>
      <c r="E1125" s="59">
        <f>IF( $F161 = "Eligible", E1121, 0 )</f>
        <v>0</v>
      </c>
      <c r="F1125" s="59">
        <f>IF( $F161 = "Eligible", F1121, 0 )</f>
        <v>0</v>
      </c>
      <c r="G1125" s="59">
        <f t="shared" ref="G1125:I1125" si="396">IF( $F161 = "Eligible", G1121, 0 )</f>
        <v>0</v>
      </c>
      <c r="H1125" s="59">
        <f t="shared" si="396"/>
        <v>0</v>
      </c>
      <c r="I1125" s="59">
        <f t="shared" si="396"/>
        <v>0</v>
      </c>
      <c r="J1125" s="59">
        <f t="shared" ref="J1125" si="397">IF( $F161 = "Eligible", J1121, 0 )</f>
        <v>0</v>
      </c>
      <c r="K1125" s="59">
        <f t="shared" ref="K1125" si="398">IF( $F161 = "Eligible", K1121, 0 )</f>
        <v>0</v>
      </c>
      <c r="L1125" s="60"/>
    </row>
    <row r="1126" spans="1:12">
      <c r="B1126" s="87" t="s">
        <v>121</v>
      </c>
      <c r="C1126" s="86"/>
      <c r="D1126" s="43">
        <f>SUM(D1124:D1125)</f>
        <v>0</v>
      </c>
      <c r="E1126" s="44">
        <f>SUM(E1124:E1125)</f>
        <v>0</v>
      </c>
      <c r="F1126" s="44">
        <f>SUM(F1124:F1125)</f>
        <v>0</v>
      </c>
      <c r="G1126" s="44">
        <f t="shared" ref="G1126" si="399">SUM(G1124:G1125)</f>
        <v>0</v>
      </c>
      <c r="H1126" s="44">
        <f t="shared" ref="H1126" si="400">SUM(H1124:H1125)</f>
        <v>0</v>
      </c>
      <c r="I1126" s="44">
        <f t="shared" ref="I1126:J1126" si="401">SUM(I1124:I1125)</f>
        <v>0</v>
      </c>
      <c r="J1126" s="44">
        <f t="shared" si="401"/>
        <v>0</v>
      </c>
      <c r="K1126" s="44">
        <f t="shared" ref="K1126" si="402">SUM(K1124:K1125)</f>
        <v>0</v>
      </c>
      <c r="L1126" s="44"/>
    </row>
    <row r="1127" spans="1:12">
      <c r="B1127" s="33"/>
      <c r="C1127" s="33"/>
      <c r="D1127" s="42"/>
      <c r="E1127" s="34"/>
      <c r="F1127" s="34"/>
      <c r="G1127" s="34"/>
      <c r="H1127" s="34"/>
      <c r="I1127" s="34"/>
      <c r="J1127" s="34"/>
      <c r="K1127" s="34"/>
      <c r="L1127" s="34"/>
    </row>
    <row r="1128" spans="1:12" ht="18.75">
      <c r="A1128" s="45" t="s">
        <v>30</v>
      </c>
      <c r="C1128" s="33"/>
      <c r="D1128" s="2">
        <f>'Facility Detail'!$B$1752</f>
        <v>2011</v>
      </c>
      <c r="E1128" s="2">
        <f>D1128+1</f>
        <v>2012</v>
      </c>
      <c r="F1128" s="2">
        <f>E1128+1</f>
        <v>2013</v>
      </c>
      <c r="G1128" s="2">
        <f t="shared" ref="G1128:K1128" si="403">F1128+1</f>
        <v>2014</v>
      </c>
      <c r="H1128" s="2">
        <f t="shared" si="403"/>
        <v>2015</v>
      </c>
      <c r="I1128" s="2">
        <f t="shared" si="403"/>
        <v>2016</v>
      </c>
      <c r="J1128" s="2">
        <f t="shared" si="403"/>
        <v>2017</v>
      </c>
      <c r="K1128" s="2">
        <f t="shared" si="403"/>
        <v>2018</v>
      </c>
      <c r="L1128" s="2"/>
    </row>
    <row r="1129" spans="1:12">
      <c r="B1129" s="88" t="s">
        <v>47</v>
      </c>
      <c r="C1129" s="80"/>
      <c r="D1129" s="98"/>
      <c r="E1129" s="99"/>
      <c r="F1129" s="99"/>
      <c r="G1129" s="99"/>
      <c r="H1129" s="99"/>
      <c r="I1129" s="99"/>
      <c r="J1129" s="99"/>
      <c r="K1129" s="99"/>
      <c r="L1129" s="100"/>
    </row>
    <row r="1130" spans="1:12">
      <c r="B1130" s="89" t="s">
        <v>23</v>
      </c>
      <c r="C1130" s="207"/>
      <c r="D1130" s="101"/>
      <c r="E1130" s="102"/>
      <c r="F1130" s="102"/>
      <c r="G1130" s="102"/>
      <c r="H1130" s="102"/>
      <c r="I1130" s="102"/>
      <c r="J1130" s="102"/>
      <c r="K1130" s="102"/>
      <c r="L1130" s="103"/>
    </row>
    <row r="1131" spans="1:12">
      <c r="B1131" s="104" t="s">
        <v>89</v>
      </c>
      <c r="C1131" s="205"/>
      <c r="D1131" s="65"/>
      <c r="E1131" s="66"/>
      <c r="F1131" s="66"/>
      <c r="G1131" s="66"/>
      <c r="H1131" s="66"/>
      <c r="I1131" s="66"/>
      <c r="J1131" s="66"/>
      <c r="K1131" s="66"/>
      <c r="L1131" s="67"/>
    </row>
    <row r="1132" spans="1:12">
      <c r="B1132" s="36" t="s">
        <v>90</v>
      </c>
      <c r="D1132" s="7">
        <f>SUM(D1129:D1131)</f>
        <v>0</v>
      </c>
      <c r="E1132" s="7">
        <f>SUM(E1129:E1131)</f>
        <v>0</v>
      </c>
      <c r="F1132" s="7">
        <f>SUM(F1129:F1131)</f>
        <v>0</v>
      </c>
      <c r="G1132" s="7">
        <f t="shared" ref="G1132" si="404">SUM(G1129:G1131)</f>
        <v>0</v>
      </c>
      <c r="H1132" s="7">
        <f t="shared" ref="H1132" si="405">SUM(H1129:H1131)</f>
        <v>0</v>
      </c>
      <c r="I1132" s="7">
        <f t="shared" ref="I1132:J1132" si="406">SUM(I1129:I1131)</f>
        <v>0</v>
      </c>
      <c r="J1132" s="7">
        <f t="shared" si="406"/>
        <v>0</v>
      </c>
      <c r="K1132" s="7">
        <f t="shared" ref="K1132" si="407">SUM(K1129:K1131)</f>
        <v>0</v>
      </c>
      <c r="L1132" s="7"/>
    </row>
    <row r="1133" spans="1:12">
      <c r="B1133" s="6"/>
      <c r="D1133" s="7"/>
      <c r="E1133" s="7"/>
      <c r="F1133" s="7"/>
      <c r="G1133" s="7"/>
      <c r="H1133" s="7"/>
      <c r="I1133" s="7"/>
      <c r="J1133" s="7"/>
      <c r="K1133" s="7"/>
      <c r="L1133" s="7"/>
    </row>
    <row r="1134" spans="1:12" ht="18.75">
      <c r="A1134" s="9" t="s">
        <v>100</v>
      </c>
      <c r="D1134" s="2">
        <f>'Facility Detail'!$B$1752</f>
        <v>2011</v>
      </c>
      <c r="E1134" s="2">
        <f>D1134+1</f>
        <v>2012</v>
      </c>
      <c r="F1134" s="2">
        <f>E1134+1</f>
        <v>2013</v>
      </c>
      <c r="G1134" s="2">
        <f t="shared" ref="G1134:K1134" si="408">F1134+1</f>
        <v>2014</v>
      </c>
      <c r="H1134" s="2">
        <f t="shared" si="408"/>
        <v>2015</v>
      </c>
      <c r="I1134" s="2">
        <f t="shared" si="408"/>
        <v>2016</v>
      </c>
      <c r="J1134" s="2">
        <f t="shared" si="408"/>
        <v>2017</v>
      </c>
      <c r="K1134" s="2">
        <f t="shared" si="408"/>
        <v>2018</v>
      </c>
      <c r="L1134" s="2"/>
    </row>
    <row r="1135" spans="1:12">
      <c r="B1135" s="88" t="s">
        <v>68</v>
      </c>
      <c r="C1135" s="80"/>
      <c r="D1135" s="3"/>
      <c r="E1135" s="68">
        <f>D1135</f>
        <v>0</v>
      </c>
      <c r="F1135" s="152"/>
      <c r="G1135" s="152"/>
      <c r="H1135" s="152"/>
      <c r="I1135" s="152"/>
      <c r="J1135" s="152"/>
      <c r="K1135" s="152"/>
      <c r="L1135" s="69"/>
    </row>
    <row r="1136" spans="1:12">
      <c r="B1136" s="88" t="s">
        <v>69</v>
      </c>
      <c r="C1136" s="80"/>
      <c r="D1136" s="189">
        <f>E1136</f>
        <v>0</v>
      </c>
      <c r="E1136" s="10"/>
      <c r="F1136" s="83"/>
      <c r="G1136" s="83"/>
      <c r="H1136" s="83"/>
      <c r="I1136" s="83"/>
      <c r="J1136" s="83"/>
      <c r="K1136" s="83"/>
      <c r="L1136" s="190"/>
    </row>
    <row r="1137" spans="1:12">
      <c r="B1137" s="88" t="s">
        <v>70</v>
      </c>
      <c r="C1137" s="80"/>
      <c r="D1137" s="70"/>
      <c r="E1137" s="10">
        <f>E1121</f>
        <v>0</v>
      </c>
      <c r="F1137" s="79">
        <f>E1137</f>
        <v>0</v>
      </c>
      <c r="G1137" s="83"/>
      <c r="H1137" s="83"/>
      <c r="I1137" s="83"/>
      <c r="J1137" s="83"/>
      <c r="K1137" s="83"/>
      <c r="L1137" s="190"/>
    </row>
    <row r="1138" spans="1:12">
      <c r="B1138" s="88" t="s">
        <v>71</v>
      </c>
      <c r="C1138" s="80"/>
      <c r="D1138" s="70"/>
      <c r="E1138" s="79">
        <f>F1138</f>
        <v>0</v>
      </c>
      <c r="F1138" s="188"/>
      <c r="G1138" s="83"/>
      <c r="H1138" s="83"/>
      <c r="I1138" s="83"/>
      <c r="J1138" s="83"/>
      <c r="K1138" s="83"/>
      <c r="L1138" s="190"/>
    </row>
    <row r="1139" spans="1:12">
      <c r="B1139" s="88" t="s">
        <v>194</v>
      </c>
      <c r="C1139" s="33"/>
      <c r="D1139" s="70"/>
      <c r="E1139" s="172"/>
      <c r="F1139" s="10">
        <f>F1121</f>
        <v>0</v>
      </c>
      <c r="G1139" s="173">
        <f>F1139</f>
        <v>0</v>
      </c>
      <c r="H1139" s="83"/>
      <c r="I1139" s="83"/>
      <c r="J1139" s="83"/>
      <c r="K1139" s="83"/>
      <c r="L1139" s="190"/>
    </row>
    <row r="1140" spans="1:12">
      <c r="B1140" s="88" t="s">
        <v>195</v>
      </c>
      <c r="C1140" s="33"/>
      <c r="D1140" s="70"/>
      <c r="E1140" s="172"/>
      <c r="F1140" s="79">
        <f>G1140</f>
        <v>0</v>
      </c>
      <c r="G1140" s="10"/>
      <c r="H1140" s="83"/>
      <c r="I1140" s="83"/>
      <c r="J1140" s="83"/>
      <c r="K1140" s="83"/>
      <c r="L1140" s="190"/>
    </row>
    <row r="1141" spans="1:12">
      <c r="B1141" s="88" t="s">
        <v>196</v>
      </c>
      <c r="C1141" s="33"/>
      <c r="D1141" s="70"/>
      <c r="E1141" s="172"/>
      <c r="F1141" s="172"/>
      <c r="G1141" s="10">
        <f>G1121</f>
        <v>0</v>
      </c>
      <c r="H1141" s="173">
        <f>G1141</f>
        <v>0</v>
      </c>
      <c r="I1141" s="172">
        <f>H1141</f>
        <v>0</v>
      </c>
      <c r="J1141" s="172"/>
      <c r="K1141" s="172"/>
      <c r="L1141" s="176"/>
    </row>
    <row r="1142" spans="1:12">
      <c r="B1142" s="88" t="s">
        <v>197</v>
      </c>
      <c r="C1142" s="33"/>
      <c r="D1142" s="70"/>
      <c r="E1142" s="172"/>
      <c r="F1142" s="172"/>
      <c r="G1142" s="174"/>
      <c r="H1142" s="175"/>
      <c r="I1142" s="172"/>
      <c r="J1142" s="172"/>
      <c r="K1142" s="172"/>
      <c r="L1142" s="176"/>
    </row>
    <row r="1143" spans="1:12">
      <c r="B1143" s="88" t="s">
        <v>198</v>
      </c>
      <c r="C1143" s="33"/>
      <c r="D1143" s="70"/>
      <c r="E1143" s="172"/>
      <c r="F1143" s="172"/>
      <c r="G1143" s="172"/>
      <c r="H1143" s="175">
        <v>0</v>
      </c>
      <c r="I1143" s="173">
        <f>H1143</f>
        <v>0</v>
      </c>
      <c r="J1143" s="173"/>
      <c r="K1143" s="173"/>
      <c r="L1143" s="353"/>
    </row>
    <row r="1144" spans="1:12">
      <c r="B1144" s="88" t="s">
        <v>199</v>
      </c>
      <c r="C1144" s="33"/>
      <c r="D1144" s="70"/>
      <c r="E1144" s="172"/>
      <c r="F1144" s="172"/>
      <c r="G1144" s="172"/>
      <c r="H1144" s="79"/>
      <c r="I1144" s="175"/>
      <c r="J1144" s="175"/>
      <c r="K1144" s="175"/>
      <c r="L1144" s="354"/>
    </row>
    <row r="1145" spans="1:12">
      <c r="B1145" s="88" t="s">
        <v>200</v>
      </c>
      <c r="C1145" s="33"/>
      <c r="D1145" s="70"/>
      <c r="E1145" s="172"/>
      <c r="F1145" s="172"/>
      <c r="G1145" s="172"/>
      <c r="H1145" s="172"/>
      <c r="I1145" s="175">
        <f>I1121</f>
        <v>8286</v>
      </c>
      <c r="J1145" s="175">
        <f>I1145</f>
        <v>8286</v>
      </c>
      <c r="K1145" s="175"/>
      <c r="L1145" s="354"/>
    </row>
    <row r="1146" spans="1:12">
      <c r="B1146" s="88" t="s">
        <v>191</v>
      </c>
      <c r="C1146" s="33"/>
      <c r="D1146" s="70"/>
      <c r="E1146" s="172"/>
      <c r="F1146" s="172"/>
      <c r="G1146" s="172"/>
      <c r="H1146" s="172"/>
      <c r="I1146" s="270"/>
      <c r="J1146" s="270"/>
      <c r="K1146" s="270"/>
      <c r="L1146" s="355"/>
    </row>
    <row r="1147" spans="1:12">
      <c r="B1147" s="88" t="s">
        <v>192</v>
      </c>
      <c r="C1147" s="33"/>
      <c r="D1147" s="71"/>
      <c r="E1147" s="154"/>
      <c r="F1147" s="154"/>
      <c r="G1147" s="154"/>
      <c r="H1147" s="154"/>
      <c r="I1147" s="154"/>
      <c r="J1147" s="154"/>
      <c r="K1147" s="154"/>
      <c r="L1147" s="352"/>
    </row>
    <row r="1148" spans="1:12">
      <c r="B1148" s="36" t="s">
        <v>17</v>
      </c>
      <c r="D1148" s="214">
        <f xml:space="preserve"> D1141 - D1140</f>
        <v>0</v>
      </c>
      <c r="E1148" s="214">
        <f xml:space="preserve"> E1140 + E1143 - E1142 - E1141</f>
        <v>0</v>
      </c>
      <c r="F1148" s="214">
        <f>F1142 - F1143</f>
        <v>0</v>
      </c>
      <c r="G1148" s="214">
        <f t="shared" ref="G1148" si="409">G1142 - G1143</f>
        <v>0</v>
      </c>
      <c r="H1148" s="31">
        <f>H1141-H1142-H1143</f>
        <v>0</v>
      </c>
      <c r="I1148" s="31">
        <f>I1143-I1144-I1145</f>
        <v>-8286</v>
      </c>
      <c r="J1148" s="31">
        <f>J1145-J1146-J1147</f>
        <v>8286</v>
      </c>
      <c r="K1148" s="31">
        <f>K1147</f>
        <v>0</v>
      </c>
      <c r="L1148" s="31"/>
    </row>
    <row r="1149" spans="1:12">
      <c r="B1149" s="6"/>
      <c r="D1149" s="7"/>
      <c r="E1149" s="7"/>
      <c r="F1149" s="7"/>
      <c r="G1149" s="7"/>
      <c r="H1149" s="7"/>
      <c r="I1149" s="7"/>
      <c r="J1149" s="7"/>
      <c r="K1149" s="7"/>
      <c r="L1149" s="7"/>
    </row>
    <row r="1150" spans="1:12">
      <c r="B1150" s="85" t="s">
        <v>12</v>
      </c>
      <c r="C1150" s="80"/>
      <c r="D1150" s="111"/>
      <c r="E1150" s="112"/>
      <c r="F1150" s="112"/>
      <c r="G1150" s="112"/>
      <c r="H1150" s="112"/>
      <c r="I1150" s="112"/>
      <c r="J1150" s="112"/>
      <c r="K1150" s="112"/>
      <c r="L1150" s="113"/>
    </row>
    <row r="1151" spans="1:12">
      <c r="B1151" s="6"/>
      <c r="D1151" s="7"/>
      <c r="E1151" s="7"/>
      <c r="F1151" s="7"/>
      <c r="G1151" s="7"/>
      <c r="H1151" s="7"/>
      <c r="I1151" s="7"/>
      <c r="J1151" s="7"/>
      <c r="K1151" s="7"/>
      <c r="L1151" s="7"/>
    </row>
    <row r="1152" spans="1:12" ht="18.75">
      <c r="A1152" s="45" t="s">
        <v>26</v>
      </c>
      <c r="C1152" s="80"/>
      <c r="D1152" s="49">
        <f xml:space="preserve"> D1121 + D1126 - D1132 + D1148 + D1150</f>
        <v>0</v>
      </c>
      <c r="E1152" s="50">
        <f xml:space="preserve"> E1121 + E1126 - E1132 + E1148 + E1150</f>
        <v>0</v>
      </c>
      <c r="F1152" s="50">
        <f xml:space="preserve"> F1121 + F1126 - F1132 + F1148 + F1150</f>
        <v>0</v>
      </c>
      <c r="G1152" s="50">
        <f t="shared" ref="G1152:J1152" si="410" xml:space="preserve"> G1121 + G1126 - G1132 + G1148 + G1150</f>
        <v>0</v>
      </c>
      <c r="H1152" s="50">
        <f t="shared" si="410"/>
        <v>0</v>
      </c>
      <c r="I1152" s="50">
        <f t="shared" si="410"/>
        <v>0</v>
      </c>
      <c r="J1152" s="50">
        <f t="shared" si="410"/>
        <v>8286</v>
      </c>
      <c r="K1152" s="50">
        <f t="shared" ref="K1152" si="411" xml:space="preserve"> K1121 + K1126 - K1132 + K1148 + K1150</f>
        <v>0</v>
      </c>
      <c r="L1152" s="51"/>
    </row>
    <row r="1153" spans="1:12">
      <c r="B1153" s="6"/>
      <c r="D1153" s="7"/>
      <c r="E1153" s="7"/>
      <c r="F1153" s="7"/>
      <c r="G1153" s="31"/>
      <c r="H1153" s="31"/>
      <c r="I1153" s="31"/>
      <c r="J1153" s="31"/>
      <c r="K1153" s="31"/>
      <c r="L1153" s="31"/>
    </row>
    <row r="1154" spans="1:12" ht="15.75" thickBot="1"/>
    <row r="1155" spans="1:12">
      <c r="A1155" s="8"/>
      <c r="B1155" s="8"/>
      <c r="C1155" s="8"/>
      <c r="D1155" s="8"/>
      <c r="E1155" s="8"/>
      <c r="F1155" s="8"/>
      <c r="G1155" s="8"/>
      <c r="H1155" s="8"/>
      <c r="I1155" s="8"/>
      <c r="J1155" s="8"/>
      <c r="K1155" s="8"/>
      <c r="L1155" s="8"/>
    </row>
    <row r="1156" spans="1:12">
      <c r="B1156" s="33"/>
      <c r="C1156" s="33"/>
      <c r="D1156" s="33"/>
      <c r="E1156" s="33"/>
      <c r="F1156" s="33"/>
      <c r="G1156" s="33"/>
      <c r="H1156" s="33"/>
      <c r="I1156" s="33"/>
      <c r="J1156" s="33"/>
      <c r="K1156" s="33"/>
      <c r="L1156" s="33"/>
    </row>
    <row r="1157" spans="1:12" ht="21">
      <c r="A1157" s="14" t="s">
        <v>4</v>
      </c>
      <c r="B1157" s="14"/>
      <c r="C1157" s="46" t="str">
        <f>B29</f>
        <v>Meadow Creek Wind Farm - Five Pine Project - REC Only</v>
      </c>
      <c r="D1157" s="47"/>
      <c r="E1157" s="24"/>
      <c r="F1157" s="24"/>
    </row>
    <row r="1159" spans="1:12" ht="18.75">
      <c r="A1159" s="9" t="s">
        <v>21</v>
      </c>
      <c r="B1159" s="9"/>
      <c r="D1159" s="2">
        <f>'Facility Detail'!$B$1752</f>
        <v>2011</v>
      </c>
      <c r="E1159" s="2">
        <f>D1159+1</f>
        <v>2012</v>
      </c>
      <c r="F1159" s="2">
        <f>E1159+1</f>
        <v>2013</v>
      </c>
      <c r="G1159" s="2">
        <f t="shared" ref="G1159:K1159" si="412">F1159+1</f>
        <v>2014</v>
      </c>
      <c r="H1159" s="2">
        <f t="shared" si="412"/>
        <v>2015</v>
      </c>
      <c r="I1159" s="2">
        <f t="shared" si="412"/>
        <v>2016</v>
      </c>
      <c r="J1159" s="2">
        <f t="shared" si="412"/>
        <v>2017</v>
      </c>
      <c r="K1159" s="2">
        <f t="shared" si="412"/>
        <v>2018</v>
      </c>
      <c r="L1159" s="2">
        <v>2019</v>
      </c>
    </row>
    <row r="1160" spans="1:12">
      <c r="B1160" s="88" t="str">
        <f>"Total MWh Produced / Purchased from " &amp; C1157</f>
        <v>Total MWh Produced / Purchased from Meadow Creek Wind Farm - Five Pine Project - REC Only</v>
      </c>
      <c r="C1160" s="80"/>
      <c r="D1160" s="3"/>
      <c r="E1160" s="4"/>
      <c r="F1160" s="4"/>
      <c r="G1160" s="4"/>
      <c r="H1160" s="339"/>
      <c r="I1160" s="339">
        <f>2260+27459</f>
        <v>29719</v>
      </c>
      <c r="J1160" s="339"/>
      <c r="K1160" s="339"/>
      <c r="L1160" s="339"/>
    </row>
    <row r="1161" spans="1:12">
      <c r="B1161" s="88" t="s">
        <v>25</v>
      </c>
      <c r="C1161" s="80"/>
      <c r="D1161" s="62"/>
      <c r="E1161" s="63"/>
      <c r="F1161" s="63"/>
      <c r="G1161" s="63"/>
      <c r="H1161" s="344"/>
      <c r="I1161" s="344">
        <v>1</v>
      </c>
      <c r="J1161" s="344">
        <v>1</v>
      </c>
      <c r="K1161" s="344">
        <v>1</v>
      </c>
      <c r="L1161" s="344"/>
    </row>
    <row r="1162" spans="1:12">
      <c r="B1162" s="88" t="s">
        <v>20</v>
      </c>
      <c r="C1162" s="80"/>
      <c r="D1162" s="54"/>
      <c r="E1162" s="55"/>
      <c r="F1162" s="55"/>
      <c r="G1162" s="55"/>
      <c r="H1162" s="363"/>
      <c r="I1162" s="363">
        <v>1</v>
      </c>
      <c r="J1162" s="363"/>
      <c r="K1162" s="363"/>
      <c r="L1162" s="363"/>
    </row>
    <row r="1163" spans="1:12">
      <c r="B1163" s="85" t="s">
        <v>22</v>
      </c>
      <c r="C1163" s="86"/>
      <c r="D1163" s="41">
        <f xml:space="preserve"> D1160 * D1161 * D1162</f>
        <v>0</v>
      </c>
      <c r="E1163" s="41">
        <f xml:space="preserve"> E1160 * E1161 * E1162</f>
        <v>0</v>
      </c>
      <c r="F1163" s="41">
        <f xml:space="preserve"> F1160 * F1161 * F1162</f>
        <v>0</v>
      </c>
      <c r="G1163" s="41">
        <f t="shared" ref="G1163" si="413" xml:space="preserve"> G1160 * G1161 * G1162</f>
        <v>0</v>
      </c>
      <c r="H1163" s="337">
        <f t="shared" ref="H1163" si="414" xml:space="preserve"> H1160 * H1161 * H1162</f>
        <v>0</v>
      </c>
      <c r="I1163" s="337">
        <f t="shared" ref="I1163" si="415" xml:space="preserve"> I1160 * I1161 * I1162</f>
        <v>29719</v>
      </c>
      <c r="J1163" s="337">
        <f t="shared" ref="J1163:K1163" si="416" xml:space="preserve"> J1160 * J1161 * J1162</f>
        <v>0</v>
      </c>
      <c r="K1163" s="337">
        <f t="shared" si="416"/>
        <v>0</v>
      </c>
      <c r="L1163" s="337"/>
    </row>
    <row r="1164" spans="1:12">
      <c r="B1164" s="24"/>
      <c r="C1164" s="33"/>
      <c r="D1164" s="40"/>
      <c r="E1164" s="40"/>
      <c r="F1164" s="40"/>
      <c r="G1164" s="40"/>
      <c r="H1164" s="40"/>
      <c r="I1164" s="40"/>
      <c r="J1164" s="40"/>
      <c r="K1164" s="40"/>
      <c r="L1164" s="40"/>
    </row>
    <row r="1165" spans="1:12" ht="18.75">
      <c r="A1165" s="48" t="s">
        <v>119</v>
      </c>
      <c r="C1165" s="33"/>
      <c r="D1165" s="2">
        <f>'Facility Detail'!$B$1752</f>
        <v>2011</v>
      </c>
      <c r="E1165" s="2">
        <f>D1165+1</f>
        <v>2012</v>
      </c>
      <c r="F1165" s="2">
        <f>E1165+1</f>
        <v>2013</v>
      </c>
      <c r="G1165" s="2">
        <f t="shared" ref="G1165:K1165" si="417">F1165+1</f>
        <v>2014</v>
      </c>
      <c r="H1165" s="2">
        <f t="shared" si="417"/>
        <v>2015</v>
      </c>
      <c r="I1165" s="2">
        <f t="shared" si="417"/>
        <v>2016</v>
      </c>
      <c r="J1165" s="2">
        <f t="shared" si="417"/>
        <v>2017</v>
      </c>
      <c r="K1165" s="2">
        <f t="shared" si="417"/>
        <v>2018</v>
      </c>
      <c r="L1165" s="2">
        <v>2019</v>
      </c>
    </row>
    <row r="1166" spans="1:12">
      <c r="B1166" s="88" t="s">
        <v>10</v>
      </c>
      <c r="C1166" s="80"/>
      <c r="D1166" s="57">
        <f>IF( $E205 = "Eligible", D1163 * 'Facility Detail'!$B$1749, 0 )</f>
        <v>0</v>
      </c>
      <c r="E1166" s="11">
        <f>IF( $E205 = "Eligible", E1163 * 'Facility Detail'!$B$1749, 0 )</f>
        <v>0</v>
      </c>
      <c r="F1166" s="11">
        <f>IF( $E205 = "Eligible", F1163 * 'Facility Detail'!$B$1749, 0 )</f>
        <v>0</v>
      </c>
      <c r="G1166" s="11">
        <f>IF( $E205 = "Eligible", G1163 * 'Facility Detail'!$B$1749, 0 )</f>
        <v>0</v>
      </c>
      <c r="H1166" s="11">
        <f>IF( $E205 = "Eligible", H1163 * 'Facility Detail'!$B$1749, 0 )</f>
        <v>0</v>
      </c>
      <c r="I1166" s="11">
        <f>IF( $E205 = "Eligible", I1163 * 'Facility Detail'!$B$1749, 0 )</f>
        <v>0</v>
      </c>
      <c r="J1166" s="11">
        <f>IF( $E205 = "Eligible", J1163 * 'Facility Detail'!$B$1749, 0 )</f>
        <v>0</v>
      </c>
      <c r="K1166" s="11">
        <f>IF( $E205 = "Eligible", K1163 * 'Facility Detail'!$B$1749, 0 )</f>
        <v>0</v>
      </c>
      <c r="L1166" s="11"/>
    </row>
    <row r="1167" spans="1:12">
      <c r="B1167" s="88" t="s">
        <v>6</v>
      </c>
      <c r="C1167" s="80"/>
      <c r="D1167" s="58">
        <f>IF( $F205 = "Eligible", D1163, 0 )</f>
        <v>0</v>
      </c>
      <c r="E1167" s="59">
        <f>IF( $F205 = "Eligible", E1163, 0 )</f>
        <v>0</v>
      </c>
      <c r="F1167" s="59">
        <f>IF( $F205 = "Eligible", F1163, 0 )</f>
        <v>0</v>
      </c>
      <c r="G1167" s="59">
        <f t="shared" ref="G1167:I1167" si="418">IF( $F205 = "Eligible", G1163, 0 )</f>
        <v>0</v>
      </c>
      <c r="H1167" s="59">
        <f t="shared" si="418"/>
        <v>0</v>
      </c>
      <c r="I1167" s="59">
        <f t="shared" si="418"/>
        <v>0</v>
      </c>
      <c r="J1167" s="59">
        <f t="shared" ref="J1167" si="419">IF( $F205 = "Eligible", J1163, 0 )</f>
        <v>0</v>
      </c>
      <c r="K1167" s="59">
        <f t="shared" ref="K1167" si="420">IF( $F205 = "Eligible", K1163, 0 )</f>
        <v>0</v>
      </c>
      <c r="L1167" s="59"/>
    </row>
    <row r="1168" spans="1:12">
      <c r="B1168" s="87" t="s">
        <v>121</v>
      </c>
      <c r="C1168" s="86"/>
      <c r="D1168" s="43">
        <f>SUM(D1166:D1167)</f>
        <v>0</v>
      </c>
      <c r="E1168" s="44">
        <f>SUM(E1166:E1167)</f>
        <v>0</v>
      </c>
      <c r="F1168" s="44">
        <f>SUM(F1166:F1167)</f>
        <v>0</v>
      </c>
      <c r="G1168" s="44">
        <f t="shared" ref="G1168" si="421">SUM(G1166:G1167)</f>
        <v>0</v>
      </c>
      <c r="H1168" s="44">
        <f t="shared" ref="H1168" si="422">SUM(H1166:H1167)</f>
        <v>0</v>
      </c>
      <c r="I1168" s="44">
        <f t="shared" ref="I1168:J1168" si="423">SUM(I1166:I1167)</f>
        <v>0</v>
      </c>
      <c r="J1168" s="44">
        <f t="shared" si="423"/>
        <v>0</v>
      </c>
      <c r="K1168" s="44">
        <f t="shared" ref="K1168" si="424">SUM(K1166:K1167)</f>
        <v>0</v>
      </c>
      <c r="L1168" s="44"/>
    </row>
    <row r="1169" spans="1:12">
      <c r="B1169" s="33"/>
      <c r="C1169" s="33"/>
      <c r="D1169" s="42"/>
      <c r="E1169" s="34"/>
      <c r="F1169" s="34"/>
      <c r="G1169" s="34"/>
      <c r="H1169" s="34"/>
      <c r="I1169" s="34"/>
      <c r="J1169" s="34"/>
      <c r="K1169" s="34"/>
      <c r="L1169" s="34"/>
    </row>
    <row r="1170" spans="1:12" ht="18.75">
      <c r="A1170" s="45" t="s">
        <v>30</v>
      </c>
      <c r="C1170" s="33"/>
      <c r="D1170" s="2">
        <f>'Facility Detail'!$B$1752</f>
        <v>2011</v>
      </c>
      <c r="E1170" s="2">
        <f>D1170+1</f>
        <v>2012</v>
      </c>
      <c r="F1170" s="2">
        <f>E1170+1</f>
        <v>2013</v>
      </c>
      <c r="G1170" s="2">
        <f t="shared" ref="G1170:K1170" si="425">F1170+1</f>
        <v>2014</v>
      </c>
      <c r="H1170" s="2">
        <f t="shared" si="425"/>
        <v>2015</v>
      </c>
      <c r="I1170" s="2">
        <f t="shared" si="425"/>
        <v>2016</v>
      </c>
      <c r="J1170" s="2">
        <f t="shared" si="425"/>
        <v>2017</v>
      </c>
      <c r="K1170" s="2">
        <f t="shared" si="425"/>
        <v>2018</v>
      </c>
      <c r="L1170" s="2">
        <v>2019</v>
      </c>
    </row>
    <row r="1171" spans="1:12">
      <c r="B1171" s="88" t="s">
        <v>47</v>
      </c>
      <c r="C1171" s="80"/>
      <c r="D1171" s="98"/>
      <c r="E1171" s="99"/>
      <c r="F1171" s="99"/>
      <c r="G1171" s="99"/>
      <c r="H1171" s="99"/>
      <c r="I1171" s="99"/>
      <c r="J1171" s="99"/>
      <c r="K1171" s="99"/>
      <c r="L1171" s="100"/>
    </row>
    <row r="1172" spans="1:12">
      <c r="B1172" s="89" t="s">
        <v>23</v>
      </c>
      <c r="C1172" s="207"/>
      <c r="D1172" s="101"/>
      <c r="E1172" s="102"/>
      <c r="F1172" s="102"/>
      <c r="G1172" s="102"/>
      <c r="H1172" s="102"/>
      <c r="I1172" s="102"/>
      <c r="J1172" s="102"/>
      <c r="K1172" s="102"/>
      <c r="L1172" s="103"/>
    </row>
    <row r="1173" spans="1:12">
      <c r="B1173" s="104" t="s">
        <v>89</v>
      </c>
      <c r="C1173" s="205"/>
      <c r="D1173" s="65"/>
      <c r="E1173" s="66"/>
      <c r="F1173" s="66"/>
      <c r="G1173" s="66"/>
      <c r="H1173" s="66"/>
      <c r="I1173" s="66"/>
      <c r="J1173" s="66"/>
      <c r="K1173" s="66"/>
      <c r="L1173" s="67"/>
    </row>
    <row r="1174" spans="1:12">
      <c r="B1174" s="36" t="s">
        <v>90</v>
      </c>
      <c r="D1174" s="7">
        <f>SUM(D1171:D1173)</f>
        <v>0</v>
      </c>
      <c r="E1174" s="7">
        <f>SUM(E1171:E1173)</f>
        <v>0</v>
      </c>
      <c r="F1174" s="7">
        <f>SUM(F1171:F1173)</f>
        <v>0</v>
      </c>
      <c r="G1174" s="7">
        <f t="shared" ref="G1174" si="426">SUM(G1171:G1173)</f>
        <v>0</v>
      </c>
      <c r="H1174" s="7">
        <f t="shared" ref="H1174" si="427">SUM(H1171:H1173)</f>
        <v>0</v>
      </c>
      <c r="I1174" s="7">
        <f t="shared" ref="I1174:J1174" si="428">SUM(I1171:I1173)</f>
        <v>0</v>
      </c>
      <c r="J1174" s="7">
        <f t="shared" si="428"/>
        <v>0</v>
      </c>
      <c r="K1174" s="7">
        <f t="shared" ref="K1174" si="429">SUM(K1171:K1173)</f>
        <v>0</v>
      </c>
      <c r="L1174" s="7"/>
    </row>
    <row r="1175" spans="1:12">
      <c r="B1175" s="6"/>
      <c r="D1175" s="7"/>
      <c r="E1175" s="7"/>
      <c r="F1175" s="7"/>
      <c r="G1175" s="7"/>
      <c r="H1175" s="7"/>
      <c r="I1175" s="7"/>
      <c r="J1175" s="7"/>
      <c r="K1175" s="7"/>
      <c r="L1175" s="7"/>
    </row>
    <row r="1176" spans="1:12" ht="18.75">
      <c r="A1176" s="9" t="s">
        <v>100</v>
      </c>
      <c r="D1176" s="2">
        <f>'Facility Detail'!$B$1752</f>
        <v>2011</v>
      </c>
      <c r="E1176" s="2">
        <f>D1176+1</f>
        <v>2012</v>
      </c>
      <c r="F1176" s="2">
        <f>E1176+1</f>
        <v>2013</v>
      </c>
      <c r="G1176" s="2">
        <f t="shared" ref="G1176:K1176" si="430">F1176+1</f>
        <v>2014</v>
      </c>
      <c r="H1176" s="2">
        <f t="shared" si="430"/>
        <v>2015</v>
      </c>
      <c r="I1176" s="2">
        <f t="shared" si="430"/>
        <v>2016</v>
      </c>
      <c r="J1176" s="2">
        <f t="shared" si="430"/>
        <v>2017</v>
      </c>
      <c r="K1176" s="2">
        <f t="shared" si="430"/>
        <v>2018</v>
      </c>
      <c r="L1176" s="2">
        <v>2019</v>
      </c>
    </row>
    <row r="1177" spans="1:12">
      <c r="B1177" s="88" t="s">
        <v>68</v>
      </c>
      <c r="C1177" s="80"/>
      <c r="D1177" s="3"/>
      <c r="E1177" s="68">
        <f>D1177</f>
        <v>0</v>
      </c>
      <c r="F1177" s="152"/>
      <c r="G1177" s="152"/>
      <c r="H1177" s="152"/>
      <c r="I1177" s="152"/>
      <c r="J1177" s="152"/>
      <c r="K1177" s="152"/>
      <c r="L1177" s="69"/>
    </row>
    <row r="1178" spans="1:12">
      <c r="B1178" s="88" t="s">
        <v>69</v>
      </c>
      <c r="C1178" s="80"/>
      <c r="D1178" s="189">
        <f>E1178</f>
        <v>0</v>
      </c>
      <c r="E1178" s="10"/>
      <c r="F1178" s="83"/>
      <c r="G1178" s="83"/>
      <c r="H1178" s="83"/>
      <c r="I1178" s="83"/>
      <c r="J1178" s="83"/>
      <c r="K1178" s="83"/>
      <c r="L1178" s="190"/>
    </row>
    <row r="1179" spans="1:12">
      <c r="B1179" s="88" t="s">
        <v>70</v>
      </c>
      <c r="C1179" s="80"/>
      <c r="D1179" s="70"/>
      <c r="E1179" s="10">
        <f>E1163</f>
        <v>0</v>
      </c>
      <c r="F1179" s="79">
        <f>E1179</f>
        <v>0</v>
      </c>
      <c r="G1179" s="83"/>
      <c r="H1179" s="83"/>
      <c r="I1179" s="83"/>
      <c r="J1179" s="83"/>
      <c r="K1179" s="83"/>
      <c r="L1179" s="190"/>
    </row>
    <row r="1180" spans="1:12">
      <c r="B1180" s="88" t="s">
        <v>71</v>
      </c>
      <c r="C1180" s="80"/>
      <c r="D1180" s="70"/>
      <c r="E1180" s="79">
        <f>F1180</f>
        <v>0</v>
      </c>
      <c r="F1180" s="188"/>
      <c r="G1180" s="83"/>
      <c r="H1180" s="83"/>
      <c r="I1180" s="83"/>
      <c r="J1180" s="83"/>
      <c r="K1180" s="83"/>
      <c r="L1180" s="190"/>
    </row>
    <row r="1181" spans="1:12">
      <c r="B1181" s="88" t="s">
        <v>194</v>
      </c>
      <c r="C1181" s="33"/>
      <c r="D1181" s="70"/>
      <c r="E1181" s="172"/>
      <c r="F1181" s="10">
        <f>F1163</f>
        <v>0</v>
      </c>
      <c r="G1181" s="173">
        <f>F1181</f>
        <v>0</v>
      </c>
      <c r="H1181" s="83"/>
      <c r="I1181" s="83"/>
      <c r="J1181" s="83"/>
      <c r="K1181" s="83"/>
      <c r="L1181" s="190"/>
    </row>
    <row r="1182" spans="1:12">
      <c r="B1182" s="88" t="s">
        <v>195</v>
      </c>
      <c r="C1182" s="33"/>
      <c r="D1182" s="70"/>
      <c r="E1182" s="172"/>
      <c r="F1182" s="79">
        <f>G1182</f>
        <v>0</v>
      </c>
      <c r="G1182" s="10"/>
      <c r="H1182" s="83"/>
      <c r="I1182" s="83"/>
      <c r="J1182" s="83"/>
      <c r="K1182" s="83"/>
      <c r="L1182" s="190"/>
    </row>
    <row r="1183" spans="1:12">
      <c r="B1183" s="88" t="s">
        <v>196</v>
      </c>
      <c r="C1183" s="33"/>
      <c r="D1183" s="70"/>
      <c r="E1183" s="172"/>
      <c r="F1183" s="172"/>
      <c r="G1183" s="10">
        <f>G1163</f>
        <v>0</v>
      </c>
      <c r="H1183" s="173">
        <f>G1183</f>
        <v>0</v>
      </c>
      <c r="I1183" s="172">
        <f>H1183</f>
        <v>0</v>
      </c>
      <c r="J1183" s="172"/>
      <c r="K1183" s="172"/>
      <c r="L1183" s="176"/>
    </row>
    <row r="1184" spans="1:12">
      <c r="B1184" s="88" t="s">
        <v>197</v>
      </c>
      <c r="C1184" s="33"/>
      <c r="D1184" s="70"/>
      <c r="E1184" s="172"/>
      <c r="F1184" s="172"/>
      <c r="G1184" s="174"/>
      <c r="H1184" s="175"/>
      <c r="I1184" s="172"/>
      <c r="J1184" s="172"/>
      <c r="K1184" s="172"/>
      <c r="L1184" s="176"/>
    </row>
    <row r="1185" spans="1:12">
      <c r="B1185" s="88" t="s">
        <v>198</v>
      </c>
      <c r="C1185" s="33"/>
      <c r="D1185" s="70"/>
      <c r="E1185" s="172"/>
      <c r="F1185" s="172"/>
      <c r="G1185" s="172"/>
      <c r="H1185" s="175">
        <v>0</v>
      </c>
      <c r="I1185" s="173">
        <f>H1185</f>
        <v>0</v>
      </c>
      <c r="J1185" s="173"/>
      <c r="K1185" s="173"/>
      <c r="L1185" s="353"/>
    </row>
    <row r="1186" spans="1:12">
      <c r="B1186" s="88" t="s">
        <v>199</v>
      </c>
      <c r="C1186" s="33"/>
      <c r="D1186" s="70"/>
      <c r="E1186" s="172"/>
      <c r="F1186" s="172"/>
      <c r="G1186" s="172"/>
      <c r="H1186" s="79"/>
      <c r="I1186" s="175"/>
      <c r="J1186" s="175"/>
      <c r="K1186" s="175"/>
      <c r="L1186" s="354"/>
    </row>
    <row r="1187" spans="1:12">
      <c r="B1187" s="88" t="s">
        <v>200</v>
      </c>
      <c r="C1187" s="33"/>
      <c r="D1187" s="70"/>
      <c r="E1187" s="172"/>
      <c r="F1187" s="172"/>
      <c r="G1187" s="172"/>
      <c r="H1187" s="172"/>
      <c r="I1187" s="175">
        <f>I1163</f>
        <v>29719</v>
      </c>
      <c r="J1187" s="175">
        <f>I1187</f>
        <v>29719</v>
      </c>
      <c r="K1187" s="175"/>
      <c r="L1187" s="354"/>
    </row>
    <row r="1188" spans="1:12">
      <c r="B1188" s="88" t="s">
        <v>191</v>
      </c>
      <c r="C1188" s="33"/>
      <c r="D1188" s="70"/>
      <c r="E1188" s="172"/>
      <c r="F1188" s="172"/>
      <c r="G1188" s="172"/>
      <c r="H1188" s="172"/>
      <c r="I1188" s="173"/>
      <c r="J1188" s="173"/>
      <c r="K1188" s="173"/>
      <c r="L1188" s="355"/>
    </row>
    <row r="1189" spans="1:12">
      <c r="B1189" s="88" t="s">
        <v>192</v>
      </c>
      <c r="C1189" s="33"/>
      <c r="D1189" s="71"/>
      <c r="E1189" s="154"/>
      <c r="F1189" s="154"/>
      <c r="G1189" s="154"/>
      <c r="H1189" s="154"/>
      <c r="I1189" s="154"/>
      <c r="J1189" s="154"/>
      <c r="K1189" s="154"/>
      <c r="L1189" s="352"/>
    </row>
    <row r="1190" spans="1:12">
      <c r="B1190" s="36" t="s">
        <v>17</v>
      </c>
      <c r="D1190" s="214">
        <f xml:space="preserve"> D1183 - D1182</f>
        <v>0</v>
      </c>
      <c r="E1190" s="214">
        <f xml:space="preserve"> E1182 + E1185 - E1184 - E1183</f>
        <v>0</v>
      </c>
      <c r="F1190" s="214">
        <f>F1184 - F1185</f>
        <v>0</v>
      </c>
      <c r="G1190" s="214">
        <f t="shared" ref="G1190" si="431">G1184 - G1185</f>
        <v>0</v>
      </c>
      <c r="H1190" s="31">
        <f>H1183-H1184-H1185</f>
        <v>0</v>
      </c>
      <c r="I1190" s="31">
        <f>I1185-I1186-I1187</f>
        <v>-29719</v>
      </c>
      <c r="J1190" s="31">
        <f>J1187-J1188-J1189</f>
        <v>29719</v>
      </c>
      <c r="K1190" s="31">
        <f>K1189</f>
        <v>0</v>
      </c>
      <c r="L1190" s="31"/>
    </row>
    <row r="1191" spans="1:12">
      <c r="B1191" s="6"/>
      <c r="D1191" s="7"/>
      <c r="E1191" s="7"/>
      <c r="F1191" s="7"/>
      <c r="G1191" s="7"/>
      <c r="H1191" s="340"/>
      <c r="I1191" s="340"/>
      <c r="J1191" s="340"/>
      <c r="K1191" s="340"/>
      <c r="L1191" s="340"/>
    </row>
    <row r="1192" spans="1:12">
      <c r="B1192" s="85" t="s">
        <v>12</v>
      </c>
      <c r="C1192" s="80"/>
      <c r="D1192" s="111"/>
      <c r="E1192" s="112"/>
      <c r="F1192" s="112"/>
      <c r="G1192" s="112"/>
      <c r="H1192" s="112"/>
      <c r="I1192" s="112"/>
      <c r="J1192" s="112"/>
      <c r="K1192" s="112"/>
      <c r="L1192" s="113"/>
    </row>
    <row r="1193" spans="1:12">
      <c r="B1193" s="6"/>
      <c r="D1193" s="7"/>
      <c r="E1193" s="7"/>
      <c r="F1193" s="7"/>
      <c r="G1193" s="7"/>
      <c r="H1193" s="7"/>
      <c r="I1193" s="7"/>
      <c r="J1193" s="7"/>
      <c r="K1193" s="7"/>
      <c r="L1193" s="7"/>
    </row>
    <row r="1194" spans="1:12" ht="18.75">
      <c r="A1194" s="45" t="s">
        <v>26</v>
      </c>
      <c r="C1194" s="80"/>
      <c r="D1194" s="49">
        <f xml:space="preserve"> D1163 + D1168 - D1174 + D1190 + D1192</f>
        <v>0</v>
      </c>
      <c r="E1194" s="50">
        <f xml:space="preserve"> E1163 + E1168 - E1174 + E1190 + E1192</f>
        <v>0</v>
      </c>
      <c r="F1194" s="50">
        <f xml:space="preserve"> F1163 + F1168 - F1174 + F1190 + F1192</f>
        <v>0</v>
      </c>
      <c r="G1194" s="50">
        <f t="shared" ref="G1194:J1194" si="432" xml:space="preserve"> G1163 + G1168 - G1174 + G1190 + G1192</f>
        <v>0</v>
      </c>
      <c r="H1194" s="50">
        <f t="shared" si="432"/>
        <v>0</v>
      </c>
      <c r="I1194" s="50">
        <f t="shared" si="432"/>
        <v>0</v>
      </c>
      <c r="J1194" s="50">
        <f t="shared" si="432"/>
        <v>29719</v>
      </c>
      <c r="K1194" s="50">
        <f t="shared" ref="K1194" si="433" xml:space="preserve"> K1163 + K1168 - K1174 + K1190 + K1192</f>
        <v>0</v>
      </c>
      <c r="L1194" s="51"/>
    </row>
    <row r="1195" spans="1:12">
      <c r="B1195" s="6"/>
      <c r="D1195" s="7"/>
      <c r="E1195" s="7"/>
      <c r="F1195" s="7"/>
      <c r="G1195" s="31"/>
      <c r="H1195" s="31"/>
      <c r="I1195" s="31"/>
      <c r="J1195" s="31"/>
      <c r="K1195" s="31"/>
      <c r="L1195" s="31"/>
    </row>
    <row r="1196" spans="1:12" ht="15.75" thickBot="1"/>
    <row r="1197" spans="1:12">
      <c r="A1197" s="8"/>
      <c r="B1197" s="8"/>
      <c r="C1197" s="8"/>
      <c r="D1197" s="8"/>
      <c r="E1197" s="8"/>
      <c r="F1197" s="8"/>
      <c r="G1197" s="8"/>
      <c r="H1197" s="8"/>
      <c r="I1197" s="8"/>
      <c r="J1197" s="8"/>
      <c r="K1197" s="8"/>
      <c r="L1197" s="8"/>
    </row>
    <row r="1198" spans="1:12">
      <c r="B1198" s="33"/>
      <c r="C1198" s="33"/>
      <c r="D1198" s="33"/>
      <c r="E1198" s="33"/>
      <c r="F1198" s="33"/>
      <c r="G1198" s="33"/>
      <c r="H1198" s="33"/>
      <c r="I1198" s="33"/>
      <c r="J1198" s="33"/>
      <c r="K1198" s="33"/>
      <c r="L1198" s="33"/>
    </row>
    <row r="1199" spans="1:12" ht="21">
      <c r="A1199" s="14" t="s">
        <v>4</v>
      </c>
      <c r="B1199" s="14"/>
      <c r="C1199" s="46" t="str">
        <f>B28</f>
        <v>Klondike I - Klondike Wind Power LLC - REC Only</v>
      </c>
      <c r="D1199" s="47"/>
      <c r="E1199" s="24"/>
      <c r="F1199" s="24"/>
    </row>
    <row r="1201" spans="1:12" ht="18.75">
      <c r="A1201" s="9" t="s">
        <v>21</v>
      </c>
      <c r="B1201" s="9"/>
      <c r="D1201" s="2">
        <f>'Facility Detail'!$B$1752</f>
        <v>2011</v>
      </c>
      <c r="E1201" s="2">
        <f>D1201+1</f>
        <v>2012</v>
      </c>
      <c r="F1201" s="2">
        <f>E1201+1</f>
        <v>2013</v>
      </c>
      <c r="G1201" s="2">
        <f t="shared" ref="G1201:K1201" si="434">F1201+1</f>
        <v>2014</v>
      </c>
      <c r="H1201" s="2">
        <f t="shared" si="434"/>
        <v>2015</v>
      </c>
      <c r="I1201" s="2">
        <f t="shared" si="434"/>
        <v>2016</v>
      </c>
      <c r="J1201" s="2">
        <f t="shared" si="434"/>
        <v>2017</v>
      </c>
      <c r="K1201" s="2">
        <f t="shared" si="434"/>
        <v>2018</v>
      </c>
      <c r="L1201" s="2">
        <v>2019</v>
      </c>
    </row>
    <row r="1202" spans="1:12">
      <c r="B1202" s="88" t="str">
        <f>"Total MWh Produced / Purchased from " &amp; C1199</f>
        <v>Total MWh Produced / Purchased from Klondike I - Klondike Wind Power LLC - REC Only</v>
      </c>
      <c r="C1202" s="80"/>
      <c r="D1202" s="3"/>
      <c r="E1202" s="4"/>
      <c r="F1202" s="4"/>
      <c r="G1202" s="4"/>
      <c r="H1202" s="339"/>
      <c r="I1202" s="339">
        <v>8543</v>
      </c>
      <c r="J1202" s="339"/>
      <c r="K1202" s="339"/>
      <c r="L1202" s="370"/>
    </row>
    <row r="1203" spans="1:12">
      <c r="B1203" s="88" t="s">
        <v>25</v>
      </c>
      <c r="C1203" s="80"/>
      <c r="D1203" s="62"/>
      <c r="E1203" s="63"/>
      <c r="F1203" s="63"/>
      <c r="G1203" s="63"/>
      <c r="H1203" s="63"/>
      <c r="I1203" s="63">
        <v>1</v>
      </c>
      <c r="J1203" s="63"/>
      <c r="K1203" s="63"/>
      <c r="L1203" s="64"/>
    </row>
    <row r="1204" spans="1:12">
      <c r="B1204" s="88" t="s">
        <v>20</v>
      </c>
      <c r="C1204" s="80"/>
      <c r="D1204" s="54"/>
      <c r="E1204" s="55"/>
      <c r="F1204" s="55"/>
      <c r="G1204" s="55"/>
      <c r="H1204" s="55"/>
      <c r="I1204" s="55">
        <v>1</v>
      </c>
      <c r="J1204" s="55"/>
      <c r="K1204" s="55"/>
      <c r="L1204" s="56"/>
    </row>
    <row r="1205" spans="1:12">
      <c r="B1205" s="85" t="s">
        <v>22</v>
      </c>
      <c r="C1205" s="86"/>
      <c r="D1205" s="41">
        <f xml:space="preserve"> D1202 * D1203 * D1204</f>
        <v>0</v>
      </c>
      <c r="E1205" s="41">
        <f xml:space="preserve"> E1202 * E1203 * E1204</f>
        <v>0</v>
      </c>
      <c r="F1205" s="41">
        <f xml:space="preserve"> F1202 * F1203 * F1204</f>
        <v>0</v>
      </c>
      <c r="G1205" s="41">
        <f t="shared" ref="G1205:K1205" si="435" xml:space="preserve"> G1202 * G1203 * G1204</f>
        <v>0</v>
      </c>
      <c r="H1205" s="337">
        <f t="shared" si="435"/>
        <v>0</v>
      </c>
      <c r="I1205" s="337">
        <f t="shared" si="435"/>
        <v>8543</v>
      </c>
      <c r="J1205" s="337">
        <f t="shared" si="435"/>
        <v>0</v>
      </c>
      <c r="K1205" s="337">
        <f t="shared" si="435"/>
        <v>0</v>
      </c>
      <c r="L1205" s="337"/>
    </row>
    <row r="1206" spans="1:12">
      <c r="B1206" s="24"/>
      <c r="C1206" s="33"/>
      <c r="D1206" s="40"/>
      <c r="E1206" s="40"/>
      <c r="F1206" s="40"/>
      <c r="G1206" s="40"/>
      <c r="H1206" s="25"/>
      <c r="I1206" s="25"/>
      <c r="J1206" s="25"/>
      <c r="K1206" s="25"/>
      <c r="L1206" s="25"/>
    </row>
    <row r="1207" spans="1:12" ht="18.75">
      <c r="A1207" s="48" t="s">
        <v>119</v>
      </c>
      <c r="C1207" s="33"/>
      <c r="D1207" s="2">
        <f>'Facility Detail'!$B$1752</f>
        <v>2011</v>
      </c>
      <c r="E1207" s="2">
        <f>D1207+1</f>
        <v>2012</v>
      </c>
      <c r="F1207" s="2">
        <f>E1207+1</f>
        <v>2013</v>
      </c>
      <c r="G1207" s="2">
        <f t="shared" ref="G1207:K1207" si="436">F1207+1</f>
        <v>2014</v>
      </c>
      <c r="H1207" s="350">
        <f t="shared" si="436"/>
        <v>2015</v>
      </c>
      <c r="I1207" s="350">
        <f t="shared" si="436"/>
        <v>2016</v>
      </c>
      <c r="J1207" s="350">
        <f t="shared" si="436"/>
        <v>2017</v>
      </c>
      <c r="K1207" s="350">
        <f t="shared" si="436"/>
        <v>2018</v>
      </c>
      <c r="L1207" s="350">
        <v>2019</v>
      </c>
    </row>
    <row r="1208" spans="1:12">
      <c r="B1208" s="88" t="s">
        <v>10</v>
      </c>
      <c r="C1208" s="80"/>
      <c r="D1208" s="57">
        <f>IF( $E38 = "Eligible", D1205 * 'Facility Detail'!$B$1749, 0 )</f>
        <v>0</v>
      </c>
      <c r="E1208" s="11">
        <f>IF( $E38 = "Eligible", E1205 * 'Facility Detail'!$B$1749, 0 )</f>
        <v>0</v>
      </c>
      <c r="F1208" s="11">
        <f>IF( $E38 = "Eligible", F1205 * 'Facility Detail'!$B$1749, 0 )</f>
        <v>0</v>
      </c>
      <c r="G1208" s="11">
        <f>IF( $E38 = "Eligible", G1205 * 'Facility Detail'!$B$1749, 0 )</f>
        <v>0</v>
      </c>
      <c r="H1208" s="11">
        <f>IF( $E38 = "Eligible", H1205 * 'Facility Detail'!$B$1749, 0 )</f>
        <v>0</v>
      </c>
      <c r="I1208" s="11">
        <f>IF( $E38 = "Eligible", I1205 * 'Facility Detail'!$B$1749, 0 )</f>
        <v>0</v>
      </c>
      <c r="J1208" s="11">
        <f>IF( $E38 = "Eligible", J1205 * 'Facility Detail'!$B$1749, 0 )</f>
        <v>0</v>
      </c>
      <c r="K1208" s="11">
        <f>IF( $E38 = "Eligible", K1205 * 'Facility Detail'!$B$1749, 0 )</f>
        <v>0</v>
      </c>
      <c r="L1208" s="12"/>
    </row>
    <row r="1209" spans="1:12">
      <c r="B1209" s="88" t="s">
        <v>6</v>
      </c>
      <c r="C1209" s="80"/>
      <c r="D1209" s="58">
        <f>IF( $F38 = "Eligible", D1205, 0 )</f>
        <v>0</v>
      </c>
      <c r="E1209" s="59">
        <f>IF( $F38 = "Eligible", E1205, 0 )</f>
        <v>0</v>
      </c>
      <c r="F1209" s="59">
        <f>IF( $F38 = "Eligible", F1205, 0 )</f>
        <v>0</v>
      </c>
      <c r="G1209" s="59">
        <f t="shared" ref="G1209:K1209" si="437">IF( $F38 = "Eligible", G1205, 0 )</f>
        <v>0</v>
      </c>
      <c r="H1209" s="59">
        <f t="shared" si="437"/>
        <v>0</v>
      </c>
      <c r="I1209" s="59">
        <f t="shared" si="437"/>
        <v>0</v>
      </c>
      <c r="J1209" s="59">
        <f t="shared" si="437"/>
        <v>0</v>
      </c>
      <c r="K1209" s="59">
        <f t="shared" si="437"/>
        <v>0</v>
      </c>
      <c r="L1209" s="60"/>
    </row>
    <row r="1210" spans="1:12">
      <c r="B1210" s="87" t="s">
        <v>121</v>
      </c>
      <c r="C1210" s="86"/>
      <c r="D1210" s="43">
        <f>SUM(D1208:D1209)</f>
        <v>0</v>
      </c>
      <c r="E1210" s="44">
        <f>SUM(E1208:E1209)</f>
        <v>0</v>
      </c>
      <c r="F1210" s="44">
        <f>SUM(F1208:F1209)</f>
        <v>0</v>
      </c>
      <c r="G1210" s="44">
        <f t="shared" ref="G1210:K1210" si="438">SUM(G1208:G1209)</f>
        <v>0</v>
      </c>
      <c r="H1210" s="44">
        <f t="shared" si="438"/>
        <v>0</v>
      </c>
      <c r="I1210" s="44">
        <f t="shared" si="438"/>
        <v>0</v>
      </c>
      <c r="J1210" s="44">
        <f t="shared" si="438"/>
        <v>0</v>
      </c>
      <c r="K1210" s="44">
        <f t="shared" si="438"/>
        <v>0</v>
      </c>
      <c r="L1210" s="44"/>
    </row>
    <row r="1211" spans="1:12">
      <c r="B1211" s="33"/>
      <c r="C1211" s="33"/>
      <c r="D1211" s="42"/>
      <c r="E1211" s="34"/>
      <c r="F1211" s="34"/>
      <c r="G1211" s="34"/>
      <c r="H1211" s="34"/>
      <c r="I1211" s="34"/>
      <c r="J1211" s="34"/>
      <c r="K1211" s="34"/>
      <c r="L1211" s="34"/>
    </row>
    <row r="1212" spans="1:12" ht="18.75">
      <c r="A1212" s="45" t="s">
        <v>30</v>
      </c>
      <c r="C1212" s="33"/>
      <c r="D1212" s="2">
        <f>'Facility Detail'!$B$1752</f>
        <v>2011</v>
      </c>
      <c r="E1212" s="2">
        <f>D1212+1</f>
        <v>2012</v>
      </c>
      <c r="F1212" s="2">
        <f>E1212+1</f>
        <v>2013</v>
      </c>
      <c r="G1212" s="2">
        <f t="shared" ref="G1212:K1212" si="439">F1212+1</f>
        <v>2014</v>
      </c>
      <c r="H1212" s="2">
        <f t="shared" si="439"/>
        <v>2015</v>
      </c>
      <c r="I1212" s="2">
        <f t="shared" si="439"/>
        <v>2016</v>
      </c>
      <c r="J1212" s="2">
        <f t="shared" si="439"/>
        <v>2017</v>
      </c>
      <c r="K1212" s="2">
        <f t="shared" si="439"/>
        <v>2018</v>
      </c>
      <c r="L1212" s="2">
        <v>2019</v>
      </c>
    </row>
    <row r="1213" spans="1:12">
      <c r="B1213" s="88" t="s">
        <v>47</v>
      </c>
      <c r="C1213" s="80"/>
      <c r="D1213" s="98"/>
      <c r="E1213" s="99"/>
      <c r="F1213" s="99"/>
      <c r="G1213" s="99"/>
      <c r="H1213" s="99"/>
      <c r="I1213" s="99"/>
      <c r="J1213" s="99"/>
      <c r="K1213" s="99"/>
      <c r="L1213" s="100"/>
    </row>
    <row r="1214" spans="1:12">
      <c r="B1214" s="89" t="s">
        <v>23</v>
      </c>
      <c r="C1214" s="207"/>
      <c r="D1214" s="101"/>
      <c r="E1214" s="102"/>
      <c r="F1214" s="102"/>
      <c r="G1214" s="102"/>
      <c r="H1214" s="102"/>
      <c r="I1214" s="102"/>
      <c r="J1214" s="102"/>
      <c r="K1214" s="102"/>
      <c r="L1214" s="103"/>
    </row>
    <row r="1215" spans="1:12">
      <c r="B1215" s="104" t="s">
        <v>89</v>
      </c>
      <c r="C1215" s="205"/>
      <c r="D1215" s="65"/>
      <c r="E1215" s="66"/>
      <c r="F1215" s="66"/>
      <c r="G1215" s="66"/>
      <c r="H1215" s="66"/>
      <c r="I1215" s="66"/>
      <c r="J1215" s="66"/>
      <c r="K1215" s="66"/>
      <c r="L1215" s="67"/>
    </row>
    <row r="1216" spans="1:12">
      <c r="B1216" s="36" t="s">
        <v>90</v>
      </c>
      <c r="D1216" s="7">
        <f>SUM(D1213:D1215)</f>
        <v>0</v>
      </c>
      <c r="E1216" s="7">
        <f>SUM(E1213:E1215)</f>
        <v>0</v>
      </c>
      <c r="F1216" s="7">
        <f>SUM(F1213:F1215)</f>
        <v>0</v>
      </c>
      <c r="G1216" s="7">
        <f t="shared" ref="G1216:K1216" si="440">SUM(G1213:G1215)</f>
        <v>0</v>
      </c>
      <c r="H1216" s="7">
        <f t="shared" si="440"/>
        <v>0</v>
      </c>
      <c r="I1216" s="7">
        <f t="shared" si="440"/>
        <v>0</v>
      </c>
      <c r="J1216" s="7">
        <f t="shared" si="440"/>
        <v>0</v>
      </c>
      <c r="K1216" s="7">
        <f t="shared" si="440"/>
        <v>0</v>
      </c>
      <c r="L1216" s="7"/>
    </row>
    <row r="1217" spans="1:12">
      <c r="B1217" s="6"/>
      <c r="D1217" s="7"/>
      <c r="E1217" s="7"/>
      <c r="F1217" s="7"/>
      <c r="G1217" s="31"/>
      <c r="H1217" s="31"/>
      <c r="I1217" s="31"/>
      <c r="J1217" s="31"/>
      <c r="K1217" s="31"/>
      <c r="L1217" s="31"/>
    </row>
    <row r="1218" spans="1:12" ht="18.75">
      <c r="A1218" s="9" t="s">
        <v>100</v>
      </c>
      <c r="D1218" s="2">
        <f>'Facility Detail'!$B$1752</f>
        <v>2011</v>
      </c>
      <c r="E1218" s="2">
        <f>D1218+1</f>
        <v>2012</v>
      </c>
      <c r="F1218" s="2">
        <f>E1218+1</f>
        <v>2013</v>
      </c>
      <c r="G1218" s="2">
        <f t="shared" ref="G1218" si="441">F1218+1</f>
        <v>2014</v>
      </c>
      <c r="H1218" s="2">
        <f t="shared" ref="H1218" si="442">G1218+1</f>
        <v>2015</v>
      </c>
      <c r="I1218" s="2">
        <f t="shared" ref="I1218" si="443">H1218+1</f>
        <v>2016</v>
      </c>
      <c r="J1218" s="2">
        <f t="shared" ref="J1218" si="444">I1218+1</f>
        <v>2017</v>
      </c>
      <c r="K1218" s="2">
        <f t="shared" ref="K1218" si="445">J1218+1</f>
        <v>2018</v>
      </c>
      <c r="L1218" s="2">
        <v>2019</v>
      </c>
    </row>
    <row r="1219" spans="1:12">
      <c r="B1219" s="88" t="s">
        <v>68</v>
      </c>
      <c r="C1219" s="80"/>
      <c r="D1219" s="3"/>
      <c r="E1219" s="68">
        <f>D1219</f>
        <v>0</v>
      </c>
      <c r="F1219" s="152"/>
      <c r="G1219" s="152"/>
      <c r="H1219" s="152"/>
      <c r="I1219" s="152"/>
      <c r="J1219" s="152"/>
      <c r="K1219" s="152"/>
      <c r="L1219" s="69"/>
    </row>
    <row r="1220" spans="1:12">
      <c r="B1220" s="88" t="s">
        <v>69</v>
      </c>
      <c r="C1220" s="80"/>
      <c r="D1220" s="189">
        <f>E1220</f>
        <v>0</v>
      </c>
      <c r="E1220" s="10"/>
      <c r="F1220" s="83"/>
      <c r="G1220" s="83"/>
      <c r="H1220" s="83"/>
      <c r="I1220" s="83"/>
      <c r="J1220" s="83"/>
      <c r="K1220" s="83"/>
      <c r="L1220" s="190"/>
    </row>
    <row r="1221" spans="1:12">
      <c r="B1221" s="88" t="s">
        <v>70</v>
      </c>
      <c r="C1221" s="80"/>
      <c r="D1221" s="70"/>
      <c r="E1221" s="10">
        <f>E1205</f>
        <v>0</v>
      </c>
      <c r="F1221" s="79">
        <f>E1221</f>
        <v>0</v>
      </c>
      <c r="G1221" s="83"/>
      <c r="H1221" s="83"/>
      <c r="I1221" s="83"/>
      <c r="J1221" s="83"/>
      <c r="K1221" s="83"/>
      <c r="L1221" s="190"/>
    </row>
    <row r="1222" spans="1:12">
      <c r="B1222" s="88" t="s">
        <v>71</v>
      </c>
      <c r="C1222" s="80"/>
      <c r="D1222" s="70"/>
      <c r="E1222" s="79">
        <f>F1222</f>
        <v>0</v>
      </c>
      <c r="F1222" s="188"/>
      <c r="G1222" s="83"/>
      <c r="H1222" s="83"/>
      <c r="I1222" s="83"/>
      <c r="J1222" s="83"/>
      <c r="K1222" s="83"/>
      <c r="L1222" s="190"/>
    </row>
    <row r="1223" spans="1:12">
      <c r="B1223" s="88" t="s">
        <v>194</v>
      </c>
      <c r="C1223" s="33"/>
      <c r="D1223" s="70"/>
      <c r="E1223" s="172"/>
      <c r="F1223" s="10">
        <f>F1205</f>
        <v>0</v>
      </c>
      <c r="G1223" s="173">
        <f>F1223</f>
        <v>0</v>
      </c>
      <c r="H1223" s="83"/>
      <c r="I1223" s="83"/>
      <c r="J1223" s="83"/>
      <c r="K1223" s="83"/>
      <c r="L1223" s="190"/>
    </row>
    <row r="1224" spans="1:12">
      <c r="B1224" s="88" t="s">
        <v>195</v>
      </c>
      <c r="C1224" s="33"/>
      <c r="D1224" s="70"/>
      <c r="E1224" s="172"/>
      <c r="F1224" s="79">
        <f>G1224</f>
        <v>0</v>
      </c>
      <c r="G1224" s="10"/>
      <c r="H1224" s="83"/>
      <c r="I1224" s="83"/>
      <c r="J1224" s="83"/>
      <c r="K1224" s="83"/>
      <c r="L1224" s="190"/>
    </row>
    <row r="1225" spans="1:12">
      <c r="B1225" s="88" t="s">
        <v>196</v>
      </c>
      <c r="C1225" s="33"/>
      <c r="D1225" s="70"/>
      <c r="E1225" s="172"/>
      <c r="F1225" s="172"/>
      <c r="G1225" s="10">
        <f>G1205</f>
        <v>0</v>
      </c>
      <c r="H1225" s="173">
        <f>G1225</f>
        <v>0</v>
      </c>
      <c r="I1225" s="172">
        <f>H1225</f>
        <v>0</v>
      </c>
      <c r="J1225" s="172"/>
      <c r="K1225" s="172"/>
      <c r="L1225" s="176"/>
    </row>
    <row r="1226" spans="1:12">
      <c r="B1226" s="88" t="s">
        <v>197</v>
      </c>
      <c r="C1226" s="33"/>
      <c r="D1226" s="70"/>
      <c r="E1226" s="172"/>
      <c r="F1226" s="172"/>
      <c r="G1226" s="174"/>
      <c r="H1226" s="175"/>
      <c r="I1226" s="172"/>
      <c r="J1226" s="172"/>
      <c r="K1226" s="172"/>
      <c r="L1226" s="176"/>
    </row>
    <row r="1227" spans="1:12">
      <c r="B1227" s="88" t="s">
        <v>198</v>
      </c>
      <c r="C1227" s="33"/>
      <c r="D1227" s="70"/>
      <c r="E1227" s="172"/>
      <c r="F1227" s="172"/>
      <c r="G1227" s="172"/>
      <c r="H1227" s="175">
        <v>0</v>
      </c>
      <c r="I1227" s="173">
        <f>H1227</f>
        <v>0</v>
      </c>
      <c r="J1227" s="173"/>
      <c r="K1227" s="173"/>
      <c r="L1227" s="353"/>
    </row>
    <row r="1228" spans="1:12">
      <c r="B1228" s="88" t="s">
        <v>199</v>
      </c>
      <c r="C1228" s="33"/>
      <c r="D1228" s="70"/>
      <c r="E1228" s="172"/>
      <c r="F1228" s="172"/>
      <c r="G1228" s="172"/>
      <c r="H1228" s="79"/>
      <c r="I1228" s="175"/>
      <c r="J1228" s="175"/>
      <c r="K1228" s="175"/>
      <c r="L1228" s="354"/>
    </row>
    <row r="1229" spans="1:12">
      <c r="B1229" s="88" t="s">
        <v>200</v>
      </c>
      <c r="C1229" s="33"/>
      <c r="D1229" s="70"/>
      <c r="E1229" s="172"/>
      <c r="F1229" s="172"/>
      <c r="G1229" s="172"/>
      <c r="H1229" s="172"/>
      <c r="I1229" s="175">
        <f>I1205</f>
        <v>8543</v>
      </c>
      <c r="J1229" s="175">
        <f>I1229</f>
        <v>8543</v>
      </c>
      <c r="K1229" s="175"/>
      <c r="L1229" s="354"/>
    </row>
    <row r="1230" spans="1:12">
      <c r="B1230" s="88" t="s">
        <v>191</v>
      </c>
      <c r="C1230" s="33"/>
      <c r="D1230" s="70"/>
      <c r="E1230" s="172"/>
      <c r="F1230" s="172"/>
      <c r="G1230" s="172"/>
      <c r="H1230" s="172"/>
      <c r="I1230" s="270"/>
      <c r="J1230" s="173"/>
      <c r="K1230" s="173"/>
      <c r="L1230" s="355"/>
    </row>
    <row r="1231" spans="1:12">
      <c r="B1231" s="88" t="s">
        <v>192</v>
      </c>
      <c r="C1231" s="33"/>
      <c r="D1231" s="71"/>
      <c r="E1231" s="154"/>
      <c r="F1231" s="154"/>
      <c r="G1231" s="154"/>
      <c r="H1231" s="154"/>
      <c r="I1231" s="154"/>
      <c r="J1231" s="154"/>
      <c r="K1231" s="154"/>
      <c r="L1231" s="352"/>
    </row>
    <row r="1232" spans="1:12">
      <c r="B1232" s="36" t="s">
        <v>17</v>
      </c>
      <c r="D1232" s="214">
        <f xml:space="preserve"> D1225 - D1224</f>
        <v>0</v>
      </c>
      <c r="E1232" s="214">
        <f xml:space="preserve"> E1224 + E1227 - E1226 - E1225</f>
        <v>0</v>
      </c>
      <c r="F1232" s="214">
        <f>F1226 - F1227</f>
        <v>0</v>
      </c>
      <c r="G1232" s="214">
        <f t="shared" ref="G1232" si="446">G1226 - G1227</f>
        <v>0</v>
      </c>
      <c r="H1232" s="31">
        <f>H1225-H1226-H1227</f>
        <v>0</v>
      </c>
      <c r="I1232" s="31">
        <f>I1227-I1228-I1229</f>
        <v>-8543</v>
      </c>
      <c r="J1232" s="31">
        <f>J1229-J1230-J1231</f>
        <v>8543</v>
      </c>
      <c r="K1232" s="31">
        <f>K1231</f>
        <v>0</v>
      </c>
      <c r="L1232" s="31"/>
    </row>
    <row r="1233" spans="1:12">
      <c r="B1233" s="6"/>
      <c r="D1233" s="7"/>
      <c r="E1233" s="7"/>
      <c r="F1233" s="7"/>
      <c r="G1233" s="7"/>
      <c r="H1233" s="7"/>
      <c r="I1233" s="7"/>
      <c r="J1233" s="7"/>
      <c r="K1233" s="7"/>
      <c r="L1233" s="7"/>
    </row>
    <row r="1234" spans="1:12">
      <c r="B1234" s="85" t="s">
        <v>12</v>
      </c>
      <c r="C1234" s="80"/>
      <c r="D1234" s="111"/>
      <c r="E1234" s="112"/>
      <c r="F1234" s="112"/>
      <c r="G1234" s="112"/>
      <c r="H1234" s="112"/>
      <c r="I1234" s="112"/>
      <c r="J1234" s="112"/>
      <c r="K1234" s="112"/>
      <c r="L1234" s="113"/>
    </row>
    <row r="1235" spans="1:12">
      <c r="B1235" s="6"/>
      <c r="D1235" s="7"/>
      <c r="E1235" s="7"/>
      <c r="F1235" s="7"/>
      <c r="G1235" s="7"/>
      <c r="H1235" s="7"/>
      <c r="I1235" s="7"/>
      <c r="J1235" s="7"/>
      <c r="K1235" s="7"/>
      <c r="L1235" s="7"/>
    </row>
    <row r="1236" spans="1:12" ht="18.75">
      <c r="A1236" s="45" t="s">
        <v>26</v>
      </c>
      <c r="C1236" s="80"/>
      <c r="D1236" s="49">
        <f xml:space="preserve"> D1205 + D1210 - D1216 + D1232 + D1234</f>
        <v>0</v>
      </c>
      <c r="E1236" s="50">
        <f xml:space="preserve"> E1205 + E1210 - E1216 + E1232 + E1234</f>
        <v>0</v>
      </c>
      <c r="F1236" s="50">
        <f xml:space="preserve"> F1205 + F1210 - F1216 + F1232 + F1234</f>
        <v>0</v>
      </c>
      <c r="G1236" s="50">
        <f t="shared" ref="G1236:K1236" si="447" xml:space="preserve"> G1205 + G1210 - G1216 + G1232 + G1234</f>
        <v>0</v>
      </c>
      <c r="H1236" s="50">
        <f t="shared" si="447"/>
        <v>0</v>
      </c>
      <c r="I1236" s="50">
        <f t="shared" si="447"/>
        <v>0</v>
      </c>
      <c r="J1236" s="50">
        <f t="shared" si="447"/>
        <v>8543</v>
      </c>
      <c r="K1236" s="50">
        <f t="shared" si="447"/>
        <v>0</v>
      </c>
      <c r="L1236" s="51"/>
    </row>
    <row r="1237" spans="1:12">
      <c r="B1237" s="6"/>
      <c r="D1237" s="7"/>
      <c r="E1237" s="7"/>
      <c r="F1237" s="7"/>
      <c r="G1237" s="31"/>
      <c r="H1237" s="31"/>
      <c r="I1237" s="31"/>
      <c r="J1237" s="31"/>
      <c r="K1237" s="31"/>
      <c r="L1237" s="31"/>
    </row>
    <row r="1238" spans="1:12" ht="15.75" thickBot="1"/>
    <row r="1239" spans="1:12">
      <c r="A1239" s="8"/>
      <c r="B1239" s="8"/>
      <c r="C1239" s="8"/>
      <c r="D1239" s="8"/>
      <c r="E1239" s="8"/>
      <c r="F1239" s="8"/>
      <c r="G1239" s="8"/>
      <c r="H1239" s="8"/>
      <c r="I1239" s="8"/>
      <c r="J1239" s="8"/>
      <c r="K1239" s="8"/>
      <c r="L1239" s="8"/>
    </row>
    <row r="1240" spans="1:12">
      <c r="B1240" s="33"/>
      <c r="C1240" s="33"/>
      <c r="D1240" s="33"/>
      <c r="E1240" s="33"/>
      <c r="F1240" s="33"/>
      <c r="G1240" s="33"/>
      <c r="H1240" s="33"/>
      <c r="I1240" s="33"/>
      <c r="J1240" s="33"/>
      <c r="K1240" s="33"/>
      <c r="L1240" s="33"/>
    </row>
    <row r="1241" spans="1:12" ht="21">
      <c r="A1241" s="14" t="s">
        <v>4</v>
      </c>
      <c r="B1241" s="14"/>
      <c r="C1241" s="46"/>
      <c r="D1241" s="47"/>
      <c r="E1241" s="24"/>
      <c r="F1241" s="24"/>
    </row>
    <row r="1243" spans="1:12" ht="18.75">
      <c r="A1243" s="9" t="s">
        <v>21</v>
      </c>
      <c r="B1243" s="9"/>
      <c r="D1243" s="2">
        <v>2011</v>
      </c>
      <c r="E1243" s="2">
        <v>2012</v>
      </c>
      <c r="F1243" s="2">
        <v>2013</v>
      </c>
      <c r="G1243" s="2">
        <v>2014</v>
      </c>
      <c r="H1243" s="2">
        <v>2015</v>
      </c>
      <c r="I1243" s="2">
        <v>2016</v>
      </c>
      <c r="J1243" s="2">
        <v>2017</v>
      </c>
      <c r="K1243" s="2">
        <v>2018</v>
      </c>
      <c r="L1243" s="2"/>
    </row>
    <row r="1244" spans="1:12">
      <c r="B1244" s="88" t="str">
        <f>"Total MWh Produced / Purchased from " &amp; C1241</f>
        <v xml:space="preserve">Total MWh Produced / Purchased from </v>
      </c>
      <c r="C1244" s="80"/>
      <c r="D1244" s="3"/>
      <c r="E1244" s="4"/>
      <c r="F1244" s="4"/>
      <c r="G1244" s="4"/>
      <c r="H1244" s="4"/>
      <c r="I1244" s="4"/>
      <c r="J1244" s="4"/>
      <c r="K1244" s="4"/>
      <c r="L1244" s="5"/>
    </row>
    <row r="1245" spans="1:12">
      <c r="B1245" s="88" t="s">
        <v>25</v>
      </c>
      <c r="C1245" s="80"/>
      <c r="D1245" s="62"/>
      <c r="E1245" s="63"/>
      <c r="F1245" s="63"/>
      <c r="G1245" s="63"/>
      <c r="H1245" s="63"/>
      <c r="I1245" s="63"/>
      <c r="J1245" s="63"/>
      <c r="K1245" s="63"/>
      <c r="L1245" s="64"/>
    </row>
    <row r="1246" spans="1:12">
      <c r="B1246" s="88" t="s">
        <v>20</v>
      </c>
      <c r="C1246" s="80"/>
      <c r="D1246" s="54"/>
      <c r="E1246" s="55"/>
      <c r="F1246" s="55"/>
      <c r="G1246" s="55"/>
      <c r="H1246" s="55"/>
      <c r="I1246" s="55"/>
      <c r="J1246" s="55"/>
      <c r="K1246" s="55"/>
      <c r="L1246" s="56"/>
    </row>
    <row r="1247" spans="1:12">
      <c r="B1247" s="85" t="s">
        <v>22</v>
      </c>
      <c r="C1247" s="86"/>
      <c r="D1247" s="41">
        <v>0</v>
      </c>
      <c r="E1247" s="41">
        <v>0</v>
      </c>
      <c r="F1247" s="41">
        <v>0</v>
      </c>
      <c r="G1247" s="41">
        <v>0</v>
      </c>
      <c r="H1247" s="41">
        <v>0</v>
      </c>
      <c r="I1247" s="41">
        <v>0</v>
      </c>
      <c r="J1247" s="41">
        <v>0</v>
      </c>
      <c r="K1247" s="41">
        <v>0</v>
      </c>
      <c r="L1247" s="41"/>
    </row>
    <row r="1248" spans="1:12">
      <c r="B1248" s="24"/>
      <c r="C1248" s="33"/>
      <c r="D1248" s="40"/>
      <c r="E1248" s="40"/>
      <c r="F1248" s="40"/>
      <c r="G1248" s="40"/>
      <c r="H1248" s="40"/>
      <c r="I1248" s="40"/>
      <c r="J1248" s="40"/>
      <c r="K1248" s="40"/>
      <c r="L1248" s="40"/>
    </row>
    <row r="1249" spans="1:12" ht="18.75">
      <c r="A1249" s="48" t="s">
        <v>119</v>
      </c>
      <c r="C1249" s="33"/>
      <c r="D1249" s="2">
        <v>2011</v>
      </c>
      <c r="E1249" s="2">
        <v>2012</v>
      </c>
      <c r="F1249" s="2">
        <v>2013</v>
      </c>
      <c r="G1249" s="2">
        <v>2014</v>
      </c>
      <c r="H1249" s="2">
        <v>2015</v>
      </c>
      <c r="I1249" s="2">
        <v>2016</v>
      </c>
      <c r="J1249" s="2">
        <v>2017</v>
      </c>
      <c r="K1249" s="2">
        <v>2018</v>
      </c>
      <c r="L1249" s="2"/>
    </row>
    <row r="1250" spans="1:12">
      <c r="B1250" s="88" t="s">
        <v>10</v>
      </c>
      <c r="C1250" s="80"/>
      <c r="D1250" s="57">
        <v>0</v>
      </c>
      <c r="E1250" s="11">
        <v>0</v>
      </c>
      <c r="F1250" s="11">
        <v>0</v>
      </c>
      <c r="G1250" s="11">
        <v>0</v>
      </c>
      <c r="H1250" s="11">
        <v>0</v>
      </c>
      <c r="I1250" s="11">
        <v>0</v>
      </c>
      <c r="J1250" s="11">
        <v>0</v>
      </c>
      <c r="K1250" s="11">
        <v>0</v>
      </c>
      <c r="L1250" s="12"/>
    </row>
    <row r="1251" spans="1:12">
      <c r="B1251" s="88" t="s">
        <v>6</v>
      </c>
      <c r="C1251" s="80"/>
      <c r="D1251" s="58">
        <v>0</v>
      </c>
      <c r="E1251" s="59">
        <v>0</v>
      </c>
      <c r="F1251" s="59">
        <v>0</v>
      </c>
      <c r="G1251" s="59">
        <v>0</v>
      </c>
      <c r="H1251" s="59">
        <v>0</v>
      </c>
      <c r="I1251" s="59">
        <v>0</v>
      </c>
      <c r="J1251" s="59">
        <v>0</v>
      </c>
      <c r="K1251" s="59">
        <v>0</v>
      </c>
      <c r="L1251" s="60"/>
    </row>
    <row r="1252" spans="1:12">
      <c r="B1252" s="87" t="s">
        <v>121</v>
      </c>
      <c r="C1252" s="86"/>
      <c r="D1252" s="43">
        <v>0</v>
      </c>
      <c r="E1252" s="44">
        <v>0</v>
      </c>
      <c r="F1252" s="44">
        <v>0</v>
      </c>
      <c r="G1252" s="44">
        <v>0</v>
      </c>
      <c r="H1252" s="44">
        <v>0</v>
      </c>
      <c r="I1252" s="44">
        <v>0</v>
      </c>
      <c r="J1252" s="44">
        <v>0</v>
      </c>
      <c r="K1252" s="44">
        <v>0</v>
      </c>
      <c r="L1252" s="44"/>
    </row>
    <row r="1253" spans="1:12">
      <c r="B1253" s="33"/>
      <c r="C1253" s="33"/>
      <c r="D1253" s="42"/>
      <c r="E1253" s="34"/>
      <c r="F1253" s="34"/>
      <c r="G1253" s="34"/>
      <c r="H1253" s="34"/>
      <c r="I1253" s="34"/>
      <c r="J1253" s="34"/>
      <c r="K1253" s="34"/>
      <c r="L1253" s="34"/>
    </row>
    <row r="1254" spans="1:12" ht="18.75">
      <c r="A1254" s="45" t="s">
        <v>30</v>
      </c>
      <c r="C1254" s="33"/>
      <c r="D1254" s="2">
        <v>2011</v>
      </c>
      <c r="E1254" s="2">
        <v>2012</v>
      </c>
      <c r="F1254" s="2">
        <v>2013</v>
      </c>
      <c r="G1254" s="2">
        <v>2014</v>
      </c>
      <c r="H1254" s="2">
        <v>2015</v>
      </c>
      <c r="I1254" s="2">
        <v>2016</v>
      </c>
      <c r="J1254" s="2">
        <v>2017</v>
      </c>
      <c r="K1254" s="2">
        <v>2018</v>
      </c>
      <c r="L1254" s="2"/>
    </row>
    <row r="1255" spans="1:12">
      <c r="B1255" s="88" t="s">
        <v>47</v>
      </c>
      <c r="C1255" s="80"/>
      <c r="D1255" s="98"/>
      <c r="E1255" s="99"/>
      <c r="F1255" s="99"/>
      <c r="G1255" s="99"/>
      <c r="H1255" s="99"/>
      <c r="I1255" s="99"/>
      <c r="J1255" s="99"/>
      <c r="K1255" s="99"/>
      <c r="L1255" s="100"/>
    </row>
    <row r="1256" spans="1:12">
      <c r="B1256" s="89" t="s">
        <v>23</v>
      </c>
      <c r="C1256" s="207"/>
      <c r="D1256" s="101"/>
      <c r="E1256" s="102"/>
      <c r="F1256" s="102"/>
      <c r="G1256" s="102"/>
      <c r="H1256" s="102"/>
      <c r="I1256" s="102"/>
      <c r="J1256" s="102"/>
      <c r="K1256" s="102"/>
      <c r="L1256" s="103"/>
    </row>
    <row r="1257" spans="1:12">
      <c r="B1257" s="104" t="s">
        <v>89</v>
      </c>
      <c r="C1257" s="205"/>
      <c r="D1257" s="65"/>
      <c r="E1257" s="66"/>
      <c r="F1257" s="66"/>
      <c r="G1257" s="66"/>
      <c r="H1257" s="66"/>
      <c r="I1257" s="66"/>
      <c r="J1257" s="66"/>
      <c r="K1257" s="66"/>
      <c r="L1257" s="67"/>
    </row>
    <row r="1258" spans="1:12">
      <c r="B1258" s="36" t="s">
        <v>90</v>
      </c>
      <c r="D1258" s="7">
        <v>0</v>
      </c>
      <c r="E1258" s="7">
        <v>0</v>
      </c>
      <c r="F1258" s="7">
        <v>0</v>
      </c>
      <c r="G1258" s="7">
        <v>0</v>
      </c>
      <c r="H1258" s="7">
        <v>0</v>
      </c>
      <c r="I1258" s="7">
        <v>0</v>
      </c>
      <c r="J1258" s="7">
        <v>0</v>
      </c>
      <c r="K1258" s="7">
        <v>0</v>
      </c>
      <c r="L1258" s="7"/>
    </row>
    <row r="1259" spans="1:12">
      <c r="B1259" s="6"/>
      <c r="D1259" s="7"/>
      <c r="E1259" s="7"/>
      <c r="F1259" s="7"/>
      <c r="G1259" s="31"/>
      <c r="H1259" s="31"/>
      <c r="I1259" s="31"/>
      <c r="J1259" s="31"/>
      <c r="K1259" s="31"/>
      <c r="L1259" s="31"/>
    </row>
    <row r="1260" spans="1:12" ht="18.75">
      <c r="A1260" s="9" t="s">
        <v>100</v>
      </c>
      <c r="D1260" s="2">
        <f>'Facility Detail'!$B$1752</f>
        <v>2011</v>
      </c>
      <c r="E1260" s="2">
        <f>D1260+1</f>
        <v>2012</v>
      </c>
      <c r="F1260" s="2">
        <f>E1260+1</f>
        <v>2013</v>
      </c>
      <c r="G1260" s="282">
        <f t="shared" ref="G1260" si="448">F1260+1</f>
        <v>2014</v>
      </c>
      <c r="H1260" s="282">
        <f t="shared" ref="H1260" si="449">G1260+1</f>
        <v>2015</v>
      </c>
      <c r="I1260" s="282">
        <f t="shared" ref="I1260" si="450">H1260+1</f>
        <v>2016</v>
      </c>
      <c r="J1260" s="282">
        <f t="shared" ref="J1260" si="451">I1260+1</f>
        <v>2017</v>
      </c>
      <c r="K1260" s="282">
        <f t="shared" ref="K1260" si="452">J1260+1</f>
        <v>2018</v>
      </c>
      <c r="L1260" s="282"/>
    </row>
    <row r="1261" spans="1:12">
      <c r="B1261" s="88" t="s">
        <v>68</v>
      </c>
      <c r="C1261" s="80"/>
      <c r="D1261" s="3"/>
      <c r="E1261" s="68">
        <f>D1261</f>
        <v>0</v>
      </c>
      <c r="F1261" s="152"/>
      <c r="G1261" s="152"/>
      <c r="H1261" s="152"/>
      <c r="I1261" s="152"/>
      <c r="J1261" s="152"/>
      <c r="K1261" s="152"/>
      <c r="L1261" s="69"/>
    </row>
    <row r="1262" spans="1:12">
      <c r="B1262" s="88" t="s">
        <v>69</v>
      </c>
      <c r="C1262" s="80"/>
      <c r="D1262" s="189">
        <f>E1262</f>
        <v>0</v>
      </c>
      <c r="E1262" s="10"/>
      <c r="F1262" s="83"/>
      <c r="G1262" s="83"/>
      <c r="H1262" s="83"/>
      <c r="I1262" s="83"/>
      <c r="J1262" s="83"/>
      <c r="K1262" s="83"/>
      <c r="L1262" s="190"/>
    </row>
    <row r="1263" spans="1:12">
      <c r="B1263" s="88" t="s">
        <v>70</v>
      </c>
      <c r="C1263" s="80"/>
      <c r="D1263" s="70"/>
      <c r="E1263" s="10">
        <f>E1247</f>
        <v>0</v>
      </c>
      <c r="F1263" s="79">
        <f>E1263</f>
        <v>0</v>
      </c>
      <c r="G1263" s="83"/>
      <c r="H1263" s="83"/>
      <c r="I1263" s="83"/>
      <c r="J1263" s="83"/>
      <c r="K1263" s="83"/>
      <c r="L1263" s="190"/>
    </row>
    <row r="1264" spans="1:12">
      <c r="B1264" s="88" t="s">
        <v>71</v>
      </c>
      <c r="C1264" s="80"/>
      <c r="D1264" s="70"/>
      <c r="E1264" s="79">
        <f>F1264</f>
        <v>0</v>
      </c>
      <c r="F1264" s="188"/>
      <c r="G1264" s="83"/>
      <c r="H1264" s="83"/>
      <c r="I1264" s="83"/>
      <c r="J1264" s="83"/>
      <c r="K1264" s="83"/>
      <c r="L1264" s="190"/>
    </row>
    <row r="1265" spans="1:12">
      <c r="B1265" s="88" t="s">
        <v>194</v>
      </c>
      <c r="C1265" s="33"/>
      <c r="D1265" s="70"/>
      <c r="E1265" s="172"/>
      <c r="F1265" s="10">
        <f>F1247</f>
        <v>0</v>
      </c>
      <c r="G1265" s="173">
        <f>F1265</f>
        <v>0</v>
      </c>
      <c r="H1265" s="83"/>
      <c r="I1265" s="83"/>
      <c r="J1265" s="83"/>
      <c r="K1265" s="83"/>
      <c r="L1265" s="190"/>
    </row>
    <row r="1266" spans="1:12">
      <c r="B1266" s="88" t="s">
        <v>195</v>
      </c>
      <c r="C1266" s="33"/>
      <c r="D1266" s="70"/>
      <c r="E1266" s="172"/>
      <c r="F1266" s="79">
        <f>G1266</f>
        <v>0</v>
      </c>
      <c r="G1266" s="10"/>
      <c r="H1266" s="83"/>
      <c r="I1266" s="83"/>
      <c r="J1266" s="83"/>
      <c r="K1266" s="83"/>
      <c r="L1266" s="190"/>
    </row>
    <row r="1267" spans="1:12">
      <c r="B1267" s="88" t="s">
        <v>196</v>
      </c>
      <c r="C1267" s="33"/>
      <c r="D1267" s="70"/>
      <c r="E1267" s="172"/>
      <c r="F1267" s="172"/>
      <c r="G1267" s="10">
        <f>G1247</f>
        <v>0</v>
      </c>
      <c r="H1267" s="173">
        <f>G1267</f>
        <v>0</v>
      </c>
      <c r="I1267" s="172">
        <f>H1267</f>
        <v>0</v>
      </c>
      <c r="J1267" s="172"/>
      <c r="K1267" s="172"/>
      <c r="L1267" s="176"/>
    </row>
    <row r="1268" spans="1:12">
      <c r="B1268" s="88" t="s">
        <v>197</v>
      </c>
      <c r="C1268" s="33"/>
      <c r="D1268" s="70"/>
      <c r="E1268" s="172"/>
      <c r="F1268" s="172"/>
      <c r="G1268" s="174"/>
      <c r="H1268" s="175"/>
      <c r="I1268" s="172"/>
      <c r="J1268" s="172"/>
      <c r="K1268" s="172"/>
      <c r="L1268" s="176"/>
    </row>
    <row r="1269" spans="1:12">
      <c r="B1269" s="88" t="s">
        <v>198</v>
      </c>
      <c r="C1269" s="33"/>
      <c r="D1269" s="70"/>
      <c r="E1269" s="172"/>
      <c r="F1269" s="172"/>
      <c r="G1269" s="172"/>
      <c r="H1269" s="175">
        <v>0</v>
      </c>
      <c r="I1269" s="173">
        <f>H1269</f>
        <v>0</v>
      </c>
      <c r="J1269" s="173"/>
      <c r="K1269" s="173"/>
      <c r="L1269" s="353"/>
    </row>
    <row r="1270" spans="1:12">
      <c r="B1270" s="88" t="s">
        <v>199</v>
      </c>
      <c r="C1270" s="33"/>
      <c r="D1270" s="70"/>
      <c r="E1270" s="172"/>
      <c r="F1270" s="172"/>
      <c r="G1270" s="172"/>
      <c r="H1270" s="79"/>
      <c r="I1270" s="175"/>
      <c r="J1270" s="175"/>
      <c r="K1270" s="175"/>
      <c r="L1270" s="354"/>
    </row>
    <row r="1271" spans="1:12">
      <c r="B1271" s="88" t="s">
        <v>200</v>
      </c>
      <c r="C1271" s="33"/>
      <c r="D1271" s="70"/>
      <c r="E1271" s="172"/>
      <c r="F1271" s="172"/>
      <c r="G1271" s="172"/>
      <c r="H1271" s="172"/>
      <c r="I1271" s="175">
        <f>I1247</f>
        <v>0</v>
      </c>
      <c r="J1271" s="175">
        <f>I1271</f>
        <v>0</v>
      </c>
      <c r="K1271" s="175"/>
      <c r="L1271" s="354"/>
    </row>
    <row r="1272" spans="1:12">
      <c r="B1272" s="88" t="s">
        <v>191</v>
      </c>
      <c r="C1272" s="33"/>
      <c r="D1272" s="70"/>
      <c r="E1272" s="172"/>
      <c r="F1272" s="172"/>
      <c r="G1272" s="172"/>
      <c r="H1272" s="172"/>
      <c r="I1272" s="270"/>
      <c r="J1272" s="173"/>
      <c r="K1272" s="173"/>
      <c r="L1272" s="355"/>
    </row>
    <row r="1273" spans="1:12">
      <c r="B1273" s="88" t="s">
        <v>192</v>
      </c>
      <c r="D1273" s="71"/>
      <c r="E1273" s="154"/>
      <c r="F1273" s="154"/>
      <c r="G1273" s="154"/>
      <c r="H1273" s="154"/>
      <c r="I1273" s="154"/>
      <c r="J1273" s="154"/>
      <c r="K1273" s="154"/>
      <c r="L1273" s="352"/>
    </row>
    <row r="1274" spans="1:12">
      <c r="B1274" s="6" t="s">
        <v>17</v>
      </c>
      <c r="D1274" s="7">
        <f xml:space="preserve"> D1267 - D1266</f>
        <v>0</v>
      </c>
      <c r="E1274" s="7">
        <f xml:space="preserve"> E1266 + E1269 - E1268 - E1267</f>
        <v>0</v>
      </c>
      <c r="F1274" s="7">
        <f>F1268 - F1269</f>
        <v>0</v>
      </c>
      <c r="G1274" s="7">
        <f t="shared" ref="G1274" si="453">G1268 - G1269</f>
        <v>0</v>
      </c>
      <c r="H1274" s="7">
        <f>H1267-H1268-H1269</f>
        <v>0</v>
      </c>
      <c r="I1274" s="7">
        <f>I1269-I1270-I1271</f>
        <v>0</v>
      </c>
      <c r="J1274" s="7">
        <f>J1271</f>
        <v>0</v>
      </c>
      <c r="K1274" s="7">
        <f>K1271</f>
        <v>0</v>
      </c>
      <c r="L1274" s="7"/>
    </row>
    <row r="1275" spans="1:12">
      <c r="C1275" s="33"/>
      <c r="D1275" s="7"/>
      <c r="E1275" s="7"/>
      <c r="F1275" s="7"/>
      <c r="G1275" s="7"/>
      <c r="H1275" s="7"/>
      <c r="I1275" s="7"/>
      <c r="J1275" s="7"/>
      <c r="K1275" s="7"/>
      <c r="L1275" s="7"/>
    </row>
    <row r="1276" spans="1:12">
      <c r="B1276" s="85" t="s">
        <v>12</v>
      </c>
      <c r="D1276" s="111"/>
      <c r="E1276" s="112"/>
      <c r="F1276" s="112"/>
      <c r="G1276" s="112"/>
      <c r="H1276" s="112"/>
      <c r="I1276" s="112"/>
      <c r="J1276" s="112"/>
      <c r="K1276" s="112"/>
      <c r="L1276" s="113"/>
    </row>
    <row r="1277" spans="1:12">
      <c r="C1277" s="33"/>
      <c r="D1277" s="214"/>
      <c r="E1277" s="7"/>
      <c r="F1277" s="7"/>
      <c r="G1277" s="7"/>
      <c r="H1277" s="7"/>
      <c r="I1277" s="7"/>
      <c r="J1277" s="7"/>
      <c r="K1277" s="7"/>
      <c r="L1277" s="7"/>
    </row>
    <row r="1278" spans="1:12" ht="18.75">
      <c r="B1278" s="45" t="s">
        <v>26</v>
      </c>
      <c r="D1278" s="49">
        <f xml:space="preserve"> D1247 + D1252 - D1258 + D1274 + D1276</f>
        <v>0</v>
      </c>
      <c r="E1278" s="50">
        <f xml:space="preserve"> E1247 + E1252 - E1258 + E1274 + E1276</f>
        <v>0</v>
      </c>
      <c r="F1278" s="50">
        <f xml:space="preserve"> F1247 + F1252 - F1258 + F1274 + F1276</f>
        <v>0</v>
      </c>
      <c r="G1278" s="50">
        <f t="shared" ref="G1278:K1278" si="454" xml:space="preserve"> G1247 + G1252 - G1258 + G1274 + G1276</f>
        <v>0</v>
      </c>
      <c r="H1278" s="50">
        <f t="shared" si="454"/>
        <v>0</v>
      </c>
      <c r="I1278" s="50">
        <f t="shared" si="454"/>
        <v>0</v>
      </c>
      <c r="J1278" s="50">
        <f t="shared" si="454"/>
        <v>0</v>
      </c>
      <c r="K1278" s="50">
        <f t="shared" si="454"/>
        <v>0</v>
      </c>
      <c r="L1278" s="51"/>
    </row>
    <row r="1279" spans="1:12" ht="15.75" thickBot="1"/>
    <row r="1280" spans="1:12">
      <c r="A1280" s="8"/>
      <c r="B1280" s="8"/>
      <c r="C1280" s="8"/>
      <c r="D1280" s="8"/>
      <c r="E1280" s="8"/>
      <c r="F1280" s="8"/>
      <c r="G1280" s="8"/>
      <c r="H1280" s="8"/>
      <c r="I1280" s="8"/>
      <c r="J1280" s="8"/>
      <c r="K1280" s="8"/>
      <c r="L1280" s="8"/>
    </row>
    <row r="1281" spans="1:12">
      <c r="B1281" s="33"/>
      <c r="C1281" s="33"/>
      <c r="D1281" s="33"/>
      <c r="E1281" s="33"/>
      <c r="F1281" s="33"/>
      <c r="G1281" s="33"/>
      <c r="H1281" s="33"/>
      <c r="I1281" s="33"/>
      <c r="J1281" s="33"/>
      <c r="K1281" s="33"/>
      <c r="L1281" s="33"/>
    </row>
    <row r="1282" spans="1:12" ht="21">
      <c r="A1282" s="14" t="s">
        <v>4</v>
      </c>
      <c r="B1282" s="14"/>
      <c r="C1282" s="46" t="str">
        <f>B30</f>
        <v>Meadow Creek Wind Farm - North Point Wind Farm - REC Only</v>
      </c>
      <c r="D1282" s="47"/>
      <c r="E1282" s="24"/>
      <c r="F1282" s="24"/>
    </row>
    <row r="1284" spans="1:12" ht="18.75">
      <c r="A1284" s="9" t="s">
        <v>21</v>
      </c>
      <c r="B1284" s="9"/>
      <c r="D1284" s="2">
        <v>2011</v>
      </c>
      <c r="E1284" s="2">
        <v>2012</v>
      </c>
      <c r="F1284" s="2">
        <v>2013</v>
      </c>
      <c r="G1284" s="2">
        <v>2014</v>
      </c>
      <c r="H1284" s="2">
        <v>2015</v>
      </c>
      <c r="I1284" s="2">
        <v>2016</v>
      </c>
      <c r="J1284" s="2">
        <v>2017</v>
      </c>
      <c r="K1284" s="2">
        <v>2018</v>
      </c>
      <c r="L1284" s="2"/>
    </row>
    <row r="1285" spans="1:12">
      <c r="B1285" s="88" t="str">
        <f>"Total MWh Produced / Purchased from " &amp; C1282</f>
        <v>Total MWh Produced / Purchased from Meadow Creek Wind Farm - North Point Wind Farm - REC Only</v>
      </c>
      <c r="C1285" s="80"/>
      <c r="D1285" s="3"/>
      <c r="E1285" s="4"/>
      <c r="F1285" s="4"/>
      <c r="G1285" s="4"/>
      <c r="H1285" s="339"/>
      <c r="I1285" s="339">
        <v>2644</v>
      </c>
      <c r="J1285" s="339"/>
      <c r="K1285" s="339"/>
      <c r="L1285" s="370"/>
    </row>
    <row r="1286" spans="1:12">
      <c r="B1286" s="88" t="s">
        <v>25</v>
      </c>
      <c r="C1286" s="80"/>
      <c r="D1286" s="62"/>
      <c r="E1286" s="63"/>
      <c r="F1286" s="63"/>
      <c r="G1286" s="63"/>
      <c r="H1286" s="344"/>
      <c r="I1286" s="344">
        <v>1</v>
      </c>
      <c r="J1286" s="344"/>
      <c r="K1286" s="344"/>
      <c r="L1286" s="345"/>
    </row>
    <row r="1287" spans="1:12">
      <c r="B1287" s="88" t="s">
        <v>20</v>
      </c>
      <c r="C1287" s="80"/>
      <c r="D1287" s="54"/>
      <c r="E1287" s="55"/>
      <c r="F1287" s="55"/>
      <c r="G1287" s="55"/>
      <c r="H1287" s="363"/>
      <c r="I1287" s="363">
        <v>1</v>
      </c>
      <c r="J1287" s="363"/>
      <c r="K1287" s="363"/>
      <c r="L1287" s="371"/>
    </row>
    <row r="1288" spans="1:12">
      <c r="B1288" s="85" t="s">
        <v>22</v>
      </c>
      <c r="C1288" s="86"/>
      <c r="D1288" s="41">
        <v>0</v>
      </c>
      <c r="E1288" s="41">
        <v>0</v>
      </c>
      <c r="F1288" s="41">
        <v>0</v>
      </c>
      <c r="G1288" s="41">
        <v>0</v>
      </c>
      <c r="H1288" s="337">
        <v>0</v>
      </c>
      <c r="I1288" s="337">
        <v>2644</v>
      </c>
      <c r="J1288" s="337">
        <v>0</v>
      </c>
      <c r="K1288" s="337">
        <v>0</v>
      </c>
      <c r="L1288" s="337"/>
    </row>
    <row r="1289" spans="1:12">
      <c r="B1289" s="24"/>
      <c r="C1289" s="33"/>
      <c r="D1289" s="40"/>
      <c r="E1289" s="40"/>
      <c r="F1289" s="40"/>
      <c r="G1289" s="40"/>
      <c r="H1289" s="25"/>
      <c r="I1289" s="25"/>
      <c r="J1289" s="25"/>
      <c r="K1289" s="25"/>
      <c r="L1289" s="25"/>
    </row>
    <row r="1290" spans="1:12" ht="18.75">
      <c r="A1290" s="48" t="s">
        <v>119</v>
      </c>
      <c r="C1290" s="33"/>
      <c r="D1290" s="2">
        <v>2011</v>
      </c>
      <c r="E1290" s="2">
        <v>2012</v>
      </c>
      <c r="F1290" s="2">
        <v>2013</v>
      </c>
      <c r="G1290" s="2">
        <v>2014</v>
      </c>
      <c r="H1290" s="2">
        <v>2015</v>
      </c>
      <c r="I1290" s="2">
        <v>2016</v>
      </c>
      <c r="J1290" s="2">
        <v>2017</v>
      </c>
      <c r="K1290" s="2">
        <v>2018</v>
      </c>
      <c r="L1290" s="2"/>
    </row>
    <row r="1291" spans="1:12">
      <c r="B1291" s="88" t="s">
        <v>10</v>
      </c>
      <c r="C1291" s="80"/>
      <c r="D1291" s="57">
        <v>0</v>
      </c>
      <c r="E1291" s="11">
        <v>0</v>
      </c>
      <c r="F1291" s="11">
        <v>0</v>
      </c>
      <c r="G1291" s="11">
        <v>0</v>
      </c>
      <c r="H1291" s="11">
        <v>0</v>
      </c>
      <c r="I1291" s="11">
        <v>0</v>
      </c>
      <c r="J1291" s="11">
        <v>0</v>
      </c>
      <c r="K1291" s="11">
        <v>0</v>
      </c>
      <c r="L1291" s="12"/>
    </row>
    <row r="1292" spans="1:12">
      <c r="B1292" s="88" t="s">
        <v>6</v>
      </c>
      <c r="C1292" s="80"/>
      <c r="D1292" s="58">
        <v>0</v>
      </c>
      <c r="E1292" s="59">
        <v>0</v>
      </c>
      <c r="F1292" s="59">
        <v>0</v>
      </c>
      <c r="G1292" s="59">
        <v>0</v>
      </c>
      <c r="H1292" s="59">
        <v>0</v>
      </c>
      <c r="I1292" s="59">
        <v>0</v>
      </c>
      <c r="J1292" s="59">
        <v>0</v>
      </c>
      <c r="K1292" s="59">
        <v>0</v>
      </c>
      <c r="L1292" s="60"/>
    </row>
    <row r="1293" spans="1:12">
      <c r="B1293" s="87" t="s">
        <v>121</v>
      </c>
      <c r="C1293" s="86"/>
      <c r="D1293" s="43">
        <v>0</v>
      </c>
      <c r="E1293" s="44">
        <v>0</v>
      </c>
      <c r="F1293" s="44">
        <v>0</v>
      </c>
      <c r="G1293" s="44">
        <v>0</v>
      </c>
      <c r="H1293" s="44">
        <v>0</v>
      </c>
      <c r="I1293" s="44">
        <v>0</v>
      </c>
      <c r="J1293" s="44">
        <v>0</v>
      </c>
      <c r="K1293" s="44">
        <v>0</v>
      </c>
      <c r="L1293" s="44"/>
    </row>
    <row r="1294" spans="1:12">
      <c r="B1294" s="33"/>
      <c r="C1294" s="33"/>
      <c r="D1294" s="42"/>
      <c r="E1294" s="34"/>
      <c r="F1294" s="34"/>
      <c r="G1294" s="34"/>
      <c r="H1294" s="34"/>
      <c r="I1294" s="34"/>
      <c r="J1294" s="34"/>
      <c r="K1294" s="34"/>
      <c r="L1294" s="34"/>
    </row>
    <row r="1295" spans="1:12" ht="18.75">
      <c r="A1295" s="45" t="s">
        <v>30</v>
      </c>
      <c r="C1295" s="33"/>
      <c r="D1295" s="2">
        <v>2011</v>
      </c>
      <c r="E1295" s="2">
        <v>2012</v>
      </c>
      <c r="F1295" s="2">
        <v>2013</v>
      </c>
      <c r="G1295" s="2">
        <v>2014</v>
      </c>
      <c r="H1295" s="2">
        <v>2015</v>
      </c>
      <c r="I1295" s="2">
        <v>2016</v>
      </c>
      <c r="J1295" s="2">
        <v>2017</v>
      </c>
      <c r="K1295" s="2">
        <v>2018</v>
      </c>
      <c r="L1295" s="2"/>
    </row>
    <row r="1296" spans="1:12">
      <c r="B1296" s="88" t="s">
        <v>47</v>
      </c>
      <c r="C1296" s="80"/>
      <c r="D1296" s="98"/>
      <c r="E1296" s="99"/>
      <c r="F1296" s="99"/>
      <c r="G1296" s="99"/>
      <c r="H1296" s="99"/>
      <c r="I1296" s="99"/>
      <c r="J1296" s="99"/>
      <c r="K1296" s="99"/>
      <c r="L1296" s="100"/>
    </row>
    <row r="1297" spans="1:12">
      <c r="B1297" s="89" t="s">
        <v>23</v>
      </c>
      <c r="C1297" s="207"/>
      <c r="D1297" s="101"/>
      <c r="E1297" s="102"/>
      <c r="F1297" s="102"/>
      <c r="G1297" s="102"/>
      <c r="H1297" s="102"/>
      <c r="I1297" s="102"/>
      <c r="J1297" s="102"/>
      <c r="K1297" s="102"/>
      <c r="L1297" s="103"/>
    </row>
    <row r="1298" spans="1:12">
      <c r="B1298" s="104" t="s">
        <v>89</v>
      </c>
      <c r="C1298" s="205"/>
      <c r="D1298" s="65"/>
      <c r="E1298" s="66"/>
      <c r="F1298" s="66"/>
      <c r="G1298" s="66"/>
      <c r="H1298" s="66"/>
      <c r="I1298" s="66"/>
      <c r="J1298" s="66"/>
      <c r="K1298" s="66"/>
      <c r="L1298" s="67"/>
    </row>
    <row r="1299" spans="1:12">
      <c r="B1299" s="36" t="s">
        <v>90</v>
      </c>
      <c r="D1299" s="7">
        <v>0</v>
      </c>
      <c r="E1299" s="7">
        <v>0</v>
      </c>
      <c r="F1299" s="7">
        <v>0</v>
      </c>
      <c r="G1299" s="7">
        <v>0</v>
      </c>
      <c r="H1299" s="7">
        <v>0</v>
      </c>
      <c r="I1299" s="7">
        <v>0</v>
      </c>
      <c r="J1299" s="7">
        <v>0</v>
      </c>
      <c r="K1299" s="7">
        <v>0</v>
      </c>
      <c r="L1299" s="7"/>
    </row>
    <row r="1300" spans="1:12">
      <c r="B1300" s="6"/>
      <c r="D1300" s="7"/>
      <c r="E1300" s="7"/>
      <c r="F1300" s="7"/>
      <c r="G1300" s="31"/>
      <c r="H1300" s="31"/>
      <c r="I1300" s="31"/>
      <c r="J1300" s="31"/>
      <c r="K1300" s="31"/>
      <c r="L1300" s="31"/>
    </row>
    <row r="1301" spans="1:12" ht="18.75">
      <c r="A1301" s="9" t="s">
        <v>100</v>
      </c>
      <c r="D1301" s="2">
        <f>'Facility Detail'!$B$1752</f>
        <v>2011</v>
      </c>
      <c r="E1301" s="2">
        <f>D1301+1</f>
        <v>2012</v>
      </c>
      <c r="F1301" s="2">
        <f>E1301+1</f>
        <v>2013</v>
      </c>
      <c r="G1301" s="282">
        <f t="shared" ref="G1301" si="455">F1301+1</f>
        <v>2014</v>
      </c>
      <c r="H1301" s="282">
        <f t="shared" ref="H1301" si="456">G1301+1</f>
        <v>2015</v>
      </c>
      <c r="I1301" s="282">
        <f t="shared" ref="I1301" si="457">H1301+1</f>
        <v>2016</v>
      </c>
      <c r="J1301" s="282">
        <f t="shared" ref="J1301" si="458">I1301+1</f>
        <v>2017</v>
      </c>
      <c r="K1301" s="282">
        <f t="shared" ref="K1301" si="459">J1301+1</f>
        <v>2018</v>
      </c>
      <c r="L1301" s="282"/>
    </row>
    <row r="1302" spans="1:12">
      <c r="B1302" s="88" t="s">
        <v>68</v>
      </c>
      <c r="C1302" s="80"/>
      <c r="D1302" s="283"/>
      <c r="E1302" s="77">
        <f>D1302</f>
        <v>0</v>
      </c>
      <c r="F1302" s="284"/>
      <c r="G1302" s="284"/>
      <c r="H1302" s="284"/>
      <c r="I1302" s="284"/>
      <c r="J1302" s="284"/>
      <c r="K1302" s="284"/>
      <c r="L1302" s="285"/>
    </row>
    <row r="1303" spans="1:12">
      <c r="B1303" s="88" t="s">
        <v>69</v>
      </c>
      <c r="C1303" s="80"/>
      <c r="D1303" s="286">
        <f>E1303</f>
        <v>0</v>
      </c>
      <c r="E1303" s="287"/>
      <c r="F1303" s="288"/>
      <c r="G1303" s="288"/>
      <c r="H1303" s="288"/>
      <c r="I1303" s="288"/>
      <c r="J1303" s="288"/>
      <c r="K1303" s="288"/>
      <c r="L1303" s="289"/>
    </row>
    <row r="1304" spans="1:12">
      <c r="B1304" s="88" t="s">
        <v>70</v>
      </c>
      <c r="C1304" s="80"/>
      <c r="D1304" s="290"/>
      <c r="E1304" s="287">
        <f>E1288</f>
        <v>0</v>
      </c>
      <c r="F1304" s="291">
        <f>E1304</f>
        <v>0</v>
      </c>
      <c r="G1304" s="288"/>
      <c r="H1304" s="288"/>
      <c r="I1304" s="288"/>
      <c r="J1304" s="288"/>
      <c r="K1304" s="288"/>
      <c r="L1304" s="289"/>
    </row>
    <row r="1305" spans="1:12">
      <c r="B1305" s="88" t="s">
        <v>71</v>
      </c>
      <c r="C1305" s="80"/>
      <c r="D1305" s="290"/>
      <c r="E1305" s="291">
        <f>F1305</f>
        <v>0</v>
      </c>
      <c r="F1305" s="292"/>
      <c r="G1305" s="288"/>
      <c r="H1305" s="288"/>
      <c r="I1305" s="288"/>
      <c r="J1305" s="288"/>
      <c r="K1305" s="288"/>
      <c r="L1305" s="289"/>
    </row>
    <row r="1306" spans="1:12">
      <c r="B1306" s="88" t="s">
        <v>194</v>
      </c>
      <c r="C1306" s="33"/>
      <c r="D1306" s="290"/>
      <c r="E1306" s="293"/>
      <c r="F1306" s="287">
        <f>F1288</f>
        <v>0</v>
      </c>
      <c r="G1306" s="294">
        <f>F1306</f>
        <v>0</v>
      </c>
      <c r="H1306" s="288"/>
      <c r="I1306" s="288"/>
      <c r="J1306" s="288"/>
      <c r="K1306" s="288"/>
      <c r="L1306" s="289"/>
    </row>
    <row r="1307" spans="1:12">
      <c r="B1307" s="88" t="s">
        <v>195</v>
      </c>
      <c r="C1307" s="33"/>
      <c r="D1307" s="290"/>
      <c r="E1307" s="293"/>
      <c r="F1307" s="291">
        <f>G1307</f>
        <v>0</v>
      </c>
      <c r="G1307" s="287"/>
      <c r="H1307" s="288"/>
      <c r="I1307" s="288"/>
      <c r="J1307" s="288"/>
      <c r="K1307" s="288"/>
      <c r="L1307" s="289"/>
    </row>
    <row r="1308" spans="1:12">
      <c r="B1308" s="88" t="s">
        <v>196</v>
      </c>
      <c r="C1308" s="33"/>
      <c r="D1308" s="290"/>
      <c r="E1308" s="293"/>
      <c r="F1308" s="293"/>
      <c r="G1308" s="287">
        <f>G1288</f>
        <v>0</v>
      </c>
      <c r="H1308" s="294">
        <f>G1308</f>
        <v>0</v>
      </c>
      <c r="I1308" s="293">
        <f>H1308</f>
        <v>0</v>
      </c>
      <c r="J1308" s="293"/>
      <c r="K1308" s="293"/>
      <c r="L1308" s="295"/>
    </row>
    <row r="1309" spans="1:12">
      <c r="B1309" s="88" t="s">
        <v>197</v>
      </c>
      <c r="C1309" s="33"/>
      <c r="D1309" s="290"/>
      <c r="E1309" s="293"/>
      <c r="F1309" s="293"/>
      <c r="G1309" s="296"/>
      <c r="H1309" s="297"/>
      <c r="I1309" s="293"/>
      <c r="J1309" s="293"/>
      <c r="K1309" s="293"/>
      <c r="L1309" s="295"/>
    </row>
    <row r="1310" spans="1:12">
      <c r="B1310" s="88" t="s">
        <v>198</v>
      </c>
      <c r="C1310" s="33"/>
      <c r="D1310" s="290"/>
      <c r="E1310" s="293"/>
      <c r="F1310" s="293"/>
      <c r="G1310" s="293"/>
      <c r="H1310" s="297">
        <v>0</v>
      </c>
      <c r="I1310" s="294">
        <f>H1310</f>
        <v>0</v>
      </c>
      <c r="J1310" s="294"/>
      <c r="K1310" s="294"/>
      <c r="L1310" s="366"/>
    </row>
    <row r="1311" spans="1:12">
      <c r="B1311" s="88" t="s">
        <v>199</v>
      </c>
      <c r="C1311" s="33"/>
      <c r="D1311" s="290"/>
      <c r="E1311" s="293"/>
      <c r="F1311" s="293"/>
      <c r="G1311" s="293"/>
      <c r="H1311" s="291"/>
      <c r="I1311" s="297"/>
      <c r="J1311" s="297"/>
      <c r="K1311" s="297"/>
      <c r="L1311" s="367"/>
    </row>
    <row r="1312" spans="1:12">
      <c r="B1312" s="88" t="s">
        <v>200</v>
      </c>
      <c r="C1312" s="33"/>
      <c r="D1312" s="290"/>
      <c r="E1312" s="293"/>
      <c r="F1312" s="293"/>
      <c r="G1312" s="293"/>
      <c r="H1312" s="293"/>
      <c r="I1312" s="297">
        <f>I1288</f>
        <v>2644</v>
      </c>
      <c r="J1312" s="297">
        <f>I1312</f>
        <v>2644</v>
      </c>
      <c r="K1312" s="297"/>
      <c r="L1312" s="367"/>
    </row>
    <row r="1313" spans="1:12">
      <c r="B1313" s="88" t="s">
        <v>191</v>
      </c>
      <c r="C1313" s="33"/>
      <c r="D1313" s="290"/>
      <c r="E1313" s="293"/>
      <c r="F1313" s="293"/>
      <c r="G1313" s="293"/>
      <c r="H1313" s="293"/>
      <c r="I1313" s="298"/>
      <c r="J1313" s="173"/>
      <c r="K1313" s="173"/>
      <c r="L1313" s="368"/>
    </row>
    <row r="1314" spans="1:12">
      <c r="B1314" s="88" t="s">
        <v>192</v>
      </c>
      <c r="C1314" s="33"/>
      <c r="D1314" s="299"/>
      <c r="E1314" s="300"/>
      <c r="F1314" s="300"/>
      <c r="G1314" s="300"/>
      <c r="H1314" s="300"/>
      <c r="I1314" s="300"/>
      <c r="J1314" s="300"/>
      <c r="K1314" s="300"/>
      <c r="L1314" s="369"/>
    </row>
    <row r="1315" spans="1:12">
      <c r="B1315" s="36" t="s">
        <v>17</v>
      </c>
      <c r="D1315" s="303">
        <f xml:space="preserve"> D1308 - D1307</f>
        <v>0</v>
      </c>
      <c r="E1315" s="303">
        <f xml:space="preserve"> E1307 + E1310 - E1309 - E1308</f>
        <v>0</v>
      </c>
      <c r="F1315" s="303">
        <f>F1309 - F1310</f>
        <v>0</v>
      </c>
      <c r="G1315" s="303">
        <f t="shared" ref="G1315" si="460">G1309 - G1310</f>
        <v>0</v>
      </c>
      <c r="H1315" s="303">
        <f>H1308-H1309-H1310</f>
        <v>0</v>
      </c>
      <c r="I1315" s="347">
        <f>I1310-I1311-I1312</f>
        <v>-2644</v>
      </c>
      <c r="J1315" s="347">
        <f>J1312-J1313-J1314</f>
        <v>2644</v>
      </c>
      <c r="K1315" s="347">
        <f>K1314</f>
        <v>0</v>
      </c>
      <c r="L1315" s="347"/>
    </row>
    <row r="1316" spans="1:12">
      <c r="B1316" s="6"/>
      <c r="D1316" s="303"/>
      <c r="E1316" s="303"/>
      <c r="F1316" s="303"/>
      <c r="G1316" s="303"/>
      <c r="H1316" s="303"/>
      <c r="I1316" s="303"/>
      <c r="J1316" s="303"/>
      <c r="K1316" s="303"/>
      <c r="L1316" s="303"/>
    </row>
    <row r="1317" spans="1:12">
      <c r="B1317" s="85" t="s">
        <v>12</v>
      </c>
      <c r="C1317" s="80"/>
      <c r="D1317" s="304"/>
      <c r="E1317" s="305"/>
      <c r="F1317" s="305"/>
      <c r="G1317" s="305"/>
      <c r="H1317" s="305"/>
      <c r="I1317" s="305"/>
      <c r="J1317" s="305"/>
      <c r="K1317" s="305"/>
      <c r="L1317" s="306"/>
    </row>
    <row r="1318" spans="1:12">
      <c r="B1318" s="6"/>
      <c r="D1318" s="303"/>
      <c r="E1318" s="303"/>
      <c r="F1318" s="303"/>
      <c r="G1318" s="303"/>
      <c r="H1318" s="303"/>
      <c r="I1318" s="303"/>
      <c r="J1318" s="303"/>
      <c r="K1318" s="303"/>
      <c r="L1318" s="303"/>
    </row>
    <row r="1319" spans="1:12" ht="18.75">
      <c r="A1319" s="45" t="s">
        <v>26</v>
      </c>
      <c r="C1319" s="80"/>
      <c r="D1319" s="307">
        <f xml:space="preserve"> D1288 + D1293 - D1299 + D1315 + D1317</f>
        <v>0</v>
      </c>
      <c r="E1319" s="308">
        <f xml:space="preserve"> E1288 + E1293 - E1299 + E1315 + E1317</f>
        <v>0</v>
      </c>
      <c r="F1319" s="308">
        <f xml:space="preserve"> F1288 + F1293 - F1299 + F1315 + F1317</f>
        <v>0</v>
      </c>
      <c r="G1319" s="308">
        <f t="shared" ref="G1319:K1319" si="461" xml:space="preserve"> G1288 + G1293 - G1299 + G1315 + G1317</f>
        <v>0</v>
      </c>
      <c r="H1319" s="308">
        <f t="shared" si="461"/>
        <v>0</v>
      </c>
      <c r="I1319" s="308">
        <f t="shared" si="461"/>
        <v>0</v>
      </c>
      <c r="J1319" s="308">
        <f t="shared" si="461"/>
        <v>2644</v>
      </c>
      <c r="K1319" s="308">
        <f t="shared" si="461"/>
        <v>0</v>
      </c>
      <c r="L1319" s="309"/>
    </row>
    <row r="1320" spans="1:12">
      <c r="B1320" s="6"/>
      <c r="D1320" s="7"/>
      <c r="E1320" s="7"/>
      <c r="F1320" s="7"/>
      <c r="G1320" s="31"/>
      <c r="H1320" s="31"/>
      <c r="I1320" s="31"/>
      <c r="J1320" s="31"/>
      <c r="K1320" s="31"/>
      <c r="L1320" s="31"/>
    </row>
    <row r="1321" spans="1:12" ht="15.75" thickBot="1"/>
    <row r="1322" spans="1:12">
      <c r="A1322" s="8"/>
      <c r="B1322" s="8"/>
      <c r="C1322" s="8"/>
      <c r="D1322" s="8"/>
      <c r="E1322" s="8"/>
      <c r="F1322" s="8"/>
      <c r="G1322" s="8"/>
      <c r="H1322" s="8"/>
      <c r="I1322" s="8"/>
      <c r="J1322" s="8"/>
      <c r="K1322" s="8"/>
      <c r="L1322" s="8"/>
    </row>
    <row r="1323" spans="1:12" ht="21">
      <c r="A1323" s="14" t="s">
        <v>4</v>
      </c>
      <c r="B1323" s="14"/>
      <c r="C1323" s="46" t="str">
        <f>B31</f>
        <v>Nine Canyon Wind Project - Nine Canyon Phase 3 - REC Only</v>
      </c>
      <c r="D1323" s="47"/>
      <c r="E1323" s="24"/>
      <c r="F1323" s="24"/>
    </row>
    <row r="1325" spans="1:12" ht="18.75">
      <c r="A1325" s="9" t="s">
        <v>21</v>
      </c>
      <c r="B1325" s="9"/>
      <c r="D1325" s="2">
        <v>2011</v>
      </c>
      <c r="E1325" s="2">
        <v>2012</v>
      </c>
      <c r="F1325" s="2">
        <v>2013</v>
      </c>
      <c r="G1325" s="2">
        <v>2014</v>
      </c>
      <c r="H1325" s="2">
        <v>2015</v>
      </c>
      <c r="I1325" s="2">
        <v>2016</v>
      </c>
      <c r="J1325" s="2">
        <v>2017</v>
      </c>
      <c r="K1325" s="2">
        <v>2018</v>
      </c>
      <c r="L1325" s="2"/>
    </row>
    <row r="1326" spans="1:12">
      <c r="B1326" s="88" t="str">
        <f>"Total MWh Produced / Purchased from " &amp; C1323</f>
        <v>Total MWh Produced / Purchased from Nine Canyon Wind Project - Nine Canyon Phase 3 - REC Only</v>
      </c>
      <c r="C1326" s="80"/>
      <c r="D1326" s="3"/>
      <c r="E1326" s="4"/>
      <c r="F1326" s="4"/>
      <c r="G1326" s="4"/>
      <c r="H1326" s="4"/>
      <c r="I1326" s="339">
        <v>4668</v>
      </c>
      <c r="J1326" s="339"/>
      <c r="K1326" s="339"/>
      <c r="L1326" s="370"/>
    </row>
    <row r="1327" spans="1:12">
      <c r="B1327" s="88" t="s">
        <v>25</v>
      </c>
      <c r="C1327" s="80"/>
      <c r="D1327" s="62"/>
      <c r="E1327" s="63"/>
      <c r="F1327" s="63"/>
      <c r="G1327" s="63"/>
      <c r="H1327" s="63"/>
      <c r="I1327" s="63">
        <v>1</v>
      </c>
      <c r="J1327" s="63"/>
      <c r="K1327" s="63"/>
      <c r="L1327" s="64"/>
    </row>
    <row r="1328" spans="1:12">
      <c r="B1328" s="88" t="s">
        <v>20</v>
      </c>
      <c r="C1328" s="80"/>
      <c r="D1328" s="54"/>
      <c r="E1328" s="55"/>
      <c r="F1328" s="55"/>
      <c r="G1328" s="55"/>
      <c r="H1328" s="55"/>
      <c r="I1328" s="55">
        <v>1</v>
      </c>
      <c r="J1328" s="55"/>
      <c r="K1328" s="55"/>
      <c r="L1328" s="56"/>
    </row>
    <row r="1329" spans="1:12">
      <c r="B1329" s="85" t="s">
        <v>22</v>
      </c>
      <c r="C1329" s="86"/>
      <c r="D1329" s="41">
        <v>0</v>
      </c>
      <c r="E1329" s="41">
        <v>0</v>
      </c>
      <c r="F1329" s="41">
        <v>0</v>
      </c>
      <c r="G1329" s="41">
        <v>0</v>
      </c>
      <c r="H1329" s="337">
        <v>0</v>
      </c>
      <c r="I1329" s="337">
        <v>4668</v>
      </c>
      <c r="J1329" s="337">
        <v>0</v>
      </c>
      <c r="K1329" s="337">
        <v>0</v>
      </c>
      <c r="L1329" s="337"/>
    </row>
    <row r="1330" spans="1:12">
      <c r="B1330" s="24"/>
      <c r="C1330" s="33"/>
      <c r="D1330" s="40"/>
      <c r="E1330" s="40"/>
      <c r="F1330" s="40"/>
      <c r="G1330" s="40"/>
      <c r="H1330" s="40"/>
      <c r="I1330" s="40"/>
      <c r="J1330" s="40"/>
      <c r="K1330" s="40"/>
      <c r="L1330" s="40"/>
    </row>
    <row r="1331" spans="1:12" ht="18.75">
      <c r="A1331" s="48" t="s">
        <v>119</v>
      </c>
      <c r="C1331" s="33"/>
      <c r="D1331" s="2">
        <v>2011</v>
      </c>
      <c r="E1331" s="2">
        <v>2012</v>
      </c>
      <c r="F1331" s="2">
        <v>2013</v>
      </c>
      <c r="G1331" s="2">
        <v>2014</v>
      </c>
      <c r="H1331" s="2">
        <v>2015</v>
      </c>
      <c r="I1331" s="2">
        <v>2016</v>
      </c>
      <c r="J1331" s="2">
        <v>2017</v>
      </c>
      <c r="K1331" s="2">
        <v>2018</v>
      </c>
      <c r="L1331" s="2"/>
    </row>
    <row r="1332" spans="1:12">
      <c r="B1332" s="88" t="s">
        <v>10</v>
      </c>
      <c r="C1332" s="80"/>
      <c r="D1332" s="57">
        <v>0</v>
      </c>
      <c r="E1332" s="11">
        <v>0</v>
      </c>
      <c r="F1332" s="11">
        <v>0</v>
      </c>
      <c r="G1332" s="11">
        <v>0</v>
      </c>
      <c r="H1332" s="11">
        <v>0</v>
      </c>
      <c r="I1332" s="11">
        <v>0</v>
      </c>
      <c r="J1332" s="11">
        <v>0</v>
      </c>
      <c r="K1332" s="11">
        <v>0</v>
      </c>
      <c r="L1332" s="12"/>
    </row>
    <row r="1333" spans="1:12">
      <c r="B1333" s="88" t="s">
        <v>6</v>
      </c>
      <c r="C1333" s="80"/>
      <c r="D1333" s="58">
        <v>0</v>
      </c>
      <c r="E1333" s="59">
        <v>0</v>
      </c>
      <c r="F1333" s="59">
        <v>0</v>
      </c>
      <c r="G1333" s="59">
        <v>0</v>
      </c>
      <c r="H1333" s="59">
        <v>0</v>
      </c>
      <c r="I1333" s="59">
        <v>0</v>
      </c>
      <c r="J1333" s="59">
        <v>0</v>
      </c>
      <c r="K1333" s="59">
        <v>0</v>
      </c>
      <c r="L1333" s="60"/>
    </row>
    <row r="1334" spans="1:12">
      <c r="B1334" s="87" t="s">
        <v>121</v>
      </c>
      <c r="C1334" s="86"/>
      <c r="D1334" s="43">
        <v>0</v>
      </c>
      <c r="E1334" s="44">
        <v>0</v>
      </c>
      <c r="F1334" s="44">
        <v>0</v>
      </c>
      <c r="G1334" s="44">
        <v>0</v>
      </c>
      <c r="H1334" s="44">
        <v>0</v>
      </c>
      <c r="I1334" s="44">
        <v>0</v>
      </c>
      <c r="J1334" s="44">
        <v>0</v>
      </c>
      <c r="K1334" s="44">
        <v>0</v>
      </c>
      <c r="L1334" s="44"/>
    </row>
    <row r="1335" spans="1:12">
      <c r="B1335" s="33"/>
      <c r="C1335" s="33"/>
      <c r="D1335" s="42"/>
      <c r="E1335" s="34"/>
      <c r="F1335" s="34"/>
      <c r="G1335" s="34"/>
      <c r="H1335" s="34"/>
      <c r="I1335" s="34"/>
      <c r="J1335" s="34"/>
      <c r="K1335" s="34"/>
      <c r="L1335" s="34"/>
    </row>
    <row r="1336" spans="1:12" ht="18.75">
      <c r="A1336" s="45" t="s">
        <v>30</v>
      </c>
      <c r="C1336" s="33"/>
      <c r="D1336" s="2">
        <v>2011</v>
      </c>
      <c r="E1336" s="2">
        <v>2012</v>
      </c>
      <c r="F1336" s="2">
        <v>2013</v>
      </c>
      <c r="G1336" s="2">
        <v>2014</v>
      </c>
      <c r="H1336" s="2">
        <v>2015</v>
      </c>
      <c r="I1336" s="2">
        <v>2016</v>
      </c>
      <c r="J1336" s="2">
        <v>2017</v>
      </c>
      <c r="K1336" s="2">
        <v>2018</v>
      </c>
      <c r="L1336" s="2"/>
    </row>
    <row r="1337" spans="1:12">
      <c r="B1337" s="88" t="s">
        <v>47</v>
      </c>
      <c r="C1337" s="80"/>
      <c r="D1337" s="98"/>
      <c r="E1337" s="99"/>
      <c r="F1337" s="99"/>
      <c r="G1337" s="99"/>
      <c r="H1337" s="99"/>
      <c r="I1337" s="99"/>
      <c r="J1337" s="99"/>
      <c r="K1337" s="99"/>
      <c r="L1337" s="100"/>
    </row>
    <row r="1338" spans="1:12">
      <c r="B1338" s="89" t="s">
        <v>23</v>
      </c>
      <c r="C1338" s="207"/>
      <c r="D1338" s="101"/>
      <c r="E1338" s="102"/>
      <c r="F1338" s="102"/>
      <c r="G1338" s="102"/>
      <c r="H1338" s="102"/>
      <c r="I1338" s="102"/>
      <c r="J1338" s="102"/>
      <c r="K1338" s="102"/>
      <c r="L1338" s="103"/>
    </row>
    <row r="1339" spans="1:12">
      <c r="B1339" s="104" t="s">
        <v>89</v>
      </c>
      <c r="C1339" s="205"/>
      <c r="D1339" s="65"/>
      <c r="E1339" s="66"/>
      <c r="F1339" s="66"/>
      <c r="G1339" s="66"/>
      <c r="H1339" s="66"/>
      <c r="I1339" s="66"/>
      <c r="J1339" s="66"/>
      <c r="K1339" s="66"/>
      <c r="L1339" s="67"/>
    </row>
    <row r="1340" spans="1:12">
      <c r="B1340" s="36" t="s">
        <v>90</v>
      </c>
      <c r="D1340" s="7">
        <v>0</v>
      </c>
      <c r="E1340" s="7">
        <v>0</v>
      </c>
      <c r="F1340" s="7">
        <v>0</v>
      </c>
      <c r="G1340" s="7">
        <v>0</v>
      </c>
      <c r="H1340" s="7">
        <v>0</v>
      </c>
      <c r="I1340" s="7">
        <v>0</v>
      </c>
      <c r="J1340" s="7">
        <v>0</v>
      </c>
      <c r="K1340" s="7">
        <v>0</v>
      </c>
      <c r="L1340" s="7"/>
    </row>
    <row r="1341" spans="1:12">
      <c r="B1341" s="6"/>
      <c r="D1341" s="7"/>
      <c r="E1341" s="7"/>
      <c r="F1341" s="7"/>
      <c r="G1341" s="31"/>
      <c r="H1341" s="31"/>
      <c r="I1341" s="31"/>
      <c r="J1341" s="31"/>
      <c r="K1341" s="31"/>
      <c r="L1341" s="31"/>
    </row>
    <row r="1342" spans="1:12" ht="18.75">
      <c r="A1342" s="9" t="s">
        <v>100</v>
      </c>
      <c r="D1342" s="2">
        <f>'Facility Detail'!$B$1752</f>
        <v>2011</v>
      </c>
      <c r="E1342" s="2">
        <f>D1342+1</f>
        <v>2012</v>
      </c>
      <c r="F1342" s="2">
        <f>E1342+1</f>
        <v>2013</v>
      </c>
      <c r="G1342" s="282">
        <f t="shared" ref="G1342" si="462">F1342+1</f>
        <v>2014</v>
      </c>
      <c r="H1342" s="282">
        <f t="shared" ref="H1342" si="463">G1342+1</f>
        <v>2015</v>
      </c>
      <c r="I1342" s="282">
        <f t="shared" ref="I1342" si="464">H1342+1</f>
        <v>2016</v>
      </c>
      <c r="J1342" s="282">
        <f t="shared" ref="J1342" si="465">I1342+1</f>
        <v>2017</v>
      </c>
      <c r="K1342" s="282">
        <f t="shared" ref="K1342" si="466">J1342+1</f>
        <v>2018</v>
      </c>
      <c r="L1342" s="282"/>
    </row>
    <row r="1343" spans="1:12">
      <c r="B1343" s="88" t="s">
        <v>68</v>
      </c>
      <c r="C1343" s="80"/>
      <c r="D1343" s="283"/>
      <c r="E1343" s="77">
        <f>D1343</f>
        <v>0</v>
      </c>
      <c r="F1343" s="284"/>
      <c r="G1343" s="284"/>
      <c r="H1343" s="284"/>
      <c r="I1343" s="284"/>
      <c r="J1343" s="284"/>
      <c r="K1343" s="284"/>
      <c r="L1343" s="285"/>
    </row>
    <row r="1344" spans="1:12">
      <c r="B1344" s="88" t="s">
        <v>69</v>
      </c>
      <c r="C1344" s="80"/>
      <c r="D1344" s="286">
        <f>E1344</f>
        <v>0</v>
      </c>
      <c r="E1344" s="287"/>
      <c r="F1344" s="288"/>
      <c r="G1344" s="288"/>
      <c r="H1344" s="288"/>
      <c r="I1344" s="288"/>
      <c r="J1344" s="288"/>
      <c r="K1344" s="288"/>
      <c r="L1344" s="289"/>
    </row>
    <row r="1345" spans="1:12">
      <c r="B1345" s="88" t="s">
        <v>70</v>
      </c>
      <c r="C1345" s="80"/>
      <c r="D1345" s="290"/>
      <c r="E1345" s="287">
        <f>E1329</f>
        <v>0</v>
      </c>
      <c r="F1345" s="291">
        <f>E1345</f>
        <v>0</v>
      </c>
      <c r="G1345" s="288"/>
      <c r="H1345" s="288"/>
      <c r="I1345" s="288"/>
      <c r="J1345" s="288"/>
      <c r="K1345" s="288"/>
      <c r="L1345" s="289"/>
    </row>
    <row r="1346" spans="1:12">
      <c r="B1346" s="88" t="s">
        <v>71</v>
      </c>
      <c r="C1346" s="80"/>
      <c r="D1346" s="290"/>
      <c r="E1346" s="291">
        <f>F1346</f>
        <v>0</v>
      </c>
      <c r="F1346" s="292"/>
      <c r="G1346" s="288"/>
      <c r="H1346" s="288"/>
      <c r="I1346" s="288"/>
      <c r="J1346" s="288"/>
      <c r="K1346" s="288"/>
      <c r="L1346" s="289"/>
    </row>
    <row r="1347" spans="1:12">
      <c r="B1347" s="88" t="s">
        <v>194</v>
      </c>
      <c r="C1347" s="33"/>
      <c r="D1347" s="290"/>
      <c r="E1347" s="293"/>
      <c r="F1347" s="287">
        <f>F1329</f>
        <v>0</v>
      </c>
      <c r="G1347" s="294">
        <f>F1347</f>
        <v>0</v>
      </c>
      <c r="H1347" s="288"/>
      <c r="I1347" s="288"/>
      <c r="J1347" s="288"/>
      <c r="K1347" s="288"/>
      <c r="L1347" s="289"/>
    </row>
    <row r="1348" spans="1:12">
      <c r="B1348" s="88" t="s">
        <v>195</v>
      </c>
      <c r="C1348" s="33"/>
      <c r="D1348" s="290"/>
      <c r="E1348" s="293"/>
      <c r="F1348" s="291">
        <f>G1348</f>
        <v>0</v>
      </c>
      <c r="G1348" s="287"/>
      <c r="H1348" s="288"/>
      <c r="I1348" s="288"/>
      <c r="J1348" s="288"/>
      <c r="K1348" s="288"/>
      <c r="L1348" s="289"/>
    </row>
    <row r="1349" spans="1:12">
      <c r="B1349" s="88" t="s">
        <v>196</v>
      </c>
      <c r="C1349" s="33"/>
      <c r="D1349" s="290"/>
      <c r="E1349" s="293"/>
      <c r="F1349" s="293"/>
      <c r="G1349" s="287">
        <f>G1329</f>
        <v>0</v>
      </c>
      <c r="H1349" s="294">
        <f>G1349</f>
        <v>0</v>
      </c>
      <c r="I1349" s="293">
        <f>H1349</f>
        <v>0</v>
      </c>
      <c r="J1349" s="293"/>
      <c r="K1349" s="293"/>
      <c r="L1349" s="295"/>
    </row>
    <row r="1350" spans="1:12">
      <c r="B1350" s="88" t="s">
        <v>197</v>
      </c>
      <c r="C1350" s="33"/>
      <c r="D1350" s="290"/>
      <c r="E1350" s="293"/>
      <c r="F1350" s="293"/>
      <c r="G1350" s="296"/>
      <c r="H1350" s="297"/>
      <c r="I1350" s="293"/>
      <c r="J1350" s="293"/>
      <c r="K1350" s="293"/>
      <c r="L1350" s="295"/>
    </row>
    <row r="1351" spans="1:12">
      <c r="B1351" s="88" t="s">
        <v>198</v>
      </c>
      <c r="C1351" s="33"/>
      <c r="D1351" s="290"/>
      <c r="E1351" s="293"/>
      <c r="F1351" s="293"/>
      <c r="G1351" s="293"/>
      <c r="H1351" s="297">
        <v>0</v>
      </c>
      <c r="I1351" s="294">
        <f>H1351</f>
        <v>0</v>
      </c>
      <c r="J1351" s="294"/>
      <c r="K1351" s="294"/>
      <c r="L1351" s="366"/>
    </row>
    <row r="1352" spans="1:12">
      <c r="B1352" s="88" t="s">
        <v>199</v>
      </c>
      <c r="C1352" s="33"/>
      <c r="D1352" s="290"/>
      <c r="E1352" s="293"/>
      <c r="F1352" s="293"/>
      <c r="G1352" s="293"/>
      <c r="H1352" s="291"/>
      <c r="I1352" s="297"/>
      <c r="J1352" s="297"/>
      <c r="K1352" s="297"/>
      <c r="L1352" s="367"/>
    </row>
    <row r="1353" spans="1:12">
      <c r="B1353" s="88" t="s">
        <v>200</v>
      </c>
      <c r="C1353" s="33"/>
      <c r="D1353" s="290"/>
      <c r="E1353" s="293"/>
      <c r="F1353" s="293"/>
      <c r="G1353" s="293"/>
      <c r="H1353" s="293"/>
      <c r="I1353" s="297">
        <f>I1329</f>
        <v>4668</v>
      </c>
      <c r="J1353" s="297">
        <f>I1353</f>
        <v>4668</v>
      </c>
      <c r="K1353" s="297"/>
      <c r="L1353" s="367"/>
    </row>
    <row r="1354" spans="1:12">
      <c r="B1354" s="88" t="s">
        <v>191</v>
      </c>
      <c r="C1354" s="33"/>
      <c r="D1354" s="290"/>
      <c r="E1354" s="293"/>
      <c r="F1354" s="293"/>
      <c r="G1354" s="293"/>
      <c r="H1354" s="293"/>
      <c r="I1354" s="298"/>
      <c r="J1354" s="173"/>
      <c r="K1354" s="173"/>
      <c r="L1354" s="368"/>
    </row>
    <row r="1355" spans="1:12">
      <c r="B1355" s="88" t="s">
        <v>192</v>
      </c>
      <c r="C1355" s="33"/>
      <c r="D1355" s="299"/>
      <c r="E1355" s="300"/>
      <c r="F1355" s="300"/>
      <c r="G1355" s="300"/>
      <c r="H1355" s="300"/>
      <c r="I1355" s="300"/>
      <c r="J1355" s="300"/>
      <c r="K1355" s="300"/>
      <c r="L1355" s="369"/>
    </row>
    <row r="1356" spans="1:12">
      <c r="B1356" s="36" t="s">
        <v>17</v>
      </c>
      <c r="D1356" s="303">
        <f xml:space="preserve"> D1349 - D1348</f>
        <v>0</v>
      </c>
      <c r="E1356" s="303">
        <f xml:space="preserve"> E1348 + E1351 - E1350 - E1349</f>
        <v>0</v>
      </c>
      <c r="F1356" s="303">
        <f>F1350 - F1351</f>
        <v>0</v>
      </c>
      <c r="G1356" s="303">
        <f t="shared" ref="G1356" si="467">G1350 - G1351</f>
        <v>0</v>
      </c>
      <c r="H1356" s="347">
        <f>H1349-H1350-H1351</f>
        <v>0</v>
      </c>
      <c r="I1356" s="347">
        <f>I1351-I1352-I1353</f>
        <v>-4668</v>
      </c>
      <c r="J1356" s="347">
        <f>J1353-J1354-J1355</f>
        <v>4668</v>
      </c>
      <c r="K1356" s="347">
        <f>K1355</f>
        <v>0</v>
      </c>
      <c r="L1356" s="347"/>
    </row>
    <row r="1357" spans="1:12">
      <c r="B1357" s="6"/>
      <c r="D1357" s="303"/>
      <c r="E1357" s="303"/>
      <c r="F1357" s="303"/>
      <c r="G1357" s="303"/>
      <c r="H1357" s="347"/>
      <c r="I1357" s="347"/>
      <c r="J1357" s="347"/>
      <c r="K1357" s="347"/>
      <c r="L1357" s="347"/>
    </row>
    <row r="1358" spans="1:12">
      <c r="B1358" s="85" t="s">
        <v>12</v>
      </c>
      <c r="C1358" s="80"/>
      <c r="D1358" s="304"/>
      <c r="E1358" s="305"/>
      <c r="F1358" s="305"/>
      <c r="G1358" s="305"/>
      <c r="H1358" s="305"/>
      <c r="I1358" s="305"/>
      <c r="J1358" s="305"/>
      <c r="K1358" s="305"/>
      <c r="L1358" s="306"/>
    </row>
    <row r="1359" spans="1:12">
      <c r="B1359" s="6"/>
      <c r="D1359" s="303"/>
      <c r="E1359" s="303"/>
      <c r="F1359" s="303"/>
      <c r="G1359" s="303"/>
      <c r="H1359" s="303"/>
      <c r="I1359" s="303"/>
      <c r="J1359" s="303"/>
      <c r="K1359" s="303"/>
      <c r="L1359" s="303"/>
    </row>
    <row r="1360" spans="1:12" ht="18.75">
      <c r="A1360" s="45" t="s">
        <v>26</v>
      </c>
      <c r="C1360" s="80"/>
      <c r="D1360" s="307">
        <f xml:space="preserve"> D1329 + D1334 - D1340 + D1356 + D1358</f>
        <v>0</v>
      </c>
      <c r="E1360" s="308">
        <f xml:space="preserve"> E1329 + E1334 - E1340 + E1356 + E1358</f>
        <v>0</v>
      </c>
      <c r="F1360" s="308">
        <f xml:space="preserve"> F1329 + F1334 - F1340 + F1356 + F1358</f>
        <v>0</v>
      </c>
      <c r="G1360" s="308">
        <f t="shared" ref="G1360:K1360" si="468" xml:space="preserve"> G1329 + G1334 - G1340 + G1356 + G1358</f>
        <v>0</v>
      </c>
      <c r="H1360" s="308">
        <f t="shared" si="468"/>
        <v>0</v>
      </c>
      <c r="I1360" s="308">
        <f t="shared" si="468"/>
        <v>0</v>
      </c>
      <c r="J1360" s="308">
        <f t="shared" si="468"/>
        <v>4668</v>
      </c>
      <c r="K1360" s="308">
        <f t="shared" si="468"/>
        <v>0</v>
      </c>
      <c r="L1360" s="309"/>
    </row>
    <row r="1361" spans="1:12">
      <c r="B1361" s="6"/>
      <c r="D1361" s="7"/>
      <c r="E1361" s="7"/>
      <c r="F1361" s="7"/>
      <c r="G1361" s="31"/>
      <c r="H1361" s="31"/>
      <c r="I1361" s="31"/>
      <c r="J1361" s="31"/>
      <c r="K1361" s="31"/>
      <c r="L1361" s="31"/>
    </row>
    <row r="1362" spans="1:12" ht="15.75" thickBot="1"/>
    <row r="1363" spans="1:12">
      <c r="A1363" s="8"/>
      <c r="B1363" s="8"/>
      <c r="C1363" s="8"/>
      <c r="D1363" s="8"/>
      <c r="E1363" s="8"/>
      <c r="F1363" s="8"/>
      <c r="G1363" s="8"/>
      <c r="H1363" s="8"/>
      <c r="I1363" s="8"/>
      <c r="J1363" s="8"/>
      <c r="K1363" s="8"/>
      <c r="L1363" s="8"/>
    </row>
    <row r="1364" spans="1:12" ht="21">
      <c r="A1364" s="14" t="s">
        <v>4</v>
      </c>
      <c r="B1364" s="14"/>
      <c r="C1364" s="46" t="str">
        <f>B32</f>
        <v>Stateline (WA) - FPL Energy Vansycle LLC - REC Only</v>
      </c>
      <c r="D1364" s="47"/>
      <c r="E1364" s="24"/>
      <c r="F1364" s="24"/>
    </row>
    <row r="1366" spans="1:12" ht="18.75">
      <c r="A1366" s="9" t="s">
        <v>21</v>
      </c>
      <c r="B1366" s="9"/>
      <c r="D1366" s="2">
        <v>2011</v>
      </c>
      <c r="E1366" s="2">
        <v>2012</v>
      </c>
      <c r="F1366" s="2">
        <v>2013</v>
      </c>
      <c r="G1366" s="2">
        <v>2014</v>
      </c>
      <c r="H1366" s="2">
        <v>2015</v>
      </c>
      <c r="I1366" s="2">
        <v>2016</v>
      </c>
      <c r="J1366" s="2">
        <v>2017</v>
      </c>
      <c r="K1366" s="2">
        <v>2018</v>
      </c>
      <c r="L1366" s="2"/>
    </row>
    <row r="1367" spans="1:12">
      <c r="B1367" s="88" t="str">
        <f>"Total MWh Produced / Purchased from " &amp; C1364</f>
        <v>Total MWh Produced / Purchased from Stateline (WA) - FPL Energy Vansycle LLC - REC Only</v>
      </c>
      <c r="C1367" s="80"/>
      <c r="D1367" s="3"/>
      <c r="E1367" s="4"/>
      <c r="F1367" s="4"/>
      <c r="G1367" s="4"/>
      <c r="H1367" s="339"/>
      <c r="I1367" s="339">
        <v>12946</v>
      </c>
      <c r="J1367" s="339"/>
      <c r="K1367" s="339"/>
      <c r="L1367" s="370"/>
    </row>
    <row r="1368" spans="1:12">
      <c r="B1368" s="88" t="s">
        <v>25</v>
      </c>
      <c r="C1368" s="80"/>
      <c r="D1368" s="62"/>
      <c r="E1368" s="63"/>
      <c r="F1368" s="63"/>
      <c r="G1368" s="63"/>
      <c r="H1368" s="344"/>
      <c r="I1368" s="344">
        <v>1</v>
      </c>
      <c r="J1368" s="344"/>
      <c r="K1368" s="344"/>
      <c r="L1368" s="345"/>
    </row>
    <row r="1369" spans="1:12">
      <c r="B1369" s="88" t="s">
        <v>20</v>
      </c>
      <c r="C1369" s="80"/>
      <c r="D1369" s="54"/>
      <c r="E1369" s="55"/>
      <c r="F1369" s="55"/>
      <c r="G1369" s="55"/>
      <c r="H1369" s="55"/>
      <c r="I1369" s="55">
        <v>1</v>
      </c>
      <c r="J1369" s="55"/>
      <c r="K1369" s="55"/>
      <c r="L1369" s="56"/>
    </row>
    <row r="1370" spans="1:12">
      <c r="B1370" s="85" t="s">
        <v>22</v>
      </c>
      <c r="C1370" s="86"/>
      <c r="D1370" s="41">
        <v>0</v>
      </c>
      <c r="E1370" s="41">
        <v>0</v>
      </c>
      <c r="F1370" s="41">
        <v>0</v>
      </c>
      <c r="G1370" s="41">
        <v>0</v>
      </c>
      <c r="H1370" s="41">
        <v>0</v>
      </c>
      <c r="I1370" s="337">
        <v>12946</v>
      </c>
      <c r="J1370" s="337">
        <v>0</v>
      </c>
      <c r="K1370" s="337">
        <v>0</v>
      </c>
      <c r="L1370" s="337"/>
    </row>
    <row r="1371" spans="1:12">
      <c r="B1371" s="24"/>
      <c r="C1371" s="33"/>
      <c r="D1371" s="40"/>
      <c r="E1371" s="40"/>
      <c r="F1371" s="40"/>
      <c r="G1371" s="40"/>
      <c r="H1371" s="40"/>
      <c r="I1371" s="25"/>
      <c r="J1371" s="25"/>
      <c r="K1371" s="25"/>
      <c r="L1371" s="25"/>
    </row>
    <row r="1372" spans="1:12" ht="18.75">
      <c r="A1372" s="48" t="s">
        <v>119</v>
      </c>
      <c r="C1372" s="33"/>
      <c r="D1372" s="2">
        <v>2011</v>
      </c>
      <c r="E1372" s="2">
        <v>2012</v>
      </c>
      <c r="F1372" s="2">
        <v>2013</v>
      </c>
      <c r="G1372" s="2">
        <v>2014</v>
      </c>
      <c r="H1372" s="2">
        <v>2015</v>
      </c>
      <c r="I1372" s="2">
        <v>2016</v>
      </c>
      <c r="J1372" s="2">
        <v>2017</v>
      </c>
      <c r="K1372" s="2">
        <v>2018</v>
      </c>
      <c r="L1372" s="2"/>
    </row>
    <row r="1373" spans="1:12">
      <c r="B1373" s="88" t="s">
        <v>10</v>
      </c>
      <c r="C1373" s="80"/>
      <c r="D1373" s="57">
        <v>0</v>
      </c>
      <c r="E1373" s="11">
        <v>0</v>
      </c>
      <c r="F1373" s="11">
        <v>0</v>
      </c>
      <c r="G1373" s="11">
        <v>0</v>
      </c>
      <c r="H1373" s="11">
        <v>0</v>
      </c>
      <c r="I1373" s="11">
        <v>0</v>
      </c>
      <c r="J1373" s="11">
        <v>0</v>
      </c>
      <c r="K1373" s="11">
        <v>0</v>
      </c>
      <c r="L1373" s="12"/>
    </row>
    <row r="1374" spans="1:12">
      <c r="B1374" s="88" t="s">
        <v>6</v>
      </c>
      <c r="C1374" s="80"/>
      <c r="D1374" s="58">
        <v>0</v>
      </c>
      <c r="E1374" s="59">
        <v>0</v>
      </c>
      <c r="F1374" s="59">
        <v>0</v>
      </c>
      <c r="G1374" s="59">
        <v>0</v>
      </c>
      <c r="H1374" s="59">
        <v>0</v>
      </c>
      <c r="I1374" s="59">
        <v>0</v>
      </c>
      <c r="J1374" s="59">
        <v>0</v>
      </c>
      <c r="K1374" s="59">
        <v>0</v>
      </c>
      <c r="L1374" s="60"/>
    </row>
    <row r="1375" spans="1:12">
      <c r="B1375" s="87" t="s">
        <v>121</v>
      </c>
      <c r="C1375" s="86"/>
      <c r="D1375" s="43">
        <v>0</v>
      </c>
      <c r="E1375" s="44">
        <v>0</v>
      </c>
      <c r="F1375" s="44">
        <v>0</v>
      </c>
      <c r="G1375" s="44">
        <v>0</v>
      </c>
      <c r="H1375" s="44">
        <v>0</v>
      </c>
      <c r="I1375" s="44">
        <v>0</v>
      </c>
      <c r="J1375" s="44">
        <v>0</v>
      </c>
      <c r="K1375" s="44">
        <v>0</v>
      </c>
      <c r="L1375" s="44"/>
    </row>
    <row r="1376" spans="1:12">
      <c r="B1376" s="33"/>
      <c r="C1376" s="33"/>
      <c r="D1376" s="42"/>
      <c r="E1376" s="34"/>
      <c r="F1376" s="34"/>
      <c r="G1376" s="34"/>
      <c r="H1376" s="34"/>
      <c r="I1376" s="34"/>
      <c r="J1376" s="34"/>
      <c r="K1376" s="34"/>
      <c r="L1376" s="34"/>
    </row>
    <row r="1377" spans="1:12" ht="18.75">
      <c r="A1377" s="45" t="s">
        <v>30</v>
      </c>
      <c r="C1377" s="33"/>
      <c r="D1377" s="2">
        <v>2011</v>
      </c>
      <c r="E1377" s="2">
        <v>2012</v>
      </c>
      <c r="F1377" s="2">
        <v>2013</v>
      </c>
      <c r="G1377" s="2">
        <v>2014</v>
      </c>
      <c r="H1377" s="2">
        <v>2015</v>
      </c>
      <c r="I1377" s="2">
        <v>2016</v>
      </c>
      <c r="J1377" s="2">
        <v>2017</v>
      </c>
      <c r="K1377" s="2">
        <v>2018</v>
      </c>
      <c r="L1377" s="2"/>
    </row>
    <row r="1378" spans="1:12">
      <c r="B1378" s="88" t="s">
        <v>47</v>
      </c>
      <c r="C1378" s="80"/>
      <c r="D1378" s="98"/>
      <c r="E1378" s="99"/>
      <c r="F1378" s="99"/>
      <c r="G1378" s="99"/>
      <c r="H1378" s="99"/>
      <c r="I1378" s="99"/>
      <c r="J1378" s="99"/>
      <c r="K1378" s="99"/>
      <c r="L1378" s="100"/>
    </row>
    <row r="1379" spans="1:12">
      <c r="B1379" s="89" t="s">
        <v>23</v>
      </c>
      <c r="C1379" s="207"/>
      <c r="D1379" s="101"/>
      <c r="E1379" s="102"/>
      <c r="F1379" s="102"/>
      <c r="G1379" s="102"/>
      <c r="H1379" s="102"/>
      <c r="I1379" s="102"/>
      <c r="J1379" s="102"/>
      <c r="K1379" s="102"/>
      <c r="L1379" s="103"/>
    </row>
    <row r="1380" spans="1:12">
      <c r="B1380" s="104" t="s">
        <v>89</v>
      </c>
      <c r="C1380" s="205"/>
      <c r="D1380" s="65"/>
      <c r="E1380" s="66"/>
      <c r="F1380" s="66"/>
      <c r="G1380" s="66"/>
      <c r="H1380" s="66"/>
      <c r="I1380" s="66"/>
      <c r="J1380" s="66"/>
      <c r="K1380" s="66"/>
      <c r="L1380" s="67"/>
    </row>
    <row r="1381" spans="1:12">
      <c r="B1381" s="36" t="s">
        <v>90</v>
      </c>
      <c r="D1381" s="7">
        <v>0</v>
      </c>
      <c r="E1381" s="7">
        <v>0</v>
      </c>
      <c r="F1381" s="7">
        <v>0</v>
      </c>
      <c r="G1381" s="7">
        <v>0</v>
      </c>
      <c r="H1381" s="7">
        <v>0</v>
      </c>
      <c r="I1381" s="7">
        <v>0</v>
      </c>
      <c r="J1381" s="7">
        <v>0</v>
      </c>
      <c r="K1381" s="7">
        <v>0</v>
      </c>
      <c r="L1381" s="7"/>
    </row>
    <row r="1382" spans="1:12">
      <c r="B1382" s="6"/>
      <c r="D1382" s="7"/>
      <c r="E1382" s="7"/>
      <c r="F1382" s="7"/>
      <c r="G1382" s="31"/>
      <c r="H1382" s="31"/>
      <c r="I1382" s="31"/>
      <c r="J1382" s="31"/>
      <c r="K1382" s="31"/>
      <c r="L1382" s="31"/>
    </row>
    <row r="1383" spans="1:12" ht="18.75">
      <c r="A1383" s="9" t="s">
        <v>100</v>
      </c>
      <c r="D1383" s="2">
        <f>'Facility Detail'!$B$1752</f>
        <v>2011</v>
      </c>
      <c r="E1383" s="2">
        <f>D1383+1</f>
        <v>2012</v>
      </c>
      <c r="F1383" s="2">
        <f>E1383+1</f>
        <v>2013</v>
      </c>
      <c r="G1383" s="282">
        <f t="shared" ref="G1383" si="469">F1383+1</f>
        <v>2014</v>
      </c>
      <c r="H1383" s="282">
        <f t="shared" ref="H1383" si="470">G1383+1</f>
        <v>2015</v>
      </c>
      <c r="I1383" s="282">
        <f t="shared" ref="I1383" si="471">H1383+1</f>
        <v>2016</v>
      </c>
      <c r="J1383" s="282">
        <f t="shared" ref="J1383" si="472">I1383+1</f>
        <v>2017</v>
      </c>
      <c r="K1383" s="282">
        <f t="shared" ref="K1383" si="473">J1383+1</f>
        <v>2018</v>
      </c>
      <c r="L1383" s="282"/>
    </row>
    <row r="1384" spans="1:12">
      <c r="B1384" s="88" t="s">
        <v>68</v>
      </c>
      <c r="C1384" s="80"/>
      <c r="D1384" s="283"/>
      <c r="E1384" s="77">
        <f>D1384</f>
        <v>0</v>
      </c>
      <c r="F1384" s="284"/>
      <c r="G1384" s="284"/>
      <c r="H1384" s="284"/>
      <c r="I1384" s="284"/>
      <c r="J1384" s="284"/>
      <c r="K1384" s="284"/>
      <c r="L1384" s="285"/>
    </row>
    <row r="1385" spans="1:12">
      <c r="B1385" s="88" t="s">
        <v>69</v>
      </c>
      <c r="C1385" s="80"/>
      <c r="D1385" s="286">
        <f>E1385</f>
        <v>0</v>
      </c>
      <c r="E1385" s="287"/>
      <c r="F1385" s="288"/>
      <c r="G1385" s="288"/>
      <c r="H1385" s="288"/>
      <c r="I1385" s="288"/>
      <c r="J1385" s="288"/>
      <c r="K1385" s="288"/>
      <c r="L1385" s="289"/>
    </row>
    <row r="1386" spans="1:12">
      <c r="B1386" s="88" t="s">
        <v>70</v>
      </c>
      <c r="C1386" s="80"/>
      <c r="D1386" s="290"/>
      <c r="E1386" s="287">
        <f>E1370</f>
        <v>0</v>
      </c>
      <c r="F1386" s="291">
        <f>E1386</f>
        <v>0</v>
      </c>
      <c r="G1386" s="288"/>
      <c r="H1386" s="288"/>
      <c r="I1386" s="288"/>
      <c r="J1386" s="288"/>
      <c r="K1386" s="288"/>
      <c r="L1386" s="289"/>
    </row>
    <row r="1387" spans="1:12">
      <c r="B1387" s="88" t="s">
        <v>71</v>
      </c>
      <c r="C1387" s="80"/>
      <c r="D1387" s="290"/>
      <c r="E1387" s="291">
        <f>F1387</f>
        <v>0</v>
      </c>
      <c r="F1387" s="292"/>
      <c r="G1387" s="288"/>
      <c r="H1387" s="288"/>
      <c r="I1387" s="288"/>
      <c r="J1387" s="288"/>
      <c r="K1387" s="288"/>
      <c r="L1387" s="289"/>
    </row>
    <row r="1388" spans="1:12">
      <c r="B1388" s="88" t="s">
        <v>194</v>
      </c>
      <c r="C1388" s="33"/>
      <c r="D1388" s="290"/>
      <c r="E1388" s="293"/>
      <c r="F1388" s="287">
        <f>F1370</f>
        <v>0</v>
      </c>
      <c r="G1388" s="294">
        <f>F1388</f>
        <v>0</v>
      </c>
      <c r="H1388" s="288"/>
      <c r="I1388" s="288"/>
      <c r="J1388" s="288"/>
      <c r="K1388" s="288"/>
      <c r="L1388" s="289"/>
    </row>
    <row r="1389" spans="1:12">
      <c r="B1389" s="88" t="s">
        <v>195</v>
      </c>
      <c r="C1389" s="33"/>
      <c r="D1389" s="290"/>
      <c r="E1389" s="293"/>
      <c r="F1389" s="291">
        <f>G1389</f>
        <v>0</v>
      </c>
      <c r="G1389" s="287"/>
      <c r="H1389" s="288"/>
      <c r="I1389" s="288"/>
      <c r="J1389" s="288"/>
      <c r="K1389" s="288"/>
      <c r="L1389" s="289"/>
    </row>
    <row r="1390" spans="1:12">
      <c r="B1390" s="88" t="s">
        <v>196</v>
      </c>
      <c r="C1390" s="33"/>
      <c r="D1390" s="290"/>
      <c r="E1390" s="293"/>
      <c r="F1390" s="293"/>
      <c r="G1390" s="287">
        <f>G1370</f>
        <v>0</v>
      </c>
      <c r="H1390" s="294">
        <f>G1390</f>
        <v>0</v>
      </c>
      <c r="I1390" s="293">
        <f>H1390</f>
        <v>0</v>
      </c>
      <c r="J1390" s="293"/>
      <c r="K1390" s="293"/>
      <c r="L1390" s="295"/>
    </row>
    <row r="1391" spans="1:12">
      <c r="B1391" s="88" t="s">
        <v>197</v>
      </c>
      <c r="C1391" s="33"/>
      <c r="D1391" s="290"/>
      <c r="E1391" s="293"/>
      <c r="F1391" s="293"/>
      <c r="G1391" s="296"/>
      <c r="H1391" s="297"/>
      <c r="I1391" s="293"/>
      <c r="J1391" s="293"/>
      <c r="K1391" s="293"/>
      <c r="L1391" s="295"/>
    </row>
    <row r="1392" spans="1:12">
      <c r="B1392" s="88" t="s">
        <v>198</v>
      </c>
      <c r="C1392" s="33"/>
      <c r="D1392" s="290"/>
      <c r="E1392" s="293"/>
      <c r="F1392" s="293"/>
      <c r="G1392" s="293"/>
      <c r="H1392" s="297">
        <v>0</v>
      </c>
      <c r="I1392" s="294">
        <f>H1392</f>
        <v>0</v>
      </c>
      <c r="J1392" s="294"/>
      <c r="K1392" s="294"/>
      <c r="L1392" s="366"/>
    </row>
    <row r="1393" spans="1:12">
      <c r="B1393" s="88" t="s">
        <v>199</v>
      </c>
      <c r="C1393" s="33"/>
      <c r="D1393" s="290"/>
      <c r="E1393" s="293"/>
      <c r="F1393" s="293"/>
      <c r="G1393" s="293"/>
      <c r="H1393" s="291"/>
      <c r="I1393" s="297"/>
      <c r="J1393" s="297"/>
      <c r="K1393" s="297"/>
      <c r="L1393" s="367"/>
    </row>
    <row r="1394" spans="1:12">
      <c r="B1394" s="88" t="s">
        <v>200</v>
      </c>
      <c r="C1394" s="33"/>
      <c r="D1394" s="290"/>
      <c r="E1394" s="293"/>
      <c r="F1394" s="293"/>
      <c r="G1394" s="293"/>
      <c r="H1394" s="293"/>
      <c r="I1394" s="297">
        <f>I1370</f>
        <v>12946</v>
      </c>
      <c r="J1394" s="297">
        <f>I1394</f>
        <v>12946</v>
      </c>
      <c r="K1394" s="297"/>
      <c r="L1394" s="367"/>
    </row>
    <row r="1395" spans="1:12">
      <c r="B1395" s="88" t="s">
        <v>191</v>
      </c>
      <c r="C1395" s="33"/>
      <c r="D1395" s="290"/>
      <c r="E1395" s="293"/>
      <c r="F1395" s="293"/>
      <c r="G1395" s="293"/>
      <c r="H1395" s="293"/>
      <c r="I1395" s="298"/>
      <c r="J1395" s="173"/>
      <c r="K1395" s="173"/>
      <c r="L1395" s="368"/>
    </row>
    <row r="1396" spans="1:12">
      <c r="B1396" s="88" t="s">
        <v>192</v>
      </c>
      <c r="C1396" s="33"/>
      <c r="D1396" s="299"/>
      <c r="E1396" s="300"/>
      <c r="F1396" s="300"/>
      <c r="G1396" s="300"/>
      <c r="H1396" s="300"/>
      <c r="I1396" s="300"/>
      <c r="J1396" s="300"/>
      <c r="K1396" s="300"/>
      <c r="L1396" s="369"/>
    </row>
    <row r="1397" spans="1:12">
      <c r="B1397" s="36" t="s">
        <v>17</v>
      </c>
      <c r="D1397" s="303">
        <f xml:space="preserve"> D1390 - D1389</f>
        <v>0</v>
      </c>
      <c r="E1397" s="303">
        <f xml:space="preserve"> E1389 + E1392 - E1391 - E1390</f>
        <v>0</v>
      </c>
      <c r="F1397" s="303">
        <f>F1391 - F1392</f>
        <v>0</v>
      </c>
      <c r="G1397" s="303">
        <f t="shared" ref="G1397" si="474">G1391 - G1392</f>
        <v>0</v>
      </c>
      <c r="H1397" s="303">
        <f>H1390-H1391-H1392</f>
        <v>0</v>
      </c>
      <c r="I1397" s="347">
        <f>I1392-I1393-I1394</f>
        <v>-12946</v>
      </c>
      <c r="J1397" s="347">
        <f>J1394-J1395-J1396</f>
        <v>12946</v>
      </c>
      <c r="K1397" s="347">
        <f>K1396</f>
        <v>0</v>
      </c>
      <c r="L1397" s="347"/>
    </row>
    <row r="1398" spans="1:12">
      <c r="B1398" s="6"/>
      <c r="D1398" s="303"/>
      <c r="E1398" s="303"/>
      <c r="F1398" s="303"/>
      <c r="G1398" s="303"/>
      <c r="H1398" s="303"/>
      <c r="I1398" s="303"/>
      <c r="J1398" s="303"/>
      <c r="K1398" s="303"/>
      <c r="L1398" s="303"/>
    </row>
    <row r="1399" spans="1:12">
      <c r="B1399" s="85" t="s">
        <v>12</v>
      </c>
      <c r="C1399" s="80"/>
      <c r="D1399" s="304"/>
      <c r="E1399" s="305"/>
      <c r="F1399" s="305"/>
      <c r="G1399" s="305"/>
      <c r="H1399" s="305"/>
      <c r="I1399" s="305"/>
      <c r="J1399" s="305"/>
      <c r="K1399" s="305"/>
      <c r="L1399" s="306"/>
    </row>
    <row r="1400" spans="1:12">
      <c r="B1400" s="6"/>
      <c r="D1400" s="303"/>
      <c r="E1400" s="303"/>
      <c r="F1400" s="303"/>
      <c r="G1400" s="303"/>
      <c r="H1400" s="303"/>
      <c r="I1400" s="303"/>
      <c r="J1400" s="303"/>
      <c r="K1400" s="303"/>
      <c r="L1400" s="303"/>
    </row>
    <row r="1401" spans="1:12" ht="18.75">
      <c r="A1401" s="45" t="s">
        <v>26</v>
      </c>
      <c r="C1401" s="80"/>
      <c r="D1401" s="307">
        <f xml:space="preserve"> D1370 + D1375 - D1381 + D1397 + D1399</f>
        <v>0</v>
      </c>
      <c r="E1401" s="308">
        <f xml:space="preserve"> E1370 + E1375 - E1381 + E1397 + E1399</f>
        <v>0</v>
      </c>
      <c r="F1401" s="308">
        <f xml:space="preserve"> F1370 + F1375 - F1381 + F1397 + F1399</f>
        <v>0</v>
      </c>
      <c r="G1401" s="308">
        <f t="shared" ref="G1401:K1401" si="475" xml:space="preserve"> G1370 + G1375 - G1381 + G1397 + G1399</f>
        <v>0</v>
      </c>
      <c r="H1401" s="308">
        <f t="shared" si="475"/>
        <v>0</v>
      </c>
      <c r="I1401" s="308">
        <f t="shared" si="475"/>
        <v>0</v>
      </c>
      <c r="J1401" s="308">
        <f t="shared" si="475"/>
        <v>12946</v>
      </c>
      <c r="K1401" s="308">
        <f t="shared" si="475"/>
        <v>0</v>
      </c>
      <c r="L1401" s="309"/>
    </row>
    <row r="1402" spans="1:12">
      <c r="B1402" s="6"/>
      <c r="D1402" s="7"/>
      <c r="E1402" s="7"/>
      <c r="F1402" s="7"/>
      <c r="G1402" s="31"/>
      <c r="H1402" s="31"/>
      <c r="I1402" s="31"/>
      <c r="J1402" s="31"/>
      <c r="K1402" s="31"/>
      <c r="L1402" s="31"/>
    </row>
    <row r="1403" spans="1:12" ht="15.75" thickBot="1"/>
    <row r="1404" spans="1:12">
      <c r="A1404" s="8"/>
      <c r="B1404" s="8"/>
      <c r="C1404" s="8"/>
      <c r="D1404" s="8"/>
      <c r="E1404" s="8"/>
      <c r="F1404" s="8"/>
      <c r="G1404" s="8"/>
      <c r="H1404" s="8"/>
      <c r="I1404" s="8"/>
      <c r="J1404" s="8"/>
      <c r="K1404" s="8"/>
      <c r="L1404" s="8"/>
    </row>
    <row r="1405" spans="1:12" ht="21">
      <c r="A1405" s="14" t="s">
        <v>4</v>
      </c>
      <c r="B1405" s="14"/>
      <c r="C1405" s="46" t="str">
        <f>B33</f>
        <v>Adams Solar</v>
      </c>
      <c r="D1405" s="47"/>
      <c r="E1405" s="24"/>
      <c r="F1405" s="24"/>
    </row>
    <row r="1407" spans="1:12" ht="18.75">
      <c r="A1407" s="9" t="s">
        <v>21</v>
      </c>
      <c r="B1407" s="9"/>
      <c r="D1407" s="2">
        <v>2011</v>
      </c>
      <c r="E1407" s="2">
        <v>2012</v>
      </c>
      <c r="F1407" s="2">
        <v>2013</v>
      </c>
      <c r="G1407" s="2">
        <v>2014</v>
      </c>
      <c r="H1407" s="2">
        <v>2015</v>
      </c>
      <c r="I1407" s="2">
        <v>2016</v>
      </c>
      <c r="J1407" s="2">
        <v>2017</v>
      </c>
      <c r="K1407" s="2">
        <v>2018</v>
      </c>
      <c r="L1407" s="2">
        <v>2019</v>
      </c>
    </row>
    <row r="1408" spans="1:12">
      <c r="B1408" s="88" t="str">
        <f>"Total MWh Produced / Purchased from " &amp; C1405</f>
        <v>Total MWh Produced / Purchased from Adams Solar</v>
      </c>
      <c r="C1408" s="80"/>
      <c r="D1408" s="3"/>
      <c r="E1408" s="4"/>
      <c r="F1408" s="4"/>
      <c r="G1408" s="4"/>
      <c r="H1408" s="4"/>
      <c r="I1408" s="4"/>
      <c r="J1408" s="4"/>
      <c r="K1408" s="381"/>
      <c r="L1408" s="5"/>
    </row>
    <row r="1409" spans="1:13">
      <c r="B1409" s="88" t="s">
        <v>25</v>
      </c>
      <c r="C1409" s="80"/>
      <c r="D1409" s="62"/>
      <c r="E1409" s="63"/>
      <c r="F1409" s="63"/>
      <c r="G1409" s="63"/>
      <c r="H1409" s="63"/>
      <c r="I1409" s="63"/>
      <c r="J1409" s="63"/>
      <c r="K1409" s="63">
        <v>1</v>
      </c>
      <c r="L1409" s="64"/>
    </row>
    <row r="1410" spans="1:13">
      <c r="B1410" s="88" t="s">
        <v>20</v>
      </c>
      <c r="C1410" s="80"/>
      <c r="D1410" s="54"/>
      <c r="E1410" s="55"/>
      <c r="F1410" s="55"/>
      <c r="G1410" s="55"/>
      <c r="H1410" s="55"/>
      <c r="I1410" s="55"/>
      <c r="J1410" s="55"/>
      <c r="K1410" s="55">
        <v>0.22164900000000001</v>
      </c>
      <c r="L1410" s="56"/>
    </row>
    <row r="1411" spans="1:13">
      <c r="B1411" s="85" t="s">
        <v>22</v>
      </c>
      <c r="C1411" s="86"/>
      <c r="D1411" s="41">
        <v>0</v>
      </c>
      <c r="E1411" s="41">
        <v>0</v>
      </c>
      <c r="F1411" s="41">
        <v>0</v>
      </c>
      <c r="G1411" s="41">
        <v>0</v>
      </c>
      <c r="H1411" s="41">
        <v>0</v>
      </c>
      <c r="I1411" s="337">
        <v>0</v>
      </c>
      <c r="J1411" s="337">
        <f>J1408*J1410</f>
        <v>0</v>
      </c>
      <c r="K1411" s="380"/>
      <c r="L1411" s="337">
        <f t="shared" ref="L1411" si="476">L1408*L1410</f>
        <v>0</v>
      </c>
      <c r="M1411" s="341"/>
    </row>
    <row r="1412" spans="1:13">
      <c r="B1412" s="24"/>
      <c r="C1412" s="33"/>
      <c r="D1412" s="40"/>
      <c r="E1412" s="40"/>
      <c r="F1412" s="40"/>
      <c r="G1412" s="40"/>
      <c r="H1412" s="40"/>
      <c r="I1412" s="25"/>
      <c r="J1412" s="25"/>
      <c r="K1412" s="25"/>
      <c r="L1412" s="25"/>
      <c r="M1412" s="341"/>
    </row>
    <row r="1413" spans="1:13" ht="18.75">
      <c r="A1413" s="48" t="s">
        <v>119</v>
      </c>
      <c r="C1413" s="33"/>
      <c r="D1413" s="2">
        <v>2011</v>
      </c>
      <c r="E1413" s="2">
        <v>2012</v>
      </c>
      <c r="F1413" s="2">
        <v>2013</v>
      </c>
      <c r="G1413" s="2">
        <v>2014</v>
      </c>
      <c r="H1413" s="2">
        <v>2015</v>
      </c>
      <c r="I1413" s="2">
        <v>2016</v>
      </c>
      <c r="J1413" s="2">
        <v>2017</v>
      </c>
      <c r="K1413" s="2">
        <v>2018</v>
      </c>
      <c r="L1413" s="2">
        <v>2019</v>
      </c>
    </row>
    <row r="1414" spans="1:13">
      <c r="B1414" s="88" t="s">
        <v>10</v>
      </c>
      <c r="C1414" s="80"/>
      <c r="D1414" s="57">
        <v>0</v>
      </c>
      <c r="E1414" s="11">
        <v>0</v>
      </c>
      <c r="F1414" s="11">
        <v>0</v>
      </c>
      <c r="G1414" s="11">
        <v>0</v>
      </c>
      <c r="H1414" s="11">
        <v>0</v>
      </c>
      <c r="I1414" s="11">
        <v>0</v>
      </c>
      <c r="J1414" s="11">
        <v>0</v>
      </c>
      <c r="K1414" s="11">
        <v>0</v>
      </c>
      <c r="L1414" s="12">
        <v>0</v>
      </c>
    </row>
    <row r="1415" spans="1:13">
      <c r="B1415" s="88" t="s">
        <v>6</v>
      </c>
      <c r="C1415" s="80"/>
      <c r="D1415" s="58">
        <v>0</v>
      </c>
      <c r="E1415" s="59">
        <v>0</v>
      </c>
      <c r="F1415" s="59">
        <v>0</v>
      </c>
      <c r="G1415" s="59">
        <v>0</v>
      </c>
      <c r="H1415" s="59">
        <v>0</v>
      </c>
      <c r="I1415" s="59">
        <v>0</v>
      </c>
      <c r="J1415" s="59">
        <v>0</v>
      </c>
      <c r="K1415" s="59">
        <v>0</v>
      </c>
      <c r="L1415" s="60">
        <v>0</v>
      </c>
    </row>
    <row r="1416" spans="1:13">
      <c r="B1416" s="87" t="s">
        <v>121</v>
      </c>
      <c r="C1416" s="86"/>
      <c r="D1416" s="43">
        <v>0</v>
      </c>
      <c r="E1416" s="44">
        <v>0</v>
      </c>
      <c r="F1416" s="44">
        <v>0</v>
      </c>
      <c r="G1416" s="44">
        <v>0</v>
      </c>
      <c r="H1416" s="44">
        <v>0</v>
      </c>
      <c r="I1416" s="44">
        <v>0</v>
      </c>
      <c r="J1416" s="44">
        <v>0</v>
      </c>
      <c r="K1416" s="44">
        <v>0</v>
      </c>
      <c r="L1416" s="44">
        <v>0</v>
      </c>
    </row>
    <row r="1417" spans="1:13">
      <c r="B1417" s="33"/>
      <c r="C1417" s="33"/>
      <c r="D1417" s="42"/>
      <c r="E1417" s="34"/>
      <c r="F1417" s="34"/>
      <c r="G1417" s="34"/>
      <c r="H1417" s="34"/>
      <c r="I1417" s="34"/>
      <c r="J1417" s="34"/>
      <c r="K1417" s="34"/>
      <c r="L1417" s="34"/>
    </row>
    <row r="1418" spans="1:13" ht="18.75">
      <c r="A1418" s="45" t="s">
        <v>30</v>
      </c>
      <c r="C1418" s="33"/>
      <c r="D1418" s="2">
        <v>2011</v>
      </c>
      <c r="E1418" s="2">
        <v>2012</v>
      </c>
      <c r="F1418" s="2">
        <v>2013</v>
      </c>
      <c r="G1418" s="2">
        <v>2014</v>
      </c>
      <c r="H1418" s="2">
        <v>2015</v>
      </c>
      <c r="I1418" s="2">
        <v>2016</v>
      </c>
      <c r="J1418" s="2">
        <v>2017</v>
      </c>
      <c r="K1418" s="2">
        <v>2017</v>
      </c>
      <c r="L1418" s="2">
        <v>2019</v>
      </c>
    </row>
    <row r="1419" spans="1:13">
      <c r="B1419" s="88" t="s">
        <v>47</v>
      </c>
      <c r="C1419" s="80"/>
      <c r="D1419" s="98"/>
      <c r="E1419" s="99"/>
      <c r="F1419" s="99"/>
      <c r="G1419" s="99"/>
      <c r="H1419" s="99"/>
      <c r="I1419" s="99"/>
      <c r="J1419" s="99"/>
      <c r="K1419" s="99"/>
      <c r="L1419" s="100"/>
    </row>
    <row r="1420" spans="1:13">
      <c r="B1420" s="89" t="s">
        <v>23</v>
      </c>
      <c r="C1420" s="207"/>
      <c r="D1420" s="101"/>
      <c r="E1420" s="102"/>
      <c r="F1420" s="102"/>
      <c r="G1420" s="102"/>
      <c r="H1420" s="102"/>
      <c r="I1420" s="102"/>
      <c r="J1420" s="102"/>
      <c r="K1420" s="102"/>
      <c r="L1420" s="103"/>
    </row>
    <row r="1421" spans="1:13">
      <c r="B1421" s="104" t="s">
        <v>89</v>
      </c>
      <c r="C1421" s="205"/>
      <c r="D1421" s="65"/>
      <c r="E1421" s="66"/>
      <c r="F1421" s="66"/>
      <c r="G1421" s="66"/>
      <c r="H1421" s="66"/>
      <c r="I1421" s="66"/>
      <c r="J1421" s="66"/>
      <c r="K1421" s="66"/>
      <c r="L1421" s="67"/>
    </row>
    <row r="1422" spans="1:13">
      <c r="B1422" s="36" t="s">
        <v>90</v>
      </c>
      <c r="D1422" s="7">
        <v>0</v>
      </c>
      <c r="E1422" s="7">
        <v>0</v>
      </c>
      <c r="F1422" s="7">
        <v>0</v>
      </c>
      <c r="G1422" s="7">
        <v>0</v>
      </c>
      <c r="H1422" s="7">
        <v>0</v>
      </c>
      <c r="I1422" s="7">
        <v>0</v>
      </c>
      <c r="J1422" s="7">
        <v>0</v>
      </c>
      <c r="K1422" s="7">
        <v>0</v>
      </c>
      <c r="L1422" s="7">
        <v>0</v>
      </c>
    </row>
    <row r="1423" spans="1:13">
      <c r="B1423" s="6"/>
      <c r="D1423" s="7"/>
      <c r="E1423" s="7"/>
      <c r="F1423" s="7"/>
      <c r="G1423" s="31"/>
      <c r="H1423" s="31"/>
      <c r="I1423" s="31"/>
      <c r="J1423" s="31"/>
      <c r="K1423" s="31"/>
      <c r="L1423" s="31"/>
    </row>
    <row r="1424" spans="1:13" ht="18.75">
      <c r="A1424" s="9" t="s">
        <v>100</v>
      </c>
      <c r="D1424" s="2">
        <f>'Facility Detail'!$B$1752</f>
        <v>2011</v>
      </c>
      <c r="E1424" s="2">
        <f>D1424+1</f>
        <v>2012</v>
      </c>
      <c r="F1424" s="2">
        <f>E1424+1</f>
        <v>2013</v>
      </c>
      <c r="G1424" s="282">
        <f t="shared" ref="G1424" si="477">F1424+1</f>
        <v>2014</v>
      </c>
      <c r="H1424" s="282">
        <f t="shared" ref="H1424" si="478">G1424+1</f>
        <v>2015</v>
      </c>
      <c r="I1424" s="282">
        <f t="shared" ref="I1424" si="479">H1424+1</f>
        <v>2016</v>
      </c>
      <c r="J1424" s="282">
        <f t="shared" ref="J1424" si="480">I1424+1</f>
        <v>2017</v>
      </c>
      <c r="K1424" s="282">
        <f t="shared" ref="K1424" si="481">J1424+1</f>
        <v>2018</v>
      </c>
      <c r="L1424" s="282">
        <v>2019</v>
      </c>
    </row>
    <row r="1425" spans="2:12">
      <c r="B1425" s="88" t="s">
        <v>68</v>
      </c>
      <c r="C1425" s="80"/>
      <c r="D1425" s="3"/>
      <c r="E1425" s="68">
        <f>D1425</f>
        <v>0</v>
      </c>
      <c r="F1425" s="152"/>
      <c r="G1425" s="152"/>
      <c r="H1425" s="152"/>
      <c r="I1425" s="152"/>
      <c r="J1425" s="152"/>
      <c r="K1425" s="152"/>
      <c r="L1425" s="69"/>
    </row>
    <row r="1426" spans="2:12">
      <c r="B1426" s="88" t="s">
        <v>69</v>
      </c>
      <c r="C1426" s="80"/>
      <c r="D1426" s="189">
        <f>E1426</f>
        <v>0</v>
      </c>
      <c r="E1426" s="10"/>
      <c r="F1426" s="83"/>
      <c r="G1426" s="83"/>
      <c r="H1426" s="83"/>
      <c r="I1426" s="83"/>
      <c r="J1426" s="83"/>
      <c r="K1426" s="83"/>
      <c r="L1426" s="190"/>
    </row>
    <row r="1427" spans="2:12">
      <c r="B1427" s="88" t="s">
        <v>70</v>
      </c>
      <c r="C1427" s="80"/>
      <c r="D1427" s="70"/>
      <c r="E1427" s="10">
        <f>E1411</f>
        <v>0</v>
      </c>
      <c r="F1427" s="79">
        <f>E1427</f>
        <v>0</v>
      </c>
      <c r="G1427" s="83"/>
      <c r="H1427" s="83"/>
      <c r="I1427" s="83"/>
      <c r="J1427" s="83"/>
      <c r="K1427" s="83"/>
      <c r="L1427" s="190"/>
    </row>
    <row r="1428" spans="2:12">
      <c r="B1428" s="88" t="s">
        <v>71</v>
      </c>
      <c r="C1428" s="80"/>
      <c r="D1428" s="70"/>
      <c r="E1428" s="79">
        <f>F1428</f>
        <v>0</v>
      </c>
      <c r="F1428" s="188"/>
      <c r="G1428" s="83"/>
      <c r="H1428" s="83"/>
      <c r="I1428" s="83"/>
      <c r="J1428" s="83"/>
      <c r="K1428" s="83"/>
      <c r="L1428" s="190"/>
    </row>
    <row r="1429" spans="2:12">
      <c r="B1429" s="88" t="s">
        <v>194</v>
      </c>
      <c r="C1429" s="33"/>
      <c r="D1429" s="70"/>
      <c r="E1429" s="172"/>
      <c r="F1429" s="10">
        <f>F1411</f>
        <v>0</v>
      </c>
      <c r="G1429" s="173">
        <f>F1429</f>
        <v>0</v>
      </c>
      <c r="H1429" s="83"/>
      <c r="I1429" s="83"/>
      <c r="J1429" s="83"/>
      <c r="K1429" s="83"/>
      <c r="L1429" s="190"/>
    </row>
    <row r="1430" spans="2:12">
      <c r="B1430" s="88" t="s">
        <v>195</v>
      </c>
      <c r="C1430" s="33"/>
      <c r="D1430" s="70"/>
      <c r="E1430" s="172"/>
      <c r="F1430" s="79">
        <f>G1430</f>
        <v>0</v>
      </c>
      <c r="G1430" s="10"/>
      <c r="H1430" s="83"/>
      <c r="I1430" s="83"/>
      <c r="J1430" s="83"/>
      <c r="K1430" s="83"/>
      <c r="L1430" s="190"/>
    </row>
    <row r="1431" spans="2:12">
      <c r="B1431" s="88" t="s">
        <v>196</v>
      </c>
      <c r="C1431" s="33"/>
      <c r="D1431" s="70"/>
      <c r="E1431" s="172"/>
      <c r="F1431" s="172"/>
      <c r="G1431" s="10">
        <f>G1411</f>
        <v>0</v>
      </c>
      <c r="H1431" s="173">
        <f>G1431</f>
        <v>0</v>
      </c>
      <c r="I1431" s="172">
        <f>H1431</f>
        <v>0</v>
      </c>
      <c r="J1431" s="172"/>
      <c r="K1431" s="172"/>
      <c r="L1431" s="176"/>
    </row>
    <row r="1432" spans="2:12">
      <c r="B1432" s="88" t="s">
        <v>197</v>
      </c>
      <c r="C1432" s="33"/>
      <c r="D1432" s="70"/>
      <c r="E1432" s="172"/>
      <c r="F1432" s="172"/>
      <c r="G1432" s="174"/>
      <c r="H1432" s="175"/>
      <c r="I1432" s="172"/>
      <c r="J1432" s="172"/>
      <c r="K1432" s="172"/>
      <c r="L1432" s="176"/>
    </row>
    <row r="1433" spans="2:12">
      <c r="B1433" s="88" t="s">
        <v>198</v>
      </c>
      <c r="C1433" s="33"/>
      <c r="D1433" s="70"/>
      <c r="E1433" s="172"/>
      <c r="F1433" s="172"/>
      <c r="G1433" s="172"/>
      <c r="H1433" s="175">
        <v>0</v>
      </c>
      <c r="I1433" s="173">
        <f>H1433</f>
        <v>0</v>
      </c>
      <c r="J1433" s="83"/>
      <c r="K1433" s="172"/>
      <c r="L1433" s="176"/>
    </row>
    <row r="1434" spans="2:12">
      <c r="B1434" s="88" t="s">
        <v>199</v>
      </c>
      <c r="C1434" s="33"/>
      <c r="D1434" s="70"/>
      <c r="E1434" s="172"/>
      <c r="F1434" s="172"/>
      <c r="G1434" s="172"/>
      <c r="H1434" s="79"/>
      <c r="I1434" s="175"/>
      <c r="J1434" s="83"/>
      <c r="K1434" s="172"/>
      <c r="L1434" s="176"/>
    </row>
    <row r="1435" spans="2:12">
      <c r="B1435" s="88" t="s">
        <v>200</v>
      </c>
      <c r="C1435" s="33"/>
      <c r="D1435" s="70"/>
      <c r="E1435" s="172"/>
      <c r="F1435" s="172"/>
      <c r="G1435" s="172"/>
      <c r="H1435" s="172"/>
      <c r="I1435" s="175">
        <f>I1411</f>
        <v>0</v>
      </c>
      <c r="J1435" s="174">
        <f>I1435</f>
        <v>0</v>
      </c>
      <c r="K1435" s="172"/>
      <c r="L1435" s="176"/>
    </row>
    <row r="1436" spans="2:12">
      <c r="B1436" s="88" t="s">
        <v>191</v>
      </c>
      <c r="C1436" s="33"/>
      <c r="D1436" s="70"/>
      <c r="E1436" s="172"/>
      <c r="F1436" s="172"/>
      <c r="G1436" s="172"/>
      <c r="H1436" s="172"/>
      <c r="I1436" s="174"/>
      <c r="J1436" s="175"/>
      <c r="K1436" s="172"/>
      <c r="L1436" s="190"/>
    </row>
    <row r="1437" spans="2:12">
      <c r="B1437" s="88" t="s">
        <v>192</v>
      </c>
      <c r="C1437" s="33"/>
      <c r="D1437" s="70"/>
      <c r="E1437" s="172"/>
      <c r="F1437" s="172"/>
      <c r="G1437" s="172"/>
      <c r="H1437" s="172"/>
      <c r="I1437" s="172"/>
      <c r="J1437" s="175">
        <f>J1411</f>
        <v>0</v>
      </c>
      <c r="K1437" s="79">
        <f>J1437</f>
        <v>0</v>
      </c>
      <c r="L1437" s="176"/>
    </row>
    <row r="1438" spans="2:12">
      <c r="B1438" s="88" t="s">
        <v>226</v>
      </c>
      <c r="C1438" s="33"/>
      <c r="D1438" s="70"/>
      <c r="E1438" s="172"/>
      <c r="F1438" s="172"/>
      <c r="G1438" s="172"/>
      <c r="H1438" s="172"/>
      <c r="I1438" s="172"/>
      <c r="J1438" s="174"/>
      <c r="K1438" s="175"/>
      <c r="L1438" s="176"/>
    </row>
    <row r="1439" spans="2:12">
      <c r="B1439" s="88" t="s">
        <v>227</v>
      </c>
      <c r="C1439" s="33"/>
      <c r="D1439" s="71"/>
      <c r="E1439" s="154"/>
      <c r="F1439" s="154"/>
      <c r="G1439" s="154"/>
      <c r="H1439" s="154"/>
      <c r="I1439" s="154"/>
      <c r="J1439" s="154"/>
      <c r="K1439" s="177"/>
      <c r="L1439" s="332"/>
    </row>
    <row r="1440" spans="2:12">
      <c r="B1440" s="36" t="s">
        <v>17</v>
      </c>
      <c r="D1440" s="303">
        <f xml:space="preserve"> D1431 - D1430</f>
        <v>0</v>
      </c>
      <c r="E1440" s="303">
        <f xml:space="preserve"> E1430 + E1433 - E1432 - E1431</f>
        <v>0</v>
      </c>
      <c r="F1440" s="303">
        <f>F1432 - F1433</f>
        <v>0</v>
      </c>
      <c r="G1440" s="303">
        <f t="shared" ref="G1440" si="482">G1432 - G1433</f>
        <v>0</v>
      </c>
      <c r="H1440" s="303">
        <f>H1431-H1432-H1433</f>
        <v>0</v>
      </c>
      <c r="I1440" s="303">
        <f>I1433-I1434-I1435</f>
        <v>0</v>
      </c>
      <c r="J1440" s="303">
        <f t="shared" ref="J1440:L1440" si="483">J1433-J1434-J1435</f>
        <v>0</v>
      </c>
      <c r="K1440" s="303">
        <f t="shared" si="483"/>
        <v>0</v>
      </c>
      <c r="L1440" s="303">
        <f t="shared" si="483"/>
        <v>0</v>
      </c>
    </row>
    <row r="1441" spans="1:12">
      <c r="B1441" s="6"/>
      <c r="D1441" s="303"/>
      <c r="E1441" s="303"/>
      <c r="F1441" s="303"/>
      <c r="G1441" s="303"/>
      <c r="H1441" s="303"/>
      <c r="I1441" s="303"/>
      <c r="J1441" s="303"/>
      <c r="K1441" s="303"/>
      <c r="L1441" s="303"/>
    </row>
    <row r="1442" spans="1:12">
      <c r="B1442" s="85" t="s">
        <v>12</v>
      </c>
      <c r="C1442" s="80"/>
      <c r="D1442" s="304"/>
      <c r="E1442" s="305"/>
      <c r="F1442" s="305"/>
      <c r="G1442" s="305"/>
      <c r="H1442" s="305"/>
      <c r="I1442" s="305"/>
      <c r="J1442" s="305"/>
      <c r="K1442" s="305"/>
      <c r="L1442" s="306"/>
    </row>
    <row r="1443" spans="1:12">
      <c r="B1443" s="6"/>
      <c r="D1443" s="303"/>
      <c r="E1443" s="303"/>
      <c r="F1443" s="303"/>
      <c r="G1443" s="303"/>
      <c r="H1443" s="303"/>
      <c r="I1443" s="303"/>
      <c r="J1443" s="303"/>
      <c r="K1443" s="303"/>
      <c r="L1443" s="303"/>
    </row>
    <row r="1444" spans="1:12" ht="18.75">
      <c r="A1444" s="45" t="s">
        <v>26</v>
      </c>
      <c r="C1444" s="80"/>
      <c r="D1444" s="307">
        <f xml:space="preserve"> D1411 + D1416 - D1422 + D1440 + D1442</f>
        <v>0</v>
      </c>
      <c r="E1444" s="308">
        <f xml:space="preserve"> E1411 + E1416 - E1422 + E1440 + E1442</f>
        <v>0</v>
      </c>
      <c r="F1444" s="308">
        <f xml:space="preserve"> F1411 + F1416 - F1422 + F1440 + F1442</f>
        <v>0</v>
      </c>
      <c r="G1444" s="308">
        <f t="shared" ref="G1444:J1444" si="484" xml:space="preserve"> G1411 + G1416 - G1422 + G1440 + G1442</f>
        <v>0</v>
      </c>
      <c r="H1444" s="308">
        <f t="shared" si="484"/>
        <v>0</v>
      </c>
      <c r="I1444" s="308">
        <f t="shared" si="484"/>
        <v>0</v>
      </c>
      <c r="J1444" s="308">
        <f t="shared" si="484"/>
        <v>0</v>
      </c>
      <c r="K1444" s="383"/>
      <c r="L1444" s="309">
        <f t="shared" ref="L1444" si="485" xml:space="preserve"> L1411 + L1416 - L1422 + L1440 + L1442</f>
        <v>0</v>
      </c>
    </row>
    <row r="1445" spans="1:12">
      <c r="B1445" s="6"/>
      <c r="D1445" s="7"/>
      <c r="E1445" s="7"/>
      <c r="F1445" s="7"/>
      <c r="G1445" s="31"/>
      <c r="H1445" s="31"/>
      <c r="I1445" s="31"/>
      <c r="J1445" s="31"/>
      <c r="K1445" s="31"/>
      <c r="L1445" s="31"/>
    </row>
    <row r="1446" spans="1:12" ht="15.75" thickBot="1"/>
    <row r="1447" spans="1:12">
      <c r="A1447" s="8"/>
      <c r="B1447" s="8"/>
      <c r="C1447" s="8"/>
      <c r="D1447" s="8"/>
      <c r="E1447" s="8"/>
      <c r="F1447" s="8"/>
      <c r="G1447" s="8"/>
      <c r="H1447" s="8"/>
      <c r="I1447" s="8"/>
      <c r="J1447" s="8"/>
      <c r="K1447" s="8"/>
      <c r="L1447" s="8"/>
    </row>
    <row r="1448" spans="1:12" ht="21">
      <c r="A1448" s="14" t="s">
        <v>4</v>
      </c>
      <c r="B1448" s="14"/>
      <c r="C1448" s="46" t="str">
        <f>B34</f>
        <v>Bear Creek Solar</v>
      </c>
      <c r="D1448" s="47"/>
      <c r="E1448" s="24"/>
      <c r="F1448" s="24"/>
    </row>
    <row r="1450" spans="1:12" ht="18.75">
      <c r="A1450" s="9" t="s">
        <v>21</v>
      </c>
      <c r="B1450" s="9"/>
      <c r="D1450" s="2">
        <v>2011</v>
      </c>
      <c r="E1450" s="2">
        <v>2012</v>
      </c>
      <c r="F1450" s="2">
        <v>2013</v>
      </c>
      <c r="G1450" s="2">
        <v>2014</v>
      </c>
      <c r="H1450" s="2">
        <v>2015</v>
      </c>
      <c r="I1450" s="2">
        <v>2016</v>
      </c>
      <c r="J1450" s="2">
        <v>2017</v>
      </c>
      <c r="K1450" s="2">
        <v>2018</v>
      </c>
      <c r="L1450" s="2">
        <v>2019</v>
      </c>
    </row>
    <row r="1451" spans="1:12">
      <c r="B1451" s="88" t="str">
        <f>"Total MWh Produced / Purchased from " &amp; C1448</f>
        <v>Total MWh Produced / Purchased from Bear Creek Solar</v>
      </c>
      <c r="C1451" s="80"/>
      <c r="D1451" s="3"/>
      <c r="E1451" s="4"/>
      <c r="F1451" s="4"/>
      <c r="G1451" s="4"/>
      <c r="H1451" s="4"/>
      <c r="I1451" s="4"/>
      <c r="J1451" s="4"/>
      <c r="K1451" s="381"/>
      <c r="L1451" s="5"/>
    </row>
    <row r="1452" spans="1:12">
      <c r="B1452" s="88" t="s">
        <v>25</v>
      </c>
      <c r="C1452" s="80"/>
      <c r="D1452" s="62"/>
      <c r="E1452" s="63"/>
      <c r="F1452" s="63"/>
      <c r="G1452" s="63"/>
      <c r="H1452" s="63"/>
      <c r="I1452" s="63"/>
      <c r="J1452" s="63"/>
      <c r="K1452" s="63">
        <v>1</v>
      </c>
      <c r="L1452" s="64"/>
    </row>
    <row r="1453" spans="1:12">
      <c r="B1453" s="88" t="s">
        <v>20</v>
      </c>
      <c r="C1453" s="80"/>
      <c r="D1453" s="54"/>
      <c r="E1453" s="55"/>
      <c r="F1453" s="55"/>
      <c r="G1453" s="55"/>
      <c r="H1453" s="55"/>
      <c r="I1453" s="55"/>
      <c r="J1453" s="63"/>
      <c r="K1453" s="63">
        <v>0.22164900000000001</v>
      </c>
      <c r="L1453" s="56">
        <v>0.22164900000000001</v>
      </c>
    </row>
    <row r="1454" spans="1:12">
      <c r="B1454" s="85" t="s">
        <v>22</v>
      </c>
      <c r="C1454" s="86"/>
      <c r="D1454" s="41">
        <v>0</v>
      </c>
      <c r="E1454" s="41">
        <v>0</v>
      </c>
      <c r="F1454" s="41">
        <v>0</v>
      </c>
      <c r="G1454" s="41">
        <v>0</v>
      </c>
      <c r="H1454" s="41">
        <v>0</v>
      </c>
      <c r="I1454" s="41">
        <v>0</v>
      </c>
      <c r="J1454" s="41">
        <v>0</v>
      </c>
      <c r="K1454" s="380"/>
      <c r="L1454" s="41">
        <v>0</v>
      </c>
    </row>
    <row r="1455" spans="1:12">
      <c r="B1455" s="24"/>
      <c r="C1455" s="33"/>
      <c r="D1455" s="40"/>
      <c r="E1455" s="40"/>
      <c r="F1455" s="40"/>
      <c r="G1455" s="40"/>
      <c r="H1455" s="40"/>
      <c r="I1455" s="40"/>
      <c r="J1455" s="40"/>
      <c r="K1455" s="40"/>
      <c r="L1455" s="40"/>
    </row>
    <row r="1456" spans="1:12" ht="18.75">
      <c r="A1456" s="48" t="s">
        <v>119</v>
      </c>
      <c r="C1456" s="33"/>
      <c r="D1456" s="2">
        <v>2011</v>
      </c>
      <c r="E1456" s="2">
        <v>2012</v>
      </c>
      <c r="F1456" s="2">
        <v>2013</v>
      </c>
      <c r="G1456" s="2">
        <v>2014</v>
      </c>
      <c r="H1456" s="2">
        <v>2015</v>
      </c>
      <c r="I1456" s="2">
        <v>2016</v>
      </c>
      <c r="J1456" s="2">
        <v>2017</v>
      </c>
      <c r="K1456" s="2">
        <v>2018</v>
      </c>
      <c r="L1456" s="2">
        <v>2019</v>
      </c>
    </row>
    <row r="1457" spans="1:12">
      <c r="B1457" s="88" t="s">
        <v>10</v>
      </c>
      <c r="C1457" s="80"/>
      <c r="D1457" s="57">
        <v>0</v>
      </c>
      <c r="E1457" s="11">
        <v>0</v>
      </c>
      <c r="F1457" s="11">
        <v>0</v>
      </c>
      <c r="G1457" s="11">
        <v>0</v>
      </c>
      <c r="H1457" s="11">
        <v>0</v>
      </c>
      <c r="I1457" s="11">
        <v>0</v>
      </c>
      <c r="J1457" s="11">
        <v>0</v>
      </c>
      <c r="K1457" s="11">
        <v>0</v>
      </c>
      <c r="L1457" s="12">
        <v>0</v>
      </c>
    </row>
    <row r="1458" spans="1:12">
      <c r="B1458" s="88" t="s">
        <v>6</v>
      </c>
      <c r="C1458" s="80"/>
      <c r="D1458" s="58">
        <v>0</v>
      </c>
      <c r="E1458" s="59">
        <v>0</v>
      </c>
      <c r="F1458" s="59">
        <v>0</v>
      </c>
      <c r="G1458" s="59">
        <v>0</v>
      </c>
      <c r="H1458" s="59">
        <v>0</v>
      </c>
      <c r="I1458" s="59">
        <v>0</v>
      </c>
      <c r="J1458" s="59">
        <v>0</v>
      </c>
      <c r="K1458" s="59">
        <v>0</v>
      </c>
      <c r="L1458" s="60">
        <v>0</v>
      </c>
    </row>
    <row r="1459" spans="1:12">
      <c r="B1459" s="87" t="s">
        <v>121</v>
      </c>
      <c r="C1459" s="86"/>
      <c r="D1459" s="43">
        <v>0</v>
      </c>
      <c r="E1459" s="44">
        <v>0</v>
      </c>
      <c r="F1459" s="44">
        <v>0</v>
      </c>
      <c r="G1459" s="44">
        <v>0</v>
      </c>
      <c r="H1459" s="44">
        <v>0</v>
      </c>
      <c r="I1459" s="44">
        <v>0</v>
      </c>
      <c r="J1459" s="44">
        <v>0</v>
      </c>
      <c r="K1459" s="44">
        <v>0</v>
      </c>
      <c r="L1459" s="44">
        <v>0</v>
      </c>
    </row>
    <row r="1460" spans="1:12">
      <c r="B1460" s="33"/>
      <c r="C1460" s="33"/>
      <c r="D1460" s="42"/>
      <c r="E1460" s="34"/>
      <c r="F1460" s="34"/>
      <c r="G1460" s="34"/>
      <c r="H1460" s="34"/>
      <c r="I1460" s="34"/>
      <c r="J1460" s="34"/>
      <c r="K1460" s="34"/>
      <c r="L1460" s="34"/>
    </row>
    <row r="1461" spans="1:12" ht="18.75">
      <c r="A1461" s="45" t="s">
        <v>30</v>
      </c>
      <c r="C1461" s="33"/>
      <c r="D1461" s="2">
        <v>2011</v>
      </c>
      <c r="E1461" s="2">
        <v>2012</v>
      </c>
      <c r="F1461" s="2">
        <v>2013</v>
      </c>
      <c r="G1461" s="2">
        <v>2014</v>
      </c>
      <c r="H1461" s="2">
        <v>2015</v>
      </c>
      <c r="I1461" s="2">
        <v>2016</v>
      </c>
      <c r="J1461" s="2">
        <v>2017</v>
      </c>
      <c r="K1461" s="2">
        <v>2018</v>
      </c>
      <c r="L1461" s="2">
        <v>2019</v>
      </c>
    </row>
    <row r="1462" spans="1:12">
      <c r="B1462" s="88" t="s">
        <v>47</v>
      </c>
      <c r="C1462" s="80"/>
      <c r="D1462" s="98"/>
      <c r="E1462" s="99"/>
      <c r="F1462" s="99"/>
      <c r="G1462" s="99"/>
      <c r="H1462" s="99"/>
      <c r="I1462" s="99"/>
      <c r="J1462" s="99"/>
      <c r="K1462" s="99"/>
      <c r="L1462" s="100"/>
    </row>
    <row r="1463" spans="1:12">
      <c r="B1463" s="89" t="s">
        <v>23</v>
      </c>
      <c r="C1463" s="207"/>
      <c r="D1463" s="101"/>
      <c r="E1463" s="102"/>
      <c r="F1463" s="102"/>
      <c r="G1463" s="102"/>
      <c r="H1463" s="102"/>
      <c r="I1463" s="102"/>
      <c r="J1463" s="102"/>
      <c r="K1463" s="102"/>
      <c r="L1463" s="103"/>
    </row>
    <row r="1464" spans="1:12">
      <c r="B1464" s="104" t="s">
        <v>89</v>
      </c>
      <c r="C1464" s="205"/>
      <c r="D1464" s="65"/>
      <c r="E1464" s="66"/>
      <c r="F1464" s="66"/>
      <c r="G1464" s="66"/>
      <c r="H1464" s="66"/>
      <c r="I1464" s="66"/>
      <c r="J1464" s="66"/>
      <c r="K1464" s="66"/>
      <c r="L1464" s="67"/>
    </row>
    <row r="1465" spans="1:12">
      <c r="B1465" s="36" t="s">
        <v>90</v>
      </c>
      <c r="D1465" s="7">
        <v>0</v>
      </c>
      <c r="E1465" s="7">
        <v>0</v>
      </c>
      <c r="F1465" s="7">
        <v>0</v>
      </c>
      <c r="G1465" s="7">
        <v>0</v>
      </c>
      <c r="H1465" s="7">
        <v>0</v>
      </c>
      <c r="I1465" s="7">
        <v>0</v>
      </c>
      <c r="J1465" s="7">
        <v>0</v>
      </c>
      <c r="K1465" s="7">
        <v>0</v>
      </c>
      <c r="L1465" s="7">
        <v>0</v>
      </c>
    </row>
    <row r="1466" spans="1:12">
      <c r="B1466" s="6"/>
      <c r="D1466" s="7"/>
      <c r="E1466" s="7"/>
      <c r="F1466" s="7"/>
      <c r="G1466" s="31"/>
      <c r="H1466" s="31"/>
      <c r="I1466" s="31"/>
      <c r="J1466" s="31"/>
      <c r="K1466" s="31"/>
      <c r="L1466" s="31"/>
    </row>
    <row r="1467" spans="1:12" ht="18.75">
      <c r="A1467" s="9" t="s">
        <v>100</v>
      </c>
      <c r="D1467" s="2">
        <f>'Facility Detail'!$B$1752</f>
        <v>2011</v>
      </c>
      <c r="E1467" s="2">
        <f>D1467+1</f>
        <v>2012</v>
      </c>
      <c r="F1467" s="2">
        <f>E1467+1</f>
        <v>2013</v>
      </c>
      <c r="G1467" s="282">
        <f t="shared" ref="G1467" si="486">F1467+1</f>
        <v>2014</v>
      </c>
      <c r="H1467" s="282">
        <f t="shared" ref="H1467" si="487">G1467+1</f>
        <v>2015</v>
      </c>
      <c r="I1467" s="282">
        <f t="shared" ref="I1467" si="488">H1467+1</f>
        <v>2016</v>
      </c>
      <c r="J1467" s="282">
        <f t="shared" ref="J1467" si="489">I1467+1</f>
        <v>2017</v>
      </c>
      <c r="K1467" s="282">
        <f t="shared" ref="K1467:L1467" si="490">J1467+1</f>
        <v>2018</v>
      </c>
      <c r="L1467" s="282">
        <f t="shared" si="490"/>
        <v>2019</v>
      </c>
    </row>
    <row r="1468" spans="1:12">
      <c r="B1468" s="88" t="s">
        <v>68</v>
      </c>
      <c r="C1468" s="80"/>
      <c r="D1468" s="3"/>
      <c r="E1468" s="68">
        <f>D1468</f>
        <v>0</v>
      </c>
      <c r="F1468" s="152"/>
      <c r="G1468" s="152"/>
      <c r="H1468" s="152"/>
      <c r="I1468" s="152"/>
      <c r="J1468" s="152"/>
      <c r="K1468" s="152"/>
      <c r="L1468" s="69"/>
    </row>
    <row r="1469" spans="1:12">
      <c r="B1469" s="88" t="s">
        <v>69</v>
      </c>
      <c r="C1469" s="80"/>
      <c r="D1469" s="189">
        <f>E1469</f>
        <v>0</v>
      </c>
      <c r="E1469" s="10"/>
      <c r="F1469" s="83"/>
      <c r="G1469" s="83"/>
      <c r="H1469" s="83"/>
      <c r="I1469" s="83"/>
      <c r="J1469" s="83"/>
      <c r="K1469" s="83"/>
      <c r="L1469" s="190"/>
    </row>
    <row r="1470" spans="1:12">
      <c r="B1470" s="88" t="s">
        <v>70</v>
      </c>
      <c r="C1470" s="80"/>
      <c r="D1470" s="70"/>
      <c r="E1470" s="10">
        <f>E1454</f>
        <v>0</v>
      </c>
      <c r="F1470" s="79">
        <f>E1470</f>
        <v>0</v>
      </c>
      <c r="G1470" s="83"/>
      <c r="H1470" s="83"/>
      <c r="I1470" s="83"/>
      <c r="J1470" s="83"/>
      <c r="K1470" s="83"/>
      <c r="L1470" s="190"/>
    </row>
    <row r="1471" spans="1:12">
      <c r="B1471" s="88" t="s">
        <v>71</v>
      </c>
      <c r="C1471" s="80"/>
      <c r="D1471" s="70"/>
      <c r="E1471" s="79">
        <f>F1471</f>
        <v>0</v>
      </c>
      <c r="F1471" s="188"/>
      <c r="G1471" s="83"/>
      <c r="H1471" s="83"/>
      <c r="I1471" s="83"/>
      <c r="J1471" s="83"/>
      <c r="K1471" s="83"/>
      <c r="L1471" s="190"/>
    </row>
    <row r="1472" spans="1:12">
      <c r="B1472" s="88" t="s">
        <v>194</v>
      </c>
      <c r="C1472" s="33"/>
      <c r="D1472" s="70"/>
      <c r="E1472" s="172"/>
      <c r="F1472" s="10">
        <f>F1454</f>
        <v>0</v>
      </c>
      <c r="G1472" s="173">
        <f>F1472</f>
        <v>0</v>
      </c>
      <c r="H1472" s="83"/>
      <c r="I1472" s="83"/>
      <c r="J1472" s="83"/>
      <c r="K1472" s="83"/>
      <c r="L1472" s="190"/>
    </row>
    <row r="1473" spans="1:12">
      <c r="B1473" s="88" t="s">
        <v>195</v>
      </c>
      <c r="C1473" s="33"/>
      <c r="D1473" s="70"/>
      <c r="E1473" s="172"/>
      <c r="F1473" s="79">
        <f>G1473</f>
        <v>0</v>
      </c>
      <c r="G1473" s="10"/>
      <c r="H1473" s="83"/>
      <c r="I1473" s="83"/>
      <c r="J1473" s="83"/>
      <c r="K1473" s="83"/>
      <c r="L1473" s="190"/>
    </row>
    <row r="1474" spans="1:12">
      <c r="B1474" s="88" t="s">
        <v>196</v>
      </c>
      <c r="C1474" s="33"/>
      <c r="D1474" s="70"/>
      <c r="E1474" s="172"/>
      <c r="F1474" s="172"/>
      <c r="G1474" s="10">
        <f>G1454</f>
        <v>0</v>
      </c>
      <c r="H1474" s="173">
        <f>G1474</f>
        <v>0</v>
      </c>
      <c r="I1474" s="172">
        <f>H1474</f>
        <v>0</v>
      </c>
      <c r="J1474" s="172"/>
      <c r="K1474" s="172"/>
      <c r="L1474" s="176"/>
    </row>
    <row r="1475" spans="1:12">
      <c r="B1475" s="88" t="s">
        <v>197</v>
      </c>
      <c r="C1475" s="33"/>
      <c r="D1475" s="70"/>
      <c r="E1475" s="172"/>
      <c r="F1475" s="172"/>
      <c r="G1475" s="174"/>
      <c r="H1475" s="175"/>
      <c r="I1475" s="172"/>
      <c r="J1475" s="172"/>
      <c r="K1475" s="172"/>
      <c r="L1475" s="176"/>
    </row>
    <row r="1476" spans="1:12">
      <c r="B1476" s="88" t="s">
        <v>198</v>
      </c>
      <c r="C1476" s="33"/>
      <c r="D1476" s="70"/>
      <c r="E1476" s="172"/>
      <c r="F1476" s="172"/>
      <c r="G1476" s="172"/>
      <c r="H1476" s="175">
        <v>0</v>
      </c>
      <c r="I1476" s="173">
        <f>H1476</f>
        <v>0</v>
      </c>
      <c r="J1476" s="83"/>
      <c r="K1476" s="172"/>
      <c r="L1476" s="176"/>
    </row>
    <row r="1477" spans="1:12">
      <c r="B1477" s="88" t="s">
        <v>199</v>
      </c>
      <c r="C1477" s="33"/>
      <c r="D1477" s="70"/>
      <c r="E1477" s="172"/>
      <c r="F1477" s="172"/>
      <c r="G1477" s="172"/>
      <c r="H1477" s="79"/>
      <c r="I1477" s="175"/>
      <c r="J1477" s="83"/>
      <c r="K1477" s="172"/>
      <c r="L1477" s="176"/>
    </row>
    <row r="1478" spans="1:12">
      <c r="B1478" s="88" t="s">
        <v>200</v>
      </c>
      <c r="C1478" s="33"/>
      <c r="D1478" s="70"/>
      <c r="E1478" s="172"/>
      <c r="F1478" s="172"/>
      <c r="G1478" s="172"/>
      <c r="H1478" s="172"/>
      <c r="I1478" s="175">
        <f>I1454</f>
        <v>0</v>
      </c>
      <c r="J1478" s="174">
        <f>I1478</f>
        <v>0</v>
      </c>
      <c r="K1478" s="172"/>
      <c r="L1478" s="176"/>
    </row>
    <row r="1479" spans="1:12">
      <c r="B1479" s="88" t="s">
        <v>191</v>
      </c>
      <c r="C1479" s="33"/>
      <c r="D1479" s="70"/>
      <c r="E1479" s="172"/>
      <c r="F1479" s="172"/>
      <c r="G1479" s="172"/>
      <c r="H1479" s="172"/>
      <c r="I1479" s="174"/>
      <c r="J1479" s="175"/>
      <c r="K1479" s="172"/>
      <c r="L1479" s="190"/>
    </row>
    <row r="1480" spans="1:12">
      <c r="B1480" s="88" t="s">
        <v>192</v>
      </c>
      <c r="C1480" s="33"/>
      <c r="D1480" s="70"/>
      <c r="E1480" s="172"/>
      <c r="F1480" s="172"/>
      <c r="G1480" s="172"/>
      <c r="H1480" s="172"/>
      <c r="I1480" s="172"/>
      <c r="J1480" s="175">
        <f>J1454</f>
        <v>0</v>
      </c>
      <c r="K1480" s="79">
        <f>J1480</f>
        <v>0</v>
      </c>
      <c r="L1480" s="176"/>
    </row>
    <row r="1481" spans="1:12">
      <c r="B1481" s="88" t="s">
        <v>226</v>
      </c>
      <c r="C1481" s="33"/>
      <c r="D1481" s="70"/>
      <c r="E1481" s="172"/>
      <c r="F1481" s="172"/>
      <c r="G1481" s="172"/>
      <c r="H1481" s="172"/>
      <c r="I1481" s="172"/>
      <c r="J1481" s="174"/>
      <c r="K1481" s="175"/>
      <c r="L1481" s="176"/>
    </row>
    <row r="1482" spans="1:12">
      <c r="B1482" s="88" t="s">
        <v>227</v>
      </c>
      <c r="C1482" s="33"/>
      <c r="D1482" s="71"/>
      <c r="E1482" s="154"/>
      <c r="F1482" s="154"/>
      <c r="G1482" s="154"/>
      <c r="H1482" s="154"/>
      <c r="I1482" s="154"/>
      <c r="J1482" s="154"/>
      <c r="K1482" s="177"/>
      <c r="L1482" s="332"/>
    </row>
    <row r="1483" spans="1:12">
      <c r="B1483" s="36" t="s">
        <v>17</v>
      </c>
      <c r="D1483" s="303">
        <f xml:space="preserve"> D1474 - D1473</f>
        <v>0</v>
      </c>
      <c r="E1483" s="303">
        <f xml:space="preserve"> E1473 + E1476 - E1475 - E1474</f>
        <v>0</v>
      </c>
      <c r="F1483" s="303">
        <f>F1475 - F1476</f>
        <v>0</v>
      </c>
      <c r="G1483" s="303">
        <f t="shared" ref="G1483" si="491">G1475 - G1476</f>
        <v>0</v>
      </c>
      <c r="H1483" s="303">
        <f>H1474-H1475-H1476</f>
        <v>0</v>
      </c>
      <c r="I1483" s="303">
        <f>I1476-I1477-I1478</f>
        <v>0</v>
      </c>
      <c r="J1483" s="303">
        <f t="shared" ref="J1483:L1483" si="492">J1476-J1477-J1478</f>
        <v>0</v>
      </c>
      <c r="K1483" s="303">
        <f t="shared" si="492"/>
        <v>0</v>
      </c>
      <c r="L1483" s="303">
        <f t="shared" si="492"/>
        <v>0</v>
      </c>
    </row>
    <row r="1484" spans="1:12">
      <c r="B1484" s="6"/>
      <c r="D1484" s="303"/>
      <c r="E1484" s="303"/>
      <c r="F1484" s="303"/>
      <c r="G1484" s="303"/>
      <c r="H1484" s="303"/>
      <c r="I1484" s="303"/>
      <c r="J1484" s="303"/>
      <c r="K1484" s="303"/>
      <c r="L1484" s="303"/>
    </row>
    <row r="1485" spans="1:12">
      <c r="B1485" s="85" t="s">
        <v>12</v>
      </c>
      <c r="C1485" s="80"/>
      <c r="D1485" s="304"/>
      <c r="E1485" s="305"/>
      <c r="F1485" s="305"/>
      <c r="G1485" s="305"/>
      <c r="H1485" s="305"/>
      <c r="I1485" s="305"/>
      <c r="J1485" s="305"/>
      <c r="K1485" s="305"/>
      <c r="L1485" s="306"/>
    </row>
    <row r="1486" spans="1:12">
      <c r="B1486" s="6"/>
      <c r="D1486" s="303"/>
      <c r="E1486" s="303"/>
      <c r="F1486" s="303"/>
      <c r="G1486" s="303"/>
      <c r="H1486" s="303"/>
      <c r="I1486" s="303"/>
      <c r="J1486" s="303"/>
      <c r="K1486" s="303"/>
      <c r="L1486" s="303"/>
    </row>
    <row r="1487" spans="1:12" ht="18.75">
      <c r="A1487" s="45" t="s">
        <v>26</v>
      </c>
      <c r="C1487" s="80"/>
      <c r="D1487" s="307">
        <f xml:space="preserve"> D1454 + D1459 - D1465 + D1483 + D1485</f>
        <v>0</v>
      </c>
      <c r="E1487" s="308">
        <f xml:space="preserve"> E1454 + E1459 - E1465 + E1483 + E1485</f>
        <v>0</v>
      </c>
      <c r="F1487" s="308">
        <f xml:space="preserve"> F1454 + F1459 - F1465 + F1483 + F1485</f>
        <v>0</v>
      </c>
      <c r="G1487" s="308">
        <f t="shared" ref="G1487:L1487" si="493" xml:space="preserve"> G1454 + G1459 - G1465 + G1483 + G1485</f>
        <v>0</v>
      </c>
      <c r="H1487" s="308">
        <f t="shared" si="493"/>
        <v>0</v>
      </c>
      <c r="I1487" s="308">
        <f t="shared" si="493"/>
        <v>0</v>
      </c>
      <c r="J1487" s="308">
        <f t="shared" si="493"/>
        <v>0</v>
      </c>
      <c r="K1487" s="383"/>
      <c r="L1487" s="309">
        <f t="shared" si="493"/>
        <v>0</v>
      </c>
    </row>
    <row r="1488" spans="1:12">
      <c r="B1488" s="6"/>
      <c r="D1488" s="7"/>
      <c r="E1488" s="7"/>
      <c r="F1488" s="7"/>
      <c r="G1488" s="31"/>
      <c r="H1488" s="31"/>
      <c r="I1488" s="31"/>
      <c r="J1488" s="31"/>
      <c r="K1488" s="31"/>
      <c r="L1488" s="31"/>
    </row>
    <row r="1489" spans="1:12" ht="15.75" thickBot="1"/>
    <row r="1490" spans="1:12">
      <c r="A1490" s="8"/>
      <c r="B1490" s="8"/>
      <c r="C1490" s="8"/>
      <c r="D1490" s="8"/>
      <c r="E1490" s="8"/>
      <c r="F1490" s="8"/>
      <c r="G1490" s="8"/>
      <c r="H1490" s="8"/>
      <c r="I1490" s="8"/>
      <c r="J1490" s="8"/>
      <c r="K1490" s="8"/>
      <c r="L1490" s="8"/>
    </row>
    <row r="1491" spans="1:12" ht="21">
      <c r="A1491" s="14" t="s">
        <v>4</v>
      </c>
      <c r="B1491" s="14"/>
      <c r="C1491" s="46" t="str">
        <f>B35</f>
        <v>Bly Solar</v>
      </c>
      <c r="D1491" s="47"/>
      <c r="E1491" s="24"/>
      <c r="F1491" s="24"/>
    </row>
    <row r="1493" spans="1:12" ht="18.75">
      <c r="A1493" s="9" t="s">
        <v>21</v>
      </c>
      <c r="B1493" s="9"/>
      <c r="D1493" s="2">
        <v>2011</v>
      </c>
      <c r="E1493" s="2">
        <v>2012</v>
      </c>
      <c r="F1493" s="2">
        <v>2013</v>
      </c>
      <c r="G1493" s="2">
        <v>2014</v>
      </c>
      <c r="H1493" s="2">
        <v>2015</v>
      </c>
      <c r="I1493" s="2">
        <v>2016</v>
      </c>
      <c r="J1493" s="2">
        <v>2017</v>
      </c>
      <c r="K1493" s="2">
        <v>2018</v>
      </c>
      <c r="L1493" s="2">
        <v>2019</v>
      </c>
    </row>
    <row r="1494" spans="1:12">
      <c r="B1494" s="88" t="str">
        <f>"Total MWh Produced / Purchased from " &amp; C1491</f>
        <v>Total MWh Produced / Purchased from Bly Solar</v>
      </c>
      <c r="C1494" s="80"/>
      <c r="D1494" s="3"/>
      <c r="E1494" s="4"/>
      <c r="F1494" s="4"/>
      <c r="G1494" s="4"/>
      <c r="H1494" s="4"/>
      <c r="I1494" s="4"/>
      <c r="J1494" s="4">
        <v>0</v>
      </c>
      <c r="K1494" s="381"/>
      <c r="L1494" s="5"/>
    </row>
    <row r="1495" spans="1:12">
      <c r="B1495" s="88" t="s">
        <v>25</v>
      </c>
      <c r="C1495" s="80"/>
      <c r="D1495" s="62"/>
      <c r="E1495" s="63"/>
      <c r="F1495" s="63"/>
      <c r="G1495" s="63"/>
      <c r="H1495" s="63"/>
      <c r="I1495" s="63"/>
      <c r="J1495" s="63"/>
      <c r="K1495" s="63">
        <v>1</v>
      </c>
      <c r="L1495" s="64"/>
    </row>
    <row r="1496" spans="1:12">
      <c r="B1496" s="88" t="s">
        <v>20</v>
      </c>
      <c r="C1496" s="80"/>
      <c r="D1496" s="54"/>
      <c r="E1496" s="55"/>
      <c r="F1496" s="55"/>
      <c r="G1496" s="55"/>
      <c r="H1496" s="55"/>
      <c r="I1496" s="55"/>
      <c r="J1496" s="55"/>
      <c r="K1496" s="55">
        <v>0.22164900000000001</v>
      </c>
      <c r="L1496" s="56"/>
    </row>
    <row r="1497" spans="1:12">
      <c r="B1497" s="85" t="s">
        <v>22</v>
      </c>
      <c r="C1497" s="86"/>
      <c r="D1497" s="41">
        <v>0</v>
      </c>
      <c r="E1497" s="41">
        <v>0</v>
      </c>
      <c r="F1497" s="41">
        <v>0</v>
      </c>
      <c r="G1497" s="41">
        <v>0</v>
      </c>
      <c r="H1497" s="41">
        <v>0</v>
      </c>
      <c r="I1497" s="41">
        <v>0</v>
      </c>
      <c r="J1497" s="41">
        <f>J1494*J1496</f>
        <v>0</v>
      </c>
      <c r="K1497" s="380"/>
      <c r="L1497" s="41">
        <v>0</v>
      </c>
    </row>
    <row r="1498" spans="1:12">
      <c r="B1498" s="24"/>
      <c r="C1498" s="33"/>
      <c r="D1498" s="40"/>
      <c r="E1498" s="40"/>
      <c r="F1498" s="40"/>
      <c r="G1498" s="40"/>
      <c r="H1498" s="40"/>
      <c r="I1498" s="40"/>
      <c r="J1498" s="40"/>
      <c r="K1498" s="40"/>
      <c r="L1498" s="40"/>
    </row>
    <row r="1499" spans="1:12" ht="18.75">
      <c r="A1499" s="48" t="s">
        <v>119</v>
      </c>
      <c r="C1499" s="33"/>
      <c r="D1499" s="2">
        <v>2011</v>
      </c>
      <c r="E1499" s="2">
        <v>2012</v>
      </c>
      <c r="F1499" s="2">
        <v>2013</v>
      </c>
      <c r="G1499" s="2">
        <v>2014</v>
      </c>
      <c r="H1499" s="2">
        <v>2015</v>
      </c>
      <c r="I1499" s="2">
        <v>2016</v>
      </c>
      <c r="J1499" s="2">
        <v>2017</v>
      </c>
      <c r="K1499" s="2">
        <v>2018</v>
      </c>
      <c r="L1499" s="2">
        <v>2019</v>
      </c>
    </row>
    <row r="1500" spans="1:12">
      <c r="B1500" s="88" t="s">
        <v>10</v>
      </c>
      <c r="C1500" s="80"/>
      <c r="D1500" s="57">
        <v>0</v>
      </c>
      <c r="E1500" s="11">
        <v>0</v>
      </c>
      <c r="F1500" s="11">
        <v>0</v>
      </c>
      <c r="G1500" s="11">
        <v>0</v>
      </c>
      <c r="H1500" s="11">
        <v>0</v>
      </c>
      <c r="I1500" s="11">
        <v>0</v>
      </c>
      <c r="J1500" s="11">
        <v>0</v>
      </c>
      <c r="K1500" s="11">
        <v>0</v>
      </c>
      <c r="L1500" s="12"/>
    </row>
    <row r="1501" spans="1:12">
      <c r="B1501" s="88" t="s">
        <v>6</v>
      </c>
      <c r="C1501" s="80"/>
      <c r="D1501" s="58">
        <v>0</v>
      </c>
      <c r="E1501" s="59">
        <v>0</v>
      </c>
      <c r="F1501" s="59">
        <v>0</v>
      </c>
      <c r="G1501" s="59">
        <v>0</v>
      </c>
      <c r="H1501" s="59">
        <v>0</v>
      </c>
      <c r="I1501" s="59">
        <v>0</v>
      </c>
      <c r="J1501" s="59">
        <v>0</v>
      </c>
      <c r="K1501" s="59">
        <v>0</v>
      </c>
      <c r="L1501" s="60"/>
    </row>
    <row r="1502" spans="1:12">
      <c r="B1502" s="87" t="s">
        <v>121</v>
      </c>
      <c r="C1502" s="86"/>
      <c r="D1502" s="43">
        <v>0</v>
      </c>
      <c r="E1502" s="44">
        <v>0</v>
      </c>
      <c r="F1502" s="44">
        <v>0</v>
      </c>
      <c r="G1502" s="44">
        <v>0</v>
      </c>
      <c r="H1502" s="44">
        <v>0</v>
      </c>
      <c r="I1502" s="44">
        <v>0</v>
      </c>
      <c r="J1502" s="44">
        <v>0</v>
      </c>
      <c r="K1502" s="44">
        <v>0</v>
      </c>
      <c r="L1502" s="44">
        <v>0</v>
      </c>
    </row>
    <row r="1503" spans="1:12">
      <c r="B1503" s="33"/>
      <c r="C1503" s="33"/>
      <c r="D1503" s="42"/>
      <c r="E1503" s="34"/>
      <c r="F1503" s="34"/>
      <c r="G1503" s="34"/>
      <c r="H1503" s="34"/>
      <c r="I1503" s="34"/>
      <c r="J1503" s="34"/>
      <c r="K1503" s="34"/>
      <c r="L1503" s="34"/>
    </row>
    <row r="1504" spans="1:12" ht="18.75">
      <c r="A1504" s="45" t="s">
        <v>30</v>
      </c>
      <c r="C1504" s="33"/>
      <c r="D1504" s="2">
        <v>2011</v>
      </c>
      <c r="E1504" s="2">
        <v>2012</v>
      </c>
      <c r="F1504" s="2">
        <v>2013</v>
      </c>
      <c r="G1504" s="2">
        <v>2014</v>
      </c>
      <c r="H1504" s="2">
        <v>2015</v>
      </c>
      <c r="I1504" s="2">
        <v>2016</v>
      </c>
      <c r="J1504" s="2">
        <v>2017</v>
      </c>
      <c r="K1504" s="2">
        <v>2018</v>
      </c>
      <c r="L1504" s="2">
        <v>2019</v>
      </c>
    </row>
    <row r="1505" spans="1:12">
      <c r="B1505" s="88" t="s">
        <v>47</v>
      </c>
      <c r="C1505" s="80"/>
      <c r="D1505" s="98"/>
      <c r="E1505" s="99"/>
      <c r="F1505" s="99"/>
      <c r="G1505" s="99"/>
      <c r="H1505" s="99"/>
      <c r="I1505" s="99"/>
      <c r="J1505" s="99"/>
      <c r="K1505" s="99"/>
      <c r="L1505" s="100"/>
    </row>
    <row r="1506" spans="1:12">
      <c r="B1506" s="89" t="s">
        <v>23</v>
      </c>
      <c r="C1506" s="207"/>
      <c r="D1506" s="101"/>
      <c r="E1506" s="102"/>
      <c r="F1506" s="102"/>
      <c r="G1506" s="102"/>
      <c r="H1506" s="102"/>
      <c r="I1506" s="102"/>
      <c r="J1506" s="102"/>
      <c r="K1506" s="102"/>
      <c r="L1506" s="103"/>
    </row>
    <row r="1507" spans="1:12">
      <c r="B1507" s="104" t="s">
        <v>89</v>
      </c>
      <c r="C1507" s="205"/>
      <c r="D1507" s="65"/>
      <c r="E1507" s="66"/>
      <c r="F1507" s="66"/>
      <c r="G1507" s="66"/>
      <c r="H1507" s="66"/>
      <c r="I1507" s="66"/>
      <c r="J1507" s="66"/>
      <c r="K1507" s="66"/>
      <c r="L1507" s="67"/>
    </row>
    <row r="1508" spans="1:12">
      <c r="B1508" s="36" t="s">
        <v>90</v>
      </c>
      <c r="D1508" s="7">
        <v>0</v>
      </c>
      <c r="E1508" s="7">
        <v>0</v>
      </c>
      <c r="F1508" s="7">
        <v>0</v>
      </c>
      <c r="G1508" s="7">
        <v>0</v>
      </c>
      <c r="H1508" s="7">
        <v>0</v>
      </c>
      <c r="I1508" s="7">
        <v>0</v>
      </c>
      <c r="J1508" s="7">
        <v>0</v>
      </c>
      <c r="K1508" s="7">
        <v>0</v>
      </c>
      <c r="L1508" s="7">
        <v>0</v>
      </c>
    </row>
    <row r="1509" spans="1:12">
      <c r="B1509" s="6"/>
      <c r="D1509" s="7"/>
      <c r="E1509" s="7"/>
      <c r="F1509" s="7"/>
      <c r="G1509" s="31"/>
      <c r="H1509" s="31"/>
      <c r="I1509" s="31"/>
      <c r="J1509" s="31"/>
      <c r="K1509" s="31"/>
      <c r="L1509" s="31"/>
    </row>
    <row r="1510" spans="1:12" ht="18.75">
      <c r="A1510" s="9" t="s">
        <v>100</v>
      </c>
      <c r="D1510" s="2">
        <f>'Facility Detail'!$B$1752</f>
        <v>2011</v>
      </c>
      <c r="E1510" s="2">
        <f>D1510+1</f>
        <v>2012</v>
      </c>
      <c r="F1510" s="2">
        <f>E1510+1</f>
        <v>2013</v>
      </c>
      <c r="G1510" s="282">
        <f t="shared" ref="G1510" si="494">F1510+1</f>
        <v>2014</v>
      </c>
      <c r="H1510" s="282">
        <f t="shared" ref="H1510" si="495">G1510+1</f>
        <v>2015</v>
      </c>
      <c r="I1510" s="282">
        <f t="shared" ref="I1510" si="496">H1510+1</f>
        <v>2016</v>
      </c>
      <c r="J1510" s="282">
        <f t="shared" ref="J1510" si="497">I1510+1</f>
        <v>2017</v>
      </c>
      <c r="K1510" s="282">
        <f t="shared" ref="K1510" si="498">J1510+1</f>
        <v>2018</v>
      </c>
      <c r="L1510" s="282">
        <v>2019</v>
      </c>
    </row>
    <row r="1511" spans="1:12">
      <c r="B1511" s="88" t="s">
        <v>68</v>
      </c>
      <c r="C1511" s="80"/>
      <c r="D1511" s="3"/>
      <c r="E1511" s="68">
        <f>D1511</f>
        <v>0</v>
      </c>
      <c r="F1511" s="152"/>
      <c r="G1511" s="152"/>
      <c r="H1511" s="152"/>
      <c r="I1511" s="152"/>
      <c r="J1511" s="152"/>
      <c r="K1511" s="152"/>
      <c r="L1511" s="69"/>
    </row>
    <row r="1512" spans="1:12">
      <c r="B1512" s="88" t="s">
        <v>69</v>
      </c>
      <c r="C1512" s="80"/>
      <c r="D1512" s="189">
        <f>E1512</f>
        <v>0</v>
      </c>
      <c r="E1512" s="10"/>
      <c r="F1512" s="83"/>
      <c r="G1512" s="83"/>
      <c r="H1512" s="83"/>
      <c r="I1512" s="83"/>
      <c r="J1512" s="83"/>
      <c r="K1512" s="83"/>
      <c r="L1512" s="190"/>
    </row>
    <row r="1513" spans="1:12">
      <c r="B1513" s="88" t="s">
        <v>70</v>
      </c>
      <c r="C1513" s="80"/>
      <c r="D1513" s="70"/>
      <c r="E1513" s="10">
        <f>E1497</f>
        <v>0</v>
      </c>
      <c r="F1513" s="79">
        <f>E1513</f>
        <v>0</v>
      </c>
      <c r="G1513" s="83"/>
      <c r="H1513" s="83"/>
      <c r="I1513" s="83"/>
      <c r="J1513" s="83"/>
      <c r="K1513" s="83"/>
      <c r="L1513" s="190"/>
    </row>
    <row r="1514" spans="1:12">
      <c r="B1514" s="88" t="s">
        <v>71</v>
      </c>
      <c r="C1514" s="80"/>
      <c r="D1514" s="70"/>
      <c r="E1514" s="79">
        <f>F1514</f>
        <v>0</v>
      </c>
      <c r="F1514" s="188"/>
      <c r="G1514" s="83"/>
      <c r="H1514" s="83"/>
      <c r="I1514" s="83"/>
      <c r="J1514" s="83"/>
      <c r="K1514" s="83"/>
      <c r="L1514" s="190"/>
    </row>
    <row r="1515" spans="1:12">
      <c r="B1515" s="88" t="s">
        <v>194</v>
      </c>
      <c r="C1515" s="33"/>
      <c r="D1515" s="70"/>
      <c r="E1515" s="172"/>
      <c r="F1515" s="10">
        <f>F1497</f>
        <v>0</v>
      </c>
      <c r="G1515" s="173">
        <f>F1515</f>
        <v>0</v>
      </c>
      <c r="H1515" s="83"/>
      <c r="I1515" s="83"/>
      <c r="J1515" s="83"/>
      <c r="K1515" s="83"/>
      <c r="L1515" s="190"/>
    </row>
    <row r="1516" spans="1:12">
      <c r="B1516" s="88" t="s">
        <v>195</v>
      </c>
      <c r="C1516" s="33"/>
      <c r="D1516" s="70"/>
      <c r="E1516" s="172"/>
      <c r="F1516" s="79">
        <f>G1516</f>
        <v>0</v>
      </c>
      <c r="G1516" s="10"/>
      <c r="H1516" s="83"/>
      <c r="I1516" s="83"/>
      <c r="J1516" s="83"/>
      <c r="K1516" s="83"/>
      <c r="L1516" s="190"/>
    </row>
    <row r="1517" spans="1:12">
      <c r="B1517" s="88" t="s">
        <v>196</v>
      </c>
      <c r="C1517" s="33"/>
      <c r="D1517" s="70"/>
      <c r="E1517" s="172"/>
      <c r="F1517" s="172"/>
      <c r="G1517" s="10">
        <f>G1497</f>
        <v>0</v>
      </c>
      <c r="H1517" s="173">
        <f>G1517</f>
        <v>0</v>
      </c>
      <c r="I1517" s="172">
        <f>H1517</f>
        <v>0</v>
      </c>
      <c r="J1517" s="172"/>
      <c r="K1517" s="172"/>
      <c r="L1517" s="176"/>
    </row>
    <row r="1518" spans="1:12">
      <c r="B1518" s="88" t="s">
        <v>197</v>
      </c>
      <c r="C1518" s="33"/>
      <c r="D1518" s="70"/>
      <c r="E1518" s="172"/>
      <c r="F1518" s="172"/>
      <c r="G1518" s="174"/>
      <c r="H1518" s="175"/>
      <c r="I1518" s="172"/>
      <c r="J1518" s="172"/>
      <c r="K1518" s="172"/>
      <c r="L1518" s="176"/>
    </row>
    <row r="1519" spans="1:12">
      <c r="B1519" s="88" t="s">
        <v>198</v>
      </c>
      <c r="C1519" s="33"/>
      <c r="D1519" s="70"/>
      <c r="E1519" s="172"/>
      <c r="F1519" s="172"/>
      <c r="G1519" s="172"/>
      <c r="H1519" s="175">
        <v>0</v>
      </c>
      <c r="I1519" s="173">
        <f>H1519</f>
        <v>0</v>
      </c>
      <c r="J1519" s="83"/>
      <c r="K1519" s="172"/>
      <c r="L1519" s="176"/>
    </row>
    <row r="1520" spans="1:12">
      <c r="B1520" s="88" t="s">
        <v>199</v>
      </c>
      <c r="C1520" s="33"/>
      <c r="D1520" s="70"/>
      <c r="E1520" s="172"/>
      <c r="F1520" s="172"/>
      <c r="G1520" s="172"/>
      <c r="H1520" s="79"/>
      <c r="I1520" s="175"/>
      <c r="J1520" s="83"/>
      <c r="K1520" s="172"/>
      <c r="L1520" s="176"/>
    </row>
    <row r="1521" spans="1:13">
      <c r="B1521" s="88" t="s">
        <v>200</v>
      </c>
      <c r="C1521" s="33"/>
      <c r="D1521" s="70"/>
      <c r="E1521" s="172"/>
      <c r="F1521" s="172"/>
      <c r="G1521" s="172"/>
      <c r="H1521" s="172"/>
      <c r="I1521" s="175">
        <f>I1497</f>
        <v>0</v>
      </c>
      <c r="J1521" s="174">
        <f>I1521</f>
        <v>0</v>
      </c>
      <c r="K1521" s="172"/>
      <c r="L1521" s="176"/>
    </row>
    <row r="1522" spans="1:13">
      <c r="B1522" s="88" t="s">
        <v>191</v>
      </c>
      <c r="C1522" s="33"/>
      <c r="D1522" s="70"/>
      <c r="E1522" s="172"/>
      <c r="F1522" s="172"/>
      <c r="G1522" s="172"/>
      <c r="H1522" s="172"/>
      <c r="I1522" s="174"/>
      <c r="J1522" s="175"/>
      <c r="K1522" s="172"/>
      <c r="L1522" s="190"/>
    </row>
    <row r="1523" spans="1:13">
      <c r="B1523" s="88" t="s">
        <v>192</v>
      </c>
      <c r="C1523" s="33"/>
      <c r="D1523" s="70"/>
      <c r="E1523" s="172"/>
      <c r="F1523" s="172"/>
      <c r="G1523" s="172"/>
      <c r="H1523" s="172"/>
      <c r="I1523" s="172"/>
      <c r="J1523" s="175">
        <f>J1497</f>
        <v>0</v>
      </c>
      <c r="K1523" s="79">
        <f>J1523</f>
        <v>0</v>
      </c>
      <c r="L1523" s="176"/>
    </row>
    <row r="1524" spans="1:13">
      <c r="B1524" s="88" t="s">
        <v>226</v>
      </c>
      <c r="C1524" s="33"/>
      <c r="D1524" s="70"/>
      <c r="E1524" s="172"/>
      <c r="F1524" s="172"/>
      <c r="G1524" s="172"/>
      <c r="H1524" s="172"/>
      <c r="I1524" s="172"/>
      <c r="J1524" s="174"/>
      <c r="K1524" s="175"/>
      <c r="L1524" s="176"/>
    </row>
    <row r="1525" spans="1:13">
      <c r="B1525" s="88" t="s">
        <v>227</v>
      </c>
      <c r="C1525" s="33"/>
      <c r="D1525" s="71"/>
      <c r="E1525" s="154"/>
      <c r="F1525" s="154"/>
      <c r="G1525" s="154"/>
      <c r="H1525" s="154"/>
      <c r="I1525" s="154"/>
      <c r="J1525" s="154"/>
      <c r="K1525" s="177"/>
      <c r="L1525" s="332"/>
    </row>
    <row r="1526" spans="1:13">
      <c r="B1526" s="36" t="s">
        <v>17</v>
      </c>
      <c r="D1526" s="303">
        <f xml:space="preserve"> D1517 - D1516</f>
        <v>0</v>
      </c>
      <c r="E1526" s="303">
        <f xml:space="preserve"> E1516 + E1519 - E1518 - E1517</f>
        <v>0</v>
      </c>
      <c r="F1526" s="303">
        <f>F1518 - F1519</f>
        <v>0</v>
      </c>
      <c r="G1526" s="303">
        <f t="shared" ref="G1526" si="499">G1518 - G1519</f>
        <v>0</v>
      </c>
      <c r="H1526" s="303">
        <f>H1517-H1518-H1519</f>
        <v>0</v>
      </c>
      <c r="I1526" s="303">
        <f>I1519-I1520-I1521</f>
        <v>0</v>
      </c>
      <c r="J1526" s="303">
        <f t="shared" ref="J1526:L1526" si="500">J1519-J1520-J1521</f>
        <v>0</v>
      </c>
      <c r="K1526" s="303">
        <f t="shared" si="500"/>
        <v>0</v>
      </c>
      <c r="L1526" s="303">
        <f t="shared" si="500"/>
        <v>0</v>
      </c>
    </row>
    <row r="1527" spans="1:13">
      <c r="B1527" s="6"/>
      <c r="D1527" s="303"/>
      <c r="E1527" s="303"/>
      <c r="F1527" s="303"/>
      <c r="G1527" s="303"/>
      <c r="H1527" s="303"/>
      <c r="I1527" s="303"/>
      <c r="J1527" s="303"/>
      <c r="K1527" s="303"/>
      <c r="L1527" s="303"/>
    </row>
    <row r="1528" spans="1:13">
      <c r="B1528" s="85" t="s">
        <v>12</v>
      </c>
      <c r="C1528" s="80"/>
      <c r="D1528" s="304"/>
      <c r="E1528" s="305"/>
      <c r="F1528" s="305"/>
      <c r="G1528" s="305"/>
      <c r="H1528" s="305"/>
      <c r="I1528" s="305"/>
      <c r="J1528" s="305"/>
      <c r="K1528" s="305"/>
      <c r="L1528" s="306"/>
    </row>
    <row r="1529" spans="1:13">
      <c r="B1529" s="6"/>
      <c r="D1529" s="349"/>
      <c r="E1529" s="348"/>
      <c r="F1529" s="348"/>
      <c r="G1529" s="348"/>
      <c r="H1529" s="348"/>
      <c r="I1529" s="348"/>
      <c r="J1529" s="348"/>
      <c r="K1529" s="348"/>
      <c r="L1529" s="348"/>
      <c r="M1529" s="33"/>
    </row>
    <row r="1530" spans="1:13" ht="18.75">
      <c r="A1530" s="45" t="s">
        <v>26</v>
      </c>
      <c r="C1530" s="33"/>
      <c r="D1530" s="307">
        <f xml:space="preserve"> D1497 + D1502 - D1508 + D1526 + D1528</f>
        <v>0</v>
      </c>
      <c r="E1530" s="308">
        <f xml:space="preserve"> E1497 + E1502 - E1508 + E1526 + E1528</f>
        <v>0</v>
      </c>
      <c r="F1530" s="308">
        <f xml:space="preserve"> F1497 + F1502 - F1508 + F1526 + F1528</f>
        <v>0</v>
      </c>
      <c r="G1530" s="308">
        <f t="shared" ref="G1530:J1530" si="501" xml:space="preserve"> G1497 + G1502 - G1508 + G1526 + G1528</f>
        <v>0</v>
      </c>
      <c r="H1530" s="308">
        <f t="shared" si="501"/>
        <v>0</v>
      </c>
      <c r="I1530" s="308">
        <f t="shared" si="501"/>
        <v>0</v>
      </c>
      <c r="J1530" s="308">
        <f t="shared" si="501"/>
        <v>0</v>
      </c>
      <c r="K1530" s="383"/>
      <c r="L1530" s="309">
        <f t="shared" ref="L1530" si="502" xml:space="preserve"> L1497 + L1502 - L1508 + L1526 + L1528</f>
        <v>0</v>
      </c>
    </row>
    <row r="1531" spans="1:13" ht="15.75" thickBot="1"/>
    <row r="1532" spans="1:13">
      <c r="A1532" s="8"/>
      <c r="B1532" s="8"/>
      <c r="C1532" s="8"/>
      <c r="D1532" s="8"/>
      <c r="E1532" s="8"/>
      <c r="F1532" s="8"/>
      <c r="G1532" s="8"/>
      <c r="H1532" s="8"/>
      <c r="I1532" s="8"/>
      <c r="J1532" s="8"/>
      <c r="K1532" s="8"/>
      <c r="L1532" s="8"/>
    </row>
    <row r="1533" spans="1:13" ht="21">
      <c r="A1533" s="14" t="s">
        <v>4</v>
      </c>
      <c r="B1533" s="14"/>
      <c r="C1533" s="46" t="str">
        <f>B36</f>
        <v>Elbe Solar</v>
      </c>
      <c r="D1533" s="47"/>
      <c r="E1533" s="24"/>
      <c r="F1533" s="24"/>
    </row>
    <row r="1535" spans="1:13" ht="18.75">
      <c r="A1535" s="9" t="s">
        <v>21</v>
      </c>
      <c r="B1535" s="9"/>
      <c r="D1535" s="2">
        <v>2011</v>
      </c>
      <c r="E1535" s="2">
        <v>2012</v>
      </c>
      <c r="F1535" s="2">
        <v>2013</v>
      </c>
      <c r="G1535" s="2">
        <v>2014</v>
      </c>
      <c r="H1535" s="2">
        <v>2015</v>
      </c>
      <c r="I1535" s="2">
        <v>2016</v>
      </c>
      <c r="J1535" s="2">
        <v>2017</v>
      </c>
      <c r="K1535" s="2">
        <v>2018</v>
      </c>
      <c r="L1535" s="2">
        <v>2019</v>
      </c>
    </row>
    <row r="1536" spans="1:13">
      <c r="B1536" s="88" t="str">
        <f>"Total MWh Produced / Purchased from " &amp; C1533</f>
        <v>Total MWh Produced / Purchased from Elbe Solar</v>
      </c>
      <c r="C1536" s="80"/>
      <c r="D1536" s="3"/>
      <c r="E1536" s="4"/>
      <c r="F1536" s="4"/>
      <c r="G1536" s="4"/>
      <c r="H1536" s="4"/>
      <c r="I1536" s="4">
        <v>0</v>
      </c>
      <c r="J1536" s="4">
        <v>0</v>
      </c>
      <c r="K1536" s="381"/>
      <c r="L1536" s="5">
        <v>0</v>
      </c>
    </row>
    <row r="1537" spans="1:12">
      <c r="B1537" s="88" t="s">
        <v>25</v>
      </c>
      <c r="C1537" s="80"/>
      <c r="D1537" s="62"/>
      <c r="E1537" s="63"/>
      <c r="F1537" s="63"/>
      <c r="G1537" s="63"/>
      <c r="H1537" s="63"/>
      <c r="I1537" s="63"/>
      <c r="J1537" s="63"/>
      <c r="K1537" s="63">
        <v>1</v>
      </c>
      <c r="L1537" s="64"/>
    </row>
    <row r="1538" spans="1:12">
      <c r="B1538" s="88" t="s">
        <v>20</v>
      </c>
      <c r="C1538" s="80"/>
      <c r="D1538" s="54"/>
      <c r="E1538" s="55"/>
      <c r="F1538" s="55"/>
      <c r="G1538" s="55"/>
      <c r="H1538" s="55"/>
      <c r="I1538" s="55">
        <v>0</v>
      </c>
      <c r="J1538" s="55">
        <v>0</v>
      </c>
      <c r="K1538" s="55">
        <v>0.22164900000000001</v>
      </c>
      <c r="L1538" s="56">
        <v>0</v>
      </c>
    </row>
    <row r="1539" spans="1:12">
      <c r="B1539" s="85" t="s">
        <v>22</v>
      </c>
      <c r="C1539" s="86"/>
      <c r="D1539" s="41">
        <v>0</v>
      </c>
      <c r="E1539" s="41">
        <v>0</v>
      </c>
      <c r="F1539" s="41">
        <v>0</v>
      </c>
      <c r="G1539" s="41">
        <v>0</v>
      </c>
      <c r="H1539" s="41">
        <v>0</v>
      </c>
      <c r="I1539" s="41">
        <v>0</v>
      </c>
      <c r="J1539" s="41">
        <v>0</v>
      </c>
      <c r="K1539" s="385"/>
      <c r="L1539" s="41">
        <v>0</v>
      </c>
    </row>
    <row r="1540" spans="1:12">
      <c r="B1540" s="24"/>
      <c r="C1540" s="33"/>
      <c r="D1540" s="40"/>
      <c r="E1540" s="40"/>
      <c r="F1540" s="40"/>
      <c r="G1540" s="40"/>
      <c r="H1540" s="40"/>
      <c r="I1540" s="40"/>
      <c r="J1540" s="40"/>
      <c r="K1540" s="40"/>
      <c r="L1540" s="40"/>
    </row>
    <row r="1541" spans="1:12" ht="18.75">
      <c r="A1541" s="48" t="s">
        <v>119</v>
      </c>
      <c r="C1541" s="33"/>
      <c r="D1541" s="2">
        <v>2011</v>
      </c>
      <c r="E1541" s="2">
        <v>2012</v>
      </c>
      <c r="F1541" s="2">
        <v>2013</v>
      </c>
      <c r="G1541" s="2">
        <v>2014</v>
      </c>
      <c r="H1541" s="2">
        <v>2015</v>
      </c>
      <c r="I1541" s="2">
        <v>2016</v>
      </c>
      <c r="J1541" s="2">
        <v>2017</v>
      </c>
      <c r="K1541" s="2">
        <v>2018</v>
      </c>
      <c r="L1541" s="2">
        <v>2019</v>
      </c>
    </row>
    <row r="1542" spans="1:12">
      <c r="B1542" s="88" t="s">
        <v>10</v>
      </c>
      <c r="C1542" s="80"/>
      <c r="D1542" s="57">
        <v>0</v>
      </c>
      <c r="E1542" s="11">
        <v>0</v>
      </c>
      <c r="F1542" s="11">
        <v>0</v>
      </c>
      <c r="G1542" s="11">
        <v>0</v>
      </c>
      <c r="H1542" s="11">
        <v>0</v>
      </c>
      <c r="I1542" s="11">
        <v>0</v>
      </c>
      <c r="J1542" s="11">
        <v>0</v>
      </c>
      <c r="K1542" s="11">
        <v>0</v>
      </c>
      <c r="L1542" s="12">
        <v>0</v>
      </c>
    </row>
    <row r="1543" spans="1:12">
      <c r="B1543" s="88" t="s">
        <v>6</v>
      </c>
      <c r="C1543" s="80"/>
      <c r="D1543" s="58">
        <v>0</v>
      </c>
      <c r="E1543" s="59">
        <v>0</v>
      </c>
      <c r="F1543" s="59">
        <v>0</v>
      </c>
      <c r="G1543" s="59">
        <v>0</v>
      </c>
      <c r="H1543" s="59">
        <v>0</v>
      </c>
      <c r="I1543" s="59">
        <v>0</v>
      </c>
      <c r="J1543" s="59">
        <v>0</v>
      </c>
      <c r="K1543" s="59">
        <v>0</v>
      </c>
      <c r="L1543" s="60">
        <v>0</v>
      </c>
    </row>
    <row r="1544" spans="1:12">
      <c r="B1544" s="87" t="s">
        <v>121</v>
      </c>
      <c r="C1544" s="86"/>
      <c r="D1544" s="43">
        <v>0</v>
      </c>
      <c r="E1544" s="44">
        <v>0</v>
      </c>
      <c r="F1544" s="44">
        <v>0</v>
      </c>
      <c r="G1544" s="44">
        <v>0</v>
      </c>
      <c r="H1544" s="44">
        <v>0</v>
      </c>
      <c r="I1544" s="44">
        <v>0</v>
      </c>
      <c r="J1544" s="44">
        <v>0</v>
      </c>
      <c r="K1544" s="44">
        <v>0</v>
      </c>
      <c r="L1544" s="44">
        <v>0</v>
      </c>
    </row>
    <row r="1545" spans="1:12">
      <c r="B1545" s="33"/>
      <c r="C1545" s="33"/>
      <c r="D1545" s="42"/>
      <c r="E1545" s="34"/>
      <c r="F1545" s="34"/>
      <c r="G1545" s="34"/>
      <c r="H1545" s="34"/>
      <c r="I1545" s="34"/>
      <c r="J1545" s="34"/>
      <c r="K1545" s="34"/>
      <c r="L1545" s="34"/>
    </row>
    <row r="1546" spans="1:12" ht="18.75">
      <c r="A1546" s="45" t="s">
        <v>30</v>
      </c>
      <c r="C1546" s="33"/>
      <c r="D1546" s="2">
        <v>2011</v>
      </c>
      <c r="E1546" s="2">
        <v>2012</v>
      </c>
      <c r="F1546" s="2">
        <v>2013</v>
      </c>
      <c r="G1546" s="2">
        <v>2014</v>
      </c>
      <c r="H1546" s="2">
        <v>2015</v>
      </c>
      <c r="I1546" s="2">
        <v>2016</v>
      </c>
      <c r="J1546" s="2">
        <v>2017</v>
      </c>
      <c r="K1546" s="2">
        <v>2018</v>
      </c>
      <c r="L1546" s="2">
        <v>2019</v>
      </c>
    </row>
    <row r="1547" spans="1:12">
      <c r="B1547" s="88" t="s">
        <v>47</v>
      </c>
      <c r="C1547" s="80"/>
      <c r="D1547" s="98"/>
      <c r="E1547" s="99"/>
      <c r="F1547" s="99"/>
      <c r="G1547" s="99"/>
      <c r="H1547" s="99"/>
      <c r="I1547" s="99"/>
      <c r="J1547" s="99"/>
      <c r="K1547" s="99"/>
      <c r="L1547" s="100"/>
    </row>
    <row r="1548" spans="1:12">
      <c r="B1548" s="89" t="s">
        <v>23</v>
      </c>
      <c r="C1548" s="207"/>
      <c r="D1548" s="101"/>
      <c r="E1548" s="102"/>
      <c r="F1548" s="102"/>
      <c r="G1548" s="102"/>
      <c r="H1548" s="102"/>
      <c r="I1548" s="102"/>
      <c r="J1548" s="102"/>
      <c r="K1548" s="102"/>
      <c r="L1548" s="103"/>
    </row>
    <row r="1549" spans="1:12">
      <c r="B1549" s="104" t="s">
        <v>89</v>
      </c>
      <c r="C1549" s="205"/>
      <c r="D1549" s="65"/>
      <c r="E1549" s="66"/>
      <c r="F1549" s="66"/>
      <c r="G1549" s="66"/>
      <c r="H1549" s="66"/>
      <c r="I1549" s="66"/>
      <c r="J1549" s="66"/>
      <c r="K1549" s="66"/>
      <c r="L1549" s="67"/>
    </row>
    <row r="1550" spans="1:12">
      <c r="B1550" s="36" t="s">
        <v>90</v>
      </c>
      <c r="D1550" s="7">
        <v>0</v>
      </c>
      <c r="E1550" s="7">
        <v>0</v>
      </c>
      <c r="F1550" s="7">
        <v>0</v>
      </c>
      <c r="G1550" s="7">
        <v>0</v>
      </c>
      <c r="H1550" s="7">
        <v>0</v>
      </c>
      <c r="I1550" s="7">
        <v>0</v>
      </c>
      <c r="J1550" s="7">
        <v>0</v>
      </c>
      <c r="K1550" s="7">
        <v>0</v>
      </c>
      <c r="L1550" s="7">
        <v>0</v>
      </c>
    </row>
    <row r="1551" spans="1:12">
      <c r="B1551" s="6"/>
      <c r="D1551" s="7"/>
      <c r="E1551" s="7"/>
      <c r="F1551" s="7"/>
      <c r="G1551" s="31"/>
      <c r="H1551" s="31"/>
      <c r="I1551" s="31"/>
      <c r="J1551" s="31"/>
      <c r="K1551" s="31"/>
      <c r="L1551" s="31"/>
    </row>
    <row r="1552" spans="1:12" ht="18.75">
      <c r="A1552" s="9" t="s">
        <v>100</v>
      </c>
      <c r="D1552" s="2">
        <f>'Facility Detail'!$B$1752</f>
        <v>2011</v>
      </c>
      <c r="E1552" s="2">
        <f>D1552+1</f>
        <v>2012</v>
      </c>
      <c r="F1552" s="2">
        <f>E1552+1</f>
        <v>2013</v>
      </c>
      <c r="G1552" s="282">
        <f t="shared" ref="G1552" si="503">F1552+1</f>
        <v>2014</v>
      </c>
      <c r="H1552" s="282">
        <f t="shared" ref="H1552" si="504">G1552+1</f>
        <v>2015</v>
      </c>
      <c r="I1552" s="282">
        <f t="shared" ref="I1552" si="505">H1552+1</f>
        <v>2016</v>
      </c>
      <c r="J1552" s="282">
        <f t="shared" ref="J1552" si="506">I1552+1</f>
        <v>2017</v>
      </c>
      <c r="K1552" s="282">
        <f t="shared" ref="K1552:L1552" si="507">J1552+1</f>
        <v>2018</v>
      </c>
      <c r="L1552" s="282">
        <f t="shared" si="507"/>
        <v>2019</v>
      </c>
    </row>
    <row r="1553" spans="2:12">
      <c r="B1553" s="88" t="s">
        <v>68</v>
      </c>
      <c r="C1553" s="80"/>
      <c r="D1553" s="3"/>
      <c r="E1553" s="68">
        <f>D1553</f>
        <v>0</v>
      </c>
      <c r="F1553" s="152"/>
      <c r="G1553" s="152"/>
      <c r="H1553" s="152"/>
      <c r="I1553" s="152"/>
      <c r="J1553" s="152"/>
      <c r="K1553" s="152"/>
      <c r="L1553" s="69"/>
    </row>
    <row r="1554" spans="2:12">
      <c r="B1554" s="88" t="s">
        <v>69</v>
      </c>
      <c r="C1554" s="80"/>
      <c r="D1554" s="189">
        <f>E1554</f>
        <v>0</v>
      </c>
      <c r="E1554" s="10"/>
      <c r="F1554" s="83"/>
      <c r="G1554" s="83"/>
      <c r="H1554" s="83"/>
      <c r="I1554" s="83"/>
      <c r="J1554" s="83"/>
      <c r="K1554" s="83"/>
      <c r="L1554" s="190"/>
    </row>
    <row r="1555" spans="2:12">
      <c r="B1555" s="88" t="s">
        <v>70</v>
      </c>
      <c r="C1555" s="80"/>
      <c r="D1555" s="70"/>
      <c r="E1555" s="10">
        <f>E1539</f>
        <v>0</v>
      </c>
      <c r="F1555" s="79">
        <f>E1555</f>
        <v>0</v>
      </c>
      <c r="G1555" s="83"/>
      <c r="H1555" s="83"/>
      <c r="I1555" s="83"/>
      <c r="J1555" s="83"/>
      <c r="K1555" s="83"/>
      <c r="L1555" s="190"/>
    </row>
    <row r="1556" spans="2:12">
      <c r="B1556" s="88" t="s">
        <v>71</v>
      </c>
      <c r="C1556" s="80"/>
      <c r="D1556" s="70"/>
      <c r="E1556" s="79">
        <f>F1556</f>
        <v>0</v>
      </c>
      <c r="F1556" s="188"/>
      <c r="G1556" s="83"/>
      <c r="H1556" s="83"/>
      <c r="I1556" s="83"/>
      <c r="J1556" s="83"/>
      <c r="K1556" s="83"/>
      <c r="L1556" s="190"/>
    </row>
    <row r="1557" spans="2:12">
      <c r="B1557" s="88" t="s">
        <v>194</v>
      </c>
      <c r="C1557" s="33"/>
      <c r="D1557" s="70"/>
      <c r="E1557" s="172"/>
      <c r="F1557" s="10">
        <f>F1539</f>
        <v>0</v>
      </c>
      <c r="G1557" s="173">
        <f>F1557</f>
        <v>0</v>
      </c>
      <c r="H1557" s="83"/>
      <c r="I1557" s="83"/>
      <c r="J1557" s="83"/>
      <c r="K1557" s="83"/>
      <c r="L1557" s="190"/>
    </row>
    <row r="1558" spans="2:12">
      <c r="B1558" s="88" t="s">
        <v>195</v>
      </c>
      <c r="C1558" s="33"/>
      <c r="D1558" s="70"/>
      <c r="E1558" s="172"/>
      <c r="F1558" s="79">
        <f>G1558</f>
        <v>0</v>
      </c>
      <c r="G1558" s="10"/>
      <c r="H1558" s="83"/>
      <c r="I1558" s="83"/>
      <c r="J1558" s="83"/>
      <c r="K1558" s="83"/>
      <c r="L1558" s="190"/>
    </row>
    <row r="1559" spans="2:12">
      <c r="B1559" s="88" t="s">
        <v>196</v>
      </c>
      <c r="C1559" s="33"/>
      <c r="D1559" s="70"/>
      <c r="E1559" s="172"/>
      <c r="F1559" s="172"/>
      <c r="G1559" s="10">
        <f>G1539</f>
        <v>0</v>
      </c>
      <c r="H1559" s="173">
        <f>G1559</f>
        <v>0</v>
      </c>
      <c r="I1559" s="172"/>
      <c r="J1559" s="172"/>
      <c r="K1559" s="172"/>
      <c r="L1559" s="176"/>
    </row>
    <row r="1560" spans="2:12">
      <c r="B1560" s="88" t="s">
        <v>197</v>
      </c>
      <c r="C1560" s="33"/>
      <c r="D1560" s="70"/>
      <c r="E1560" s="172"/>
      <c r="F1560" s="172"/>
      <c r="G1560" s="174"/>
      <c r="H1560" s="175"/>
      <c r="I1560" s="172"/>
      <c r="J1560" s="172"/>
      <c r="K1560" s="172"/>
      <c r="L1560" s="176"/>
    </row>
    <row r="1561" spans="2:12">
      <c r="B1561" s="88" t="s">
        <v>198</v>
      </c>
      <c r="C1561" s="33"/>
      <c r="D1561" s="70"/>
      <c r="E1561" s="172"/>
      <c r="F1561" s="172"/>
      <c r="G1561" s="172"/>
      <c r="H1561" s="175">
        <v>0</v>
      </c>
      <c r="I1561" s="173">
        <f>H1561</f>
        <v>0</v>
      </c>
      <c r="J1561" s="83"/>
      <c r="K1561" s="172"/>
      <c r="L1561" s="176"/>
    </row>
    <row r="1562" spans="2:12">
      <c r="B1562" s="88" t="s">
        <v>199</v>
      </c>
      <c r="C1562" s="33"/>
      <c r="D1562" s="70"/>
      <c r="E1562" s="172"/>
      <c r="F1562" s="172"/>
      <c r="G1562" s="172"/>
      <c r="H1562" s="79"/>
      <c r="I1562" s="175"/>
      <c r="J1562" s="83"/>
      <c r="K1562" s="172"/>
      <c r="L1562" s="176"/>
    </row>
    <row r="1563" spans="2:12">
      <c r="B1563" s="88" t="s">
        <v>200</v>
      </c>
      <c r="C1563" s="33"/>
      <c r="D1563" s="70"/>
      <c r="E1563" s="172"/>
      <c r="F1563" s="172"/>
      <c r="G1563" s="172"/>
      <c r="H1563" s="172"/>
      <c r="I1563" s="175">
        <f>I1539</f>
        <v>0</v>
      </c>
      <c r="J1563" s="174">
        <f>I1563</f>
        <v>0</v>
      </c>
      <c r="K1563" s="172"/>
      <c r="L1563" s="176"/>
    </row>
    <row r="1564" spans="2:12">
      <c r="B1564" s="88" t="s">
        <v>191</v>
      </c>
      <c r="C1564" s="33"/>
      <c r="D1564" s="70"/>
      <c r="E1564" s="172"/>
      <c r="F1564" s="172"/>
      <c r="G1564" s="172"/>
      <c r="H1564" s="172"/>
      <c r="I1564" s="174"/>
      <c r="J1564" s="175"/>
      <c r="K1564" s="172"/>
      <c r="L1564" s="190"/>
    </row>
    <row r="1565" spans="2:12">
      <c r="B1565" s="88" t="s">
        <v>192</v>
      </c>
      <c r="C1565" s="33"/>
      <c r="D1565" s="70"/>
      <c r="E1565" s="172"/>
      <c r="F1565" s="172"/>
      <c r="G1565" s="172"/>
      <c r="H1565" s="172"/>
      <c r="I1565" s="172"/>
      <c r="J1565" s="175">
        <f>J1539</f>
        <v>0</v>
      </c>
      <c r="K1565" s="79">
        <f>J1565</f>
        <v>0</v>
      </c>
      <c r="L1565" s="176"/>
    </row>
    <row r="1566" spans="2:12">
      <c r="B1566" s="88" t="s">
        <v>226</v>
      </c>
      <c r="C1566" s="33"/>
      <c r="D1566" s="70"/>
      <c r="E1566" s="172"/>
      <c r="F1566" s="172"/>
      <c r="G1566" s="172"/>
      <c r="H1566" s="172"/>
      <c r="I1566" s="172"/>
      <c r="J1566" s="174"/>
      <c r="K1566" s="175"/>
      <c r="L1566" s="176"/>
    </row>
    <row r="1567" spans="2:12">
      <c r="B1567" s="88" t="s">
        <v>227</v>
      </c>
      <c r="C1567" s="33"/>
      <c r="D1567" s="71"/>
      <c r="E1567" s="154"/>
      <c r="F1567" s="154"/>
      <c r="G1567" s="154"/>
      <c r="H1567" s="154"/>
      <c r="I1567" s="154"/>
      <c r="J1567" s="154"/>
      <c r="K1567" s="177"/>
      <c r="L1567" s="332"/>
    </row>
    <row r="1568" spans="2:12">
      <c r="B1568" s="36" t="s">
        <v>17</v>
      </c>
      <c r="D1568" s="303">
        <f xml:space="preserve"> D1559 - D1558</f>
        <v>0</v>
      </c>
      <c r="E1568" s="303">
        <f xml:space="preserve"> E1558 + E1561 - E1560 - E1559</f>
        <v>0</v>
      </c>
      <c r="F1568" s="303">
        <f t="shared" ref="F1568:L1568" si="508" xml:space="preserve"> F1558 + F1561 - F1560 - F1559</f>
        <v>0</v>
      </c>
      <c r="G1568" s="303">
        <f t="shared" si="508"/>
        <v>0</v>
      </c>
      <c r="H1568" s="303">
        <f t="shared" si="508"/>
        <v>0</v>
      </c>
      <c r="I1568" s="303">
        <f t="shared" si="508"/>
        <v>0</v>
      </c>
      <c r="J1568" s="303">
        <f t="shared" si="508"/>
        <v>0</v>
      </c>
      <c r="K1568" s="303">
        <f t="shared" si="508"/>
        <v>0</v>
      </c>
      <c r="L1568" s="303">
        <f t="shared" si="508"/>
        <v>0</v>
      </c>
    </row>
    <row r="1569" spans="1:12">
      <c r="B1569" s="6"/>
      <c r="D1569" s="303"/>
      <c r="E1569" s="303"/>
      <c r="F1569" s="303"/>
      <c r="G1569" s="303"/>
      <c r="H1569" s="303"/>
      <c r="I1569" s="303"/>
      <c r="J1569" s="303"/>
      <c r="K1569" s="303"/>
      <c r="L1569" s="303"/>
    </row>
    <row r="1570" spans="1:12">
      <c r="B1570" s="85" t="s">
        <v>12</v>
      </c>
      <c r="C1570" s="80"/>
      <c r="D1570" s="304"/>
      <c r="E1570" s="305"/>
      <c r="F1570" s="305"/>
      <c r="G1570" s="305"/>
      <c r="H1570" s="305"/>
      <c r="I1570" s="305"/>
      <c r="J1570" s="305"/>
      <c r="K1570" s="305"/>
      <c r="L1570" s="306"/>
    </row>
    <row r="1571" spans="1:12">
      <c r="B1571" s="6"/>
      <c r="D1571" s="303"/>
      <c r="E1571" s="303"/>
      <c r="F1571" s="303"/>
      <c r="G1571" s="303"/>
      <c r="H1571" s="303"/>
      <c r="I1571" s="303"/>
      <c r="J1571" s="303"/>
      <c r="K1571" s="303"/>
      <c r="L1571" s="303"/>
    </row>
    <row r="1572" spans="1:12" ht="18.75">
      <c r="A1572" s="45" t="s">
        <v>26</v>
      </c>
      <c r="C1572" s="80"/>
      <c r="D1572" s="307">
        <f xml:space="preserve"> D1539 + D1544 - D1550 + D1568 + D1570</f>
        <v>0</v>
      </c>
      <c r="E1572" s="308">
        <f xml:space="preserve"> E1539 + E1544 - E1550 + E1568 + E1570</f>
        <v>0</v>
      </c>
      <c r="F1572" s="308">
        <f xml:space="preserve"> F1539 + F1544 - F1550 + F1568 + F1570</f>
        <v>0</v>
      </c>
      <c r="G1572" s="308">
        <f t="shared" ref="G1572:J1572" si="509" xml:space="preserve"> G1539 + G1544 - G1550 + G1568 + G1570</f>
        <v>0</v>
      </c>
      <c r="H1572" s="308">
        <f t="shared" si="509"/>
        <v>0</v>
      </c>
      <c r="I1572" s="308">
        <f t="shared" si="509"/>
        <v>0</v>
      </c>
      <c r="J1572" s="308">
        <f t="shared" si="509"/>
        <v>0</v>
      </c>
      <c r="K1572" s="383"/>
      <c r="L1572" s="309">
        <f t="shared" ref="L1572" si="510" xml:space="preserve"> L1539 + L1544 - L1550 + L1568 + L1570</f>
        <v>0</v>
      </c>
    </row>
    <row r="1573" spans="1:12" ht="15.75" thickBot="1"/>
    <row r="1574" spans="1:12">
      <c r="A1574" s="8"/>
      <c r="B1574" s="8"/>
      <c r="C1574" s="8"/>
      <c r="D1574" s="8"/>
      <c r="E1574" s="8"/>
      <c r="F1574" s="8"/>
      <c r="G1574" s="8"/>
      <c r="H1574" s="8"/>
      <c r="I1574" s="8"/>
      <c r="J1574" s="8"/>
      <c r="K1574" s="8"/>
      <c r="L1574" s="8"/>
    </row>
    <row r="1575" spans="1:12" ht="21">
      <c r="A1575" s="14" t="s">
        <v>4</v>
      </c>
      <c r="B1575" s="14"/>
      <c r="C1575" s="46" t="str">
        <f>B37</f>
        <v>Enterprise Solar</v>
      </c>
      <c r="D1575" s="47"/>
      <c r="E1575" s="24"/>
      <c r="F1575" s="24"/>
    </row>
    <row r="1577" spans="1:12" ht="18.75">
      <c r="A1577" s="9" t="s">
        <v>21</v>
      </c>
      <c r="B1577" s="9"/>
      <c r="D1577" s="2">
        <v>2011</v>
      </c>
      <c r="E1577" s="2">
        <v>2012</v>
      </c>
      <c r="F1577" s="2">
        <v>2013</v>
      </c>
      <c r="G1577" s="2">
        <v>2014</v>
      </c>
      <c r="H1577" s="2">
        <v>2015</v>
      </c>
      <c r="I1577" s="2">
        <v>2016</v>
      </c>
      <c r="J1577" s="2">
        <v>2017</v>
      </c>
      <c r="K1577" s="2">
        <v>2018</v>
      </c>
      <c r="L1577" s="2">
        <v>2019</v>
      </c>
    </row>
    <row r="1578" spans="1:12">
      <c r="B1578" s="88" t="str">
        <f>"Total MWh Produced / Purchased from " &amp; C1575</f>
        <v>Total MWh Produced / Purchased from Enterprise Solar</v>
      </c>
      <c r="C1578" s="80"/>
      <c r="D1578" s="3"/>
      <c r="E1578" s="4"/>
      <c r="F1578" s="4"/>
      <c r="G1578" s="4"/>
      <c r="H1578" s="4"/>
      <c r="I1578" s="4">
        <v>84577</v>
      </c>
      <c r="J1578" s="4">
        <v>224267</v>
      </c>
      <c r="K1578" s="381"/>
      <c r="L1578" s="5"/>
    </row>
    <row r="1579" spans="1:12">
      <c r="B1579" s="88" t="s">
        <v>25</v>
      </c>
      <c r="C1579" s="80"/>
      <c r="D1579" s="62"/>
      <c r="E1579" s="63"/>
      <c r="F1579" s="63"/>
      <c r="G1579" s="63"/>
      <c r="H1579" s="63"/>
      <c r="I1579" s="63">
        <v>1</v>
      </c>
      <c r="J1579" s="63">
        <v>1</v>
      </c>
      <c r="K1579" s="63">
        <v>1</v>
      </c>
      <c r="L1579" s="64"/>
    </row>
    <row r="1580" spans="1:12">
      <c r="B1580" s="88" t="s">
        <v>20</v>
      </c>
      <c r="C1580" s="80"/>
      <c r="D1580" s="54"/>
      <c r="E1580" s="55"/>
      <c r="F1580" s="55"/>
      <c r="G1580" s="55"/>
      <c r="H1580" s="55"/>
      <c r="I1580" s="55">
        <v>0.22741888098063476</v>
      </c>
      <c r="J1580" s="55">
        <v>0.22498369104255439</v>
      </c>
      <c r="K1580" s="55">
        <v>0.22164900000000001</v>
      </c>
      <c r="L1580" s="56"/>
    </row>
    <row r="1581" spans="1:12">
      <c r="B1581" s="85" t="s">
        <v>22</v>
      </c>
      <c r="C1581" s="86"/>
      <c r="D1581" s="41">
        <v>0</v>
      </c>
      <c r="E1581" s="41">
        <v>0</v>
      </c>
      <c r="F1581" s="41">
        <v>0</v>
      </c>
      <c r="G1581" s="41">
        <v>0</v>
      </c>
      <c r="H1581" s="41">
        <v>0</v>
      </c>
      <c r="I1581" s="41">
        <f>I1578*I1580</f>
        <v>19234.406696699145</v>
      </c>
      <c r="J1581" s="41">
        <v>50456</v>
      </c>
      <c r="K1581" s="380"/>
      <c r="L1581" s="41"/>
    </row>
    <row r="1582" spans="1:12">
      <c r="B1582" s="24"/>
      <c r="C1582" s="33"/>
      <c r="D1582" s="40"/>
      <c r="E1582" s="40"/>
      <c r="F1582" s="40"/>
      <c r="G1582" s="40"/>
      <c r="H1582" s="40"/>
      <c r="I1582" s="40"/>
      <c r="J1582" s="40"/>
      <c r="K1582" s="40"/>
      <c r="L1582" s="40"/>
    </row>
    <row r="1583" spans="1:12" ht="18.75">
      <c r="A1583" s="48" t="s">
        <v>119</v>
      </c>
      <c r="C1583" s="33"/>
      <c r="D1583" s="2">
        <v>2011</v>
      </c>
      <c r="E1583" s="2">
        <v>2012</v>
      </c>
      <c r="F1583" s="2">
        <v>2013</v>
      </c>
      <c r="G1583" s="2">
        <v>2014</v>
      </c>
      <c r="H1583" s="2">
        <v>2015</v>
      </c>
      <c r="I1583" s="2">
        <v>2016</v>
      </c>
      <c r="J1583" s="2">
        <v>2017</v>
      </c>
      <c r="K1583" s="2">
        <v>2018</v>
      </c>
      <c r="L1583" s="2">
        <v>2019</v>
      </c>
    </row>
    <row r="1584" spans="1:12">
      <c r="B1584" s="88" t="s">
        <v>10</v>
      </c>
      <c r="C1584" s="80"/>
      <c r="D1584" s="57">
        <v>0</v>
      </c>
      <c r="E1584" s="11">
        <v>0</v>
      </c>
      <c r="F1584" s="11">
        <v>0</v>
      </c>
      <c r="G1584" s="11">
        <v>0</v>
      </c>
      <c r="H1584" s="11">
        <v>0</v>
      </c>
      <c r="I1584" s="11">
        <v>0</v>
      </c>
      <c r="J1584" s="11">
        <v>0</v>
      </c>
      <c r="K1584" s="11">
        <v>0</v>
      </c>
      <c r="L1584" s="12"/>
    </row>
    <row r="1585" spans="1:12">
      <c r="B1585" s="88" t="s">
        <v>6</v>
      </c>
      <c r="C1585" s="80"/>
      <c r="D1585" s="58">
        <v>0</v>
      </c>
      <c r="E1585" s="59">
        <v>0</v>
      </c>
      <c r="F1585" s="59">
        <v>0</v>
      </c>
      <c r="G1585" s="59">
        <v>0</v>
      </c>
      <c r="H1585" s="59">
        <v>0</v>
      </c>
      <c r="I1585" s="59">
        <v>0</v>
      </c>
      <c r="J1585" s="59">
        <v>0</v>
      </c>
      <c r="K1585" s="59">
        <v>0</v>
      </c>
      <c r="L1585" s="60"/>
    </row>
    <row r="1586" spans="1:12">
      <c r="B1586" s="87" t="s">
        <v>121</v>
      </c>
      <c r="C1586" s="86"/>
      <c r="D1586" s="43">
        <v>0</v>
      </c>
      <c r="E1586" s="44">
        <v>0</v>
      </c>
      <c r="F1586" s="44">
        <v>0</v>
      </c>
      <c r="G1586" s="44">
        <v>0</v>
      </c>
      <c r="H1586" s="44">
        <v>0</v>
      </c>
      <c r="I1586" s="44">
        <v>0</v>
      </c>
      <c r="J1586" s="44">
        <v>0</v>
      </c>
      <c r="K1586" s="44">
        <v>0</v>
      </c>
      <c r="L1586" s="44"/>
    </row>
    <row r="1587" spans="1:12">
      <c r="B1587" s="33"/>
      <c r="C1587" s="33"/>
      <c r="D1587" s="42"/>
      <c r="E1587" s="34"/>
      <c r="F1587" s="34"/>
      <c r="G1587" s="34"/>
      <c r="H1587" s="34"/>
      <c r="I1587" s="34"/>
      <c r="J1587" s="34"/>
      <c r="K1587" s="34"/>
      <c r="L1587" s="34"/>
    </row>
    <row r="1588" spans="1:12" ht="18.75">
      <c r="A1588" s="45" t="s">
        <v>30</v>
      </c>
      <c r="C1588" s="33"/>
      <c r="D1588" s="2">
        <v>2011</v>
      </c>
      <c r="E1588" s="2">
        <v>2012</v>
      </c>
      <c r="F1588" s="2">
        <v>2013</v>
      </c>
      <c r="G1588" s="2">
        <v>2014</v>
      </c>
      <c r="H1588" s="2">
        <v>2015</v>
      </c>
      <c r="I1588" s="2">
        <v>2016</v>
      </c>
      <c r="J1588" s="2">
        <v>2017</v>
      </c>
      <c r="K1588" s="2">
        <v>2018</v>
      </c>
      <c r="L1588" s="2">
        <v>2019</v>
      </c>
    </row>
    <row r="1589" spans="1:12">
      <c r="B1589" s="88" t="s">
        <v>47</v>
      </c>
      <c r="C1589" s="80"/>
      <c r="D1589" s="98"/>
      <c r="E1589" s="99"/>
      <c r="F1589" s="99"/>
      <c r="G1589" s="99"/>
      <c r="H1589" s="99"/>
      <c r="I1589" s="99"/>
      <c r="J1589" s="99"/>
      <c r="K1589" s="99"/>
      <c r="L1589" s="99"/>
    </row>
    <row r="1590" spans="1:12">
      <c r="B1590" s="89" t="s">
        <v>23</v>
      </c>
      <c r="C1590" s="207"/>
      <c r="D1590" s="101"/>
      <c r="E1590" s="102"/>
      <c r="F1590" s="102"/>
      <c r="G1590" s="102"/>
      <c r="H1590" s="102"/>
      <c r="I1590" s="102"/>
      <c r="J1590" s="102"/>
      <c r="K1590" s="102"/>
      <c r="L1590" s="102"/>
    </row>
    <row r="1591" spans="1:12">
      <c r="B1591" s="104" t="s">
        <v>89</v>
      </c>
      <c r="C1591" s="205"/>
      <c r="D1591" s="65"/>
      <c r="E1591" s="66"/>
      <c r="F1591" s="66"/>
      <c r="G1591" s="66"/>
      <c r="H1591" s="66"/>
      <c r="I1591" s="66"/>
      <c r="J1591" s="66"/>
      <c r="K1591" s="66"/>
      <c r="L1591" s="66"/>
    </row>
    <row r="1592" spans="1:12">
      <c r="B1592" s="36" t="s">
        <v>90</v>
      </c>
      <c r="D1592" s="7">
        <v>0</v>
      </c>
      <c r="E1592" s="7">
        <v>0</v>
      </c>
      <c r="F1592" s="7">
        <v>0</v>
      </c>
      <c r="G1592" s="7">
        <v>0</v>
      </c>
      <c r="H1592" s="7">
        <v>0</v>
      </c>
      <c r="I1592" s="7">
        <v>0</v>
      </c>
      <c r="J1592" s="7">
        <v>0</v>
      </c>
      <c r="K1592" s="7">
        <v>0</v>
      </c>
      <c r="L1592" s="7">
        <v>0</v>
      </c>
    </row>
    <row r="1593" spans="1:12">
      <c r="B1593" s="6"/>
      <c r="D1593" s="7"/>
      <c r="E1593" s="7"/>
      <c r="F1593" s="7"/>
      <c r="G1593" s="31"/>
      <c r="H1593" s="31"/>
      <c r="I1593" s="31"/>
      <c r="J1593" s="31"/>
      <c r="K1593" s="31"/>
      <c r="L1593" s="31"/>
    </row>
    <row r="1594" spans="1:12" ht="18.75">
      <c r="A1594" s="9" t="s">
        <v>100</v>
      </c>
      <c r="D1594" s="2">
        <f>'Facility Detail'!$B$1752</f>
        <v>2011</v>
      </c>
      <c r="E1594" s="2">
        <f>D1594+1</f>
        <v>2012</v>
      </c>
      <c r="F1594" s="2">
        <f>E1594+1</f>
        <v>2013</v>
      </c>
      <c r="G1594" s="282">
        <f t="shared" ref="G1594" si="511">F1594+1</f>
        <v>2014</v>
      </c>
      <c r="H1594" s="282">
        <f t="shared" ref="H1594" si="512">G1594+1</f>
        <v>2015</v>
      </c>
      <c r="I1594" s="282">
        <f t="shared" ref="I1594" si="513">H1594+1</f>
        <v>2016</v>
      </c>
      <c r="J1594" s="282">
        <f t="shared" ref="J1594" si="514">I1594+1</f>
        <v>2017</v>
      </c>
      <c r="K1594" s="282">
        <f t="shared" ref="K1594" si="515">J1594+1</f>
        <v>2018</v>
      </c>
      <c r="L1594" s="282">
        <v>2019</v>
      </c>
    </row>
    <row r="1595" spans="1:12">
      <c r="B1595" s="88" t="s">
        <v>68</v>
      </c>
      <c r="C1595" s="80"/>
      <c r="D1595" s="3"/>
      <c r="E1595" s="68">
        <f>D1595</f>
        <v>0</v>
      </c>
      <c r="F1595" s="152"/>
      <c r="G1595" s="152"/>
      <c r="H1595" s="152"/>
      <c r="I1595" s="152"/>
      <c r="J1595" s="152"/>
      <c r="K1595" s="152"/>
      <c r="L1595" s="69"/>
    </row>
    <row r="1596" spans="1:12">
      <c r="B1596" s="88" t="s">
        <v>69</v>
      </c>
      <c r="C1596" s="80"/>
      <c r="D1596" s="189">
        <f>E1596</f>
        <v>0</v>
      </c>
      <c r="E1596" s="10"/>
      <c r="F1596" s="83"/>
      <c r="G1596" s="83"/>
      <c r="H1596" s="83"/>
      <c r="I1596" s="83"/>
      <c r="J1596" s="83"/>
      <c r="K1596" s="83"/>
      <c r="L1596" s="190"/>
    </row>
    <row r="1597" spans="1:12">
      <c r="B1597" s="88" t="s">
        <v>70</v>
      </c>
      <c r="C1597" s="80"/>
      <c r="D1597" s="70"/>
      <c r="E1597" s="10">
        <f>E1581</f>
        <v>0</v>
      </c>
      <c r="F1597" s="79">
        <f>E1597</f>
        <v>0</v>
      </c>
      <c r="G1597" s="83"/>
      <c r="H1597" s="83"/>
      <c r="I1597" s="83"/>
      <c r="J1597" s="83"/>
      <c r="K1597" s="83"/>
      <c r="L1597" s="190"/>
    </row>
    <row r="1598" spans="1:12">
      <c r="B1598" s="88" t="s">
        <v>71</v>
      </c>
      <c r="C1598" s="80"/>
      <c r="D1598" s="70"/>
      <c r="E1598" s="79">
        <f>F1598</f>
        <v>0</v>
      </c>
      <c r="F1598" s="188"/>
      <c r="G1598" s="83"/>
      <c r="H1598" s="83"/>
      <c r="I1598" s="83"/>
      <c r="J1598" s="83"/>
      <c r="K1598" s="83"/>
      <c r="L1598" s="190"/>
    </row>
    <row r="1599" spans="1:12">
      <c r="B1599" s="88" t="s">
        <v>194</v>
      </c>
      <c r="C1599" s="33"/>
      <c r="D1599" s="70"/>
      <c r="E1599" s="172"/>
      <c r="F1599" s="10">
        <f>F1581</f>
        <v>0</v>
      </c>
      <c r="G1599" s="173">
        <f>F1599</f>
        <v>0</v>
      </c>
      <c r="H1599" s="83"/>
      <c r="I1599" s="83"/>
      <c r="J1599" s="83"/>
      <c r="K1599" s="83"/>
      <c r="L1599" s="190"/>
    </row>
    <row r="1600" spans="1:12">
      <c r="B1600" s="88" t="s">
        <v>195</v>
      </c>
      <c r="C1600" s="33"/>
      <c r="D1600" s="70"/>
      <c r="E1600" s="172"/>
      <c r="F1600" s="79">
        <f>G1600</f>
        <v>0</v>
      </c>
      <c r="G1600" s="10"/>
      <c r="H1600" s="83"/>
      <c r="I1600" s="83"/>
      <c r="J1600" s="83"/>
      <c r="K1600" s="83"/>
      <c r="L1600" s="190"/>
    </row>
    <row r="1601" spans="1:12">
      <c r="B1601" s="88" t="s">
        <v>196</v>
      </c>
      <c r="C1601" s="33"/>
      <c r="D1601" s="70"/>
      <c r="E1601" s="172"/>
      <c r="F1601" s="172"/>
      <c r="G1601" s="10">
        <f>G1581</f>
        <v>0</v>
      </c>
      <c r="H1601" s="173">
        <f>G1601</f>
        <v>0</v>
      </c>
      <c r="I1601" s="172"/>
      <c r="J1601" s="172"/>
      <c r="K1601" s="172"/>
      <c r="L1601" s="176"/>
    </row>
    <row r="1602" spans="1:12">
      <c r="B1602" s="88" t="s">
        <v>197</v>
      </c>
      <c r="C1602" s="33"/>
      <c r="D1602" s="70"/>
      <c r="E1602" s="172"/>
      <c r="F1602" s="172"/>
      <c r="G1602" s="174"/>
      <c r="H1602" s="175"/>
      <c r="I1602" s="172"/>
      <c r="J1602" s="172"/>
      <c r="K1602" s="172"/>
      <c r="L1602" s="176"/>
    </row>
    <row r="1603" spans="1:12">
      <c r="B1603" s="88" t="s">
        <v>198</v>
      </c>
      <c r="C1603" s="33"/>
      <c r="D1603" s="70"/>
      <c r="E1603" s="172"/>
      <c r="F1603" s="172"/>
      <c r="G1603" s="172"/>
      <c r="H1603" s="175">
        <v>0</v>
      </c>
      <c r="I1603" s="173">
        <f>H1603</f>
        <v>0</v>
      </c>
      <c r="J1603" s="83"/>
      <c r="K1603" s="172"/>
      <c r="L1603" s="176"/>
    </row>
    <row r="1604" spans="1:12">
      <c r="B1604" s="88" t="s">
        <v>199</v>
      </c>
      <c r="C1604" s="33"/>
      <c r="D1604" s="70"/>
      <c r="E1604" s="172"/>
      <c r="F1604" s="172"/>
      <c r="G1604" s="172"/>
      <c r="H1604" s="79"/>
      <c r="I1604" s="175"/>
      <c r="J1604" s="83"/>
      <c r="K1604" s="172"/>
      <c r="L1604" s="176"/>
    </row>
    <row r="1605" spans="1:12">
      <c r="B1605" s="88" t="s">
        <v>200</v>
      </c>
      <c r="C1605" s="33"/>
      <c r="D1605" s="70"/>
      <c r="E1605" s="172"/>
      <c r="F1605" s="172"/>
      <c r="G1605" s="172"/>
      <c r="H1605" s="172"/>
      <c r="I1605" s="175">
        <f>I1581</f>
        <v>19234.406696699145</v>
      </c>
      <c r="J1605" s="174">
        <f>I1605</f>
        <v>19234.406696699145</v>
      </c>
      <c r="K1605" s="172"/>
      <c r="L1605" s="176"/>
    </row>
    <row r="1606" spans="1:12">
      <c r="B1606" s="88" t="s">
        <v>191</v>
      </c>
      <c r="C1606" s="33"/>
      <c r="D1606" s="70"/>
      <c r="E1606" s="172"/>
      <c r="F1606" s="172"/>
      <c r="G1606" s="172"/>
      <c r="H1606" s="172"/>
      <c r="I1606" s="174"/>
      <c r="J1606" s="175"/>
      <c r="K1606" s="172"/>
      <c r="L1606" s="190"/>
    </row>
    <row r="1607" spans="1:12">
      <c r="B1607" s="88" t="s">
        <v>192</v>
      </c>
      <c r="C1607" s="33"/>
      <c r="D1607" s="70"/>
      <c r="E1607" s="172"/>
      <c r="F1607" s="172"/>
      <c r="G1607" s="172"/>
      <c r="H1607" s="172"/>
      <c r="I1607" s="172"/>
      <c r="J1607" s="175">
        <f>J1581</f>
        <v>50456</v>
      </c>
      <c r="K1607" s="79">
        <f>J1607</f>
        <v>50456</v>
      </c>
      <c r="L1607" s="176"/>
    </row>
    <row r="1608" spans="1:12">
      <c r="B1608" s="88" t="s">
        <v>226</v>
      </c>
      <c r="C1608" s="33"/>
      <c r="D1608" s="70"/>
      <c r="E1608" s="172"/>
      <c r="F1608" s="172"/>
      <c r="G1608" s="172"/>
      <c r="H1608" s="172"/>
      <c r="I1608" s="172"/>
      <c r="J1608" s="174"/>
      <c r="K1608" s="175"/>
      <c r="L1608" s="176"/>
    </row>
    <row r="1609" spans="1:12">
      <c r="B1609" s="88" t="s">
        <v>227</v>
      </c>
      <c r="C1609" s="33"/>
      <c r="D1609" s="71"/>
      <c r="E1609" s="154"/>
      <c r="F1609" s="154"/>
      <c r="G1609" s="154"/>
      <c r="H1609" s="154"/>
      <c r="I1609" s="154"/>
      <c r="J1609" s="154"/>
      <c r="K1609" s="377"/>
      <c r="L1609" s="378"/>
    </row>
    <row r="1610" spans="1:12">
      <c r="B1610" s="36" t="s">
        <v>17</v>
      </c>
      <c r="D1610" s="303">
        <f xml:space="preserve"> D1601 - D1600</f>
        <v>0</v>
      </c>
      <c r="E1610" s="303">
        <f xml:space="preserve"> E1600 + E1603 - E1602 - E1601</f>
        <v>0</v>
      </c>
      <c r="F1610" s="303">
        <f>F1602 - F1603</f>
        <v>0</v>
      </c>
      <c r="G1610" s="303">
        <f t="shared" ref="G1610" si="516">G1602 - G1603</f>
        <v>0</v>
      </c>
      <c r="H1610" s="303">
        <f>H1601-H1602-H1603</f>
        <v>0</v>
      </c>
      <c r="I1610" s="303">
        <f>I1603-I1604-I1605</f>
        <v>-19234.406696699145</v>
      </c>
      <c r="J1610" s="303">
        <f>J1605-J1606-J1607</f>
        <v>-31221.593303300855</v>
      </c>
      <c r="K1610" s="379"/>
      <c r="L1610" s="379"/>
    </row>
    <row r="1611" spans="1:12">
      <c r="B1611" s="6"/>
      <c r="D1611" s="303"/>
      <c r="E1611" s="303"/>
      <c r="F1611" s="303"/>
      <c r="G1611" s="303"/>
      <c r="H1611" s="303"/>
      <c r="I1611" s="303"/>
      <c r="J1611" s="303"/>
      <c r="K1611" s="303"/>
      <c r="L1611" s="303"/>
    </row>
    <row r="1612" spans="1:12">
      <c r="B1612" s="85" t="s">
        <v>12</v>
      </c>
      <c r="C1612" s="80"/>
      <c r="D1612" s="304"/>
      <c r="E1612" s="305"/>
      <c r="F1612" s="305"/>
      <c r="G1612" s="305"/>
      <c r="H1612" s="305"/>
      <c r="I1612" s="305"/>
      <c r="J1612" s="305"/>
      <c r="K1612" s="305"/>
      <c r="L1612" s="306"/>
    </row>
    <row r="1613" spans="1:12">
      <c r="B1613" s="6"/>
      <c r="D1613" s="303"/>
      <c r="E1613" s="303"/>
      <c r="F1613" s="303"/>
      <c r="G1613" s="303"/>
      <c r="H1613" s="303"/>
      <c r="I1613" s="303"/>
      <c r="J1613" s="303"/>
      <c r="K1613" s="303"/>
      <c r="L1613" s="303"/>
    </row>
    <row r="1614" spans="1:12" ht="18.75">
      <c r="A1614" s="45" t="s">
        <v>26</v>
      </c>
      <c r="C1614" s="80"/>
      <c r="D1614" s="307">
        <f xml:space="preserve"> D1581 + D1586 - D1592 + D1610 + D1612</f>
        <v>0</v>
      </c>
      <c r="E1614" s="308">
        <f xml:space="preserve"> E1581 + E1586 - E1592 + E1610 + E1612</f>
        <v>0</v>
      </c>
      <c r="F1614" s="308">
        <f xml:space="preserve"> F1581 + F1586 - F1592 + F1610 + F1612</f>
        <v>0</v>
      </c>
      <c r="G1614" s="308">
        <f t="shared" ref="G1614:J1614" si="517" xml:space="preserve"> G1581 + G1586 - G1592 + G1610 + G1612</f>
        <v>0</v>
      </c>
      <c r="H1614" s="308">
        <f t="shared" si="517"/>
        <v>0</v>
      </c>
      <c r="I1614" s="308">
        <f t="shared" si="517"/>
        <v>0</v>
      </c>
      <c r="J1614" s="308">
        <f t="shared" si="517"/>
        <v>19234.406696699145</v>
      </c>
      <c r="K1614" s="308">
        <v>50456</v>
      </c>
      <c r="L1614" s="384"/>
    </row>
    <row r="1615" spans="1:12" ht="15.75" thickBot="1"/>
    <row r="1616" spans="1:12">
      <c r="A1616" s="8"/>
      <c r="B1616" s="8"/>
      <c r="C1616" s="8"/>
      <c r="D1616" s="8"/>
      <c r="E1616" s="8"/>
      <c r="F1616" s="8"/>
      <c r="G1616" s="8"/>
      <c r="H1616" s="8"/>
      <c r="I1616" s="8"/>
      <c r="J1616" s="8"/>
      <c r="K1616" s="8"/>
      <c r="L1616" s="8"/>
    </row>
    <row r="1617" spans="1:12" ht="21">
      <c r="A1617" s="14" t="s">
        <v>4</v>
      </c>
      <c r="B1617" s="14"/>
      <c r="C1617" s="46" t="str">
        <f>B38</f>
        <v>Pavant Solar</v>
      </c>
      <c r="D1617" s="47"/>
      <c r="E1617" s="24"/>
      <c r="F1617" s="24"/>
    </row>
    <row r="1618" spans="1:12">
      <c r="I1618" s="13"/>
    </row>
    <row r="1619" spans="1:12" ht="18.75">
      <c r="A1619" s="9" t="s">
        <v>21</v>
      </c>
      <c r="B1619" s="9"/>
      <c r="D1619" s="2">
        <v>2011</v>
      </c>
      <c r="E1619" s="2">
        <v>2012</v>
      </c>
      <c r="F1619" s="2">
        <v>2013</v>
      </c>
      <c r="G1619" s="2">
        <v>2014</v>
      </c>
      <c r="H1619" s="2">
        <v>2015</v>
      </c>
      <c r="I1619" s="2">
        <v>2016</v>
      </c>
      <c r="J1619" s="2">
        <v>2017</v>
      </c>
      <c r="K1619" s="2">
        <v>2018</v>
      </c>
      <c r="L1619" s="2">
        <v>2019</v>
      </c>
    </row>
    <row r="1620" spans="1:12">
      <c r="B1620" s="88" t="str">
        <f>"Total MWh Produced / Purchased from " &amp; C1617</f>
        <v>Total MWh Produced / Purchased from Pavant Solar</v>
      </c>
      <c r="C1620" s="80"/>
      <c r="D1620" s="3"/>
      <c r="E1620" s="4"/>
      <c r="F1620" s="4"/>
      <c r="G1620" s="4"/>
      <c r="H1620" s="4">
        <v>1391</v>
      </c>
      <c r="I1620" s="4">
        <v>109951</v>
      </c>
      <c r="J1620" s="4">
        <v>118002</v>
      </c>
      <c r="K1620" s="381"/>
      <c r="L1620" s="5"/>
    </row>
    <row r="1621" spans="1:12">
      <c r="B1621" s="88" t="s">
        <v>25</v>
      </c>
      <c r="C1621" s="80"/>
      <c r="D1621" s="62"/>
      <c r="E1621" s="63"/>
      <c r="F1621" s="63"/>
      <c r="G1621" s="63"/>
      <c r="H1621" s="63"/>
      <c r="I1621" s="63">
        <v>1</v>
      </c>
      <c r="J1621" s="63">
        <v>1</v>
      </c>
      <c r="K1621" s="63">
        <v>1</v>
      </c>
      <c r="L1621" s="64"/>
    </row>
    <row r="1622" spans="1:12">
      <c r="B1622" s="88" t="s">
        <v>20</v>
      </c>
      <c r="C1622" s="80"/>
      <c r="D1622" s="54"/>
      <c r="E1622" s="55"/>
      <c r="F1622" s="55"/>
      <c r="G1622" s="55"/>
      <c r="H1622" s="55">
        <v>0.22597768807094501</v>
      </c>
      <c r="I1622" s="55">
        <v>0.22741888098063476</v>
      </c>
      <c r="J1622" s="55">
        <v>0.22498369104255439</v>
      </c>
      <c r="K1622" s="55">
        <v>0.22164900000000001</v>
      </c>
      <c r="L1622" s="56"/>
    </row>
    <row r="1623" spans="1:12">
      <c r="B1623" s="85" t="s">
        <v>22</v>
      </c>
      <c r="C1623" s="86"/>
      <c r="D1623" s="41">
        <v>0</v>
      </c>
      <c r="E1623" s="41">
        <v>0</v>
      </c>
      <c r="F1623" s="41">
        <v>0</v>
      </c>
      <c r="G1623" s="41">
        <v>0</v>
      </c>
      <c r="H1623" s="41">
        <v>316</v>
      </c>
      <c r="I1623" s="346">
        <f>20648+4355</f>
        <v>25003</v>
      </c>
      <c r="J1623" s="346">
        <v>26549</v>
      </c>
      <c r="K1623" s="382"/>
      <c r="L1623" s="346">
        <v>0</v>
      </c>
    </row>
    <row r="1624" spans="1:12">
      <c r="B1624" s="24"/>
      <c r="C1624" s="33"/>
      <c r="D1624" s="40"/>
      <c r="E1624" s="40"/>
      <c r="F1624" s="40"/>
      <c r="G1624" s="40"/>
      <c r="H1624" s="40"/>
      <c r="I1624" s="40"/>
      <c r="J1624" s="40"/>
      <c r="K1624" s="40"/>
      <c r="L1624" s="40"/>
    </row>
    <row r="1625" spans="1:12" ht="18.75">
      <c r="A1625" s="48" t="s">
        <v>119</v>
      </c>
      <c r="C1625" s="33"/>
      <c r="D1625" s="2">
        <v>2011</v>
      </c>
      <c r="E1625" s="2">
        <v>2012</v>
      </c>
      <c r="F1625" s="2">
        <v>2013</v>
      </c>
      <c r="G1625" s="2">
        <v>2014</v>
      </c>
      <c r="H1625" s="2">
        <v>2015</v>
      </c>
      <c r="I1625" s="2">
        <v>2016</v>
      </c>
      <c r="J1625" s="2">
        <v>2017</v>
      </c>
      <c r="K1625" s="2">
        <v>2018</v>
      </c>
      <c r="L1625" s="2">
        <v>2019</v>
      </c>
    </row>
    <row r="1626" spans="1:12">
      <c r="B1626" s="88" t="s">
        <v>10</v>
      </c>
      <c r="C1626" s="80"/>
      <c r="D1626" s="57">
        <v>0</v>
      </c>
      <c r="E1626" s="11">
        <v>0</v>
      </c>
      <c r="F1626" s="11">
        <v>0</v>
      </c>
      <c r="G1626" s="11">
        <v>0</v>
      </c>
      <c r="H1626" s="11">
        <v>0</v>
      </c>
      <c r="I1626" s="11">
        <v>0</v>
      </c>
      <c r="J1626" s="11">
        <v>0</v>
      </c>
      <c r="K1626" s="11">
        <v>0</v>
      </c>
      <c r="L1626" s="12"/>
    </row>
    <row r="1627" spans="1:12">
      <c r="B1627" s="88" t="s">
        <v>6</v>
      </c>
      <c r="C1627" s="80"/>
      <c r="D1627" s="58">
        <v>0</v>
      </c>
      <c r="E1627" s="59">
        <v>0</v>
      </c>
      <c r="F1627" s="59">
        <v>0</v>
      </c>
      <c r="G1627" s="59">
        <v>0</v>
      </c>
      <c r="H1627" s="59">
        <v>0</v>
      </c>
      <c r="I1627" s="59">
        <v>0</v>
      </c>
      <c r="J1627" s="59">
        <v>0</v>
      </c>
      <c r="K1627" s="59">
        <v>0</v>
      </c>
      <c r="L1627" s="60"/>
    </row>
    <row r="1628" spans="1:12">
      <c r="B1628" s="87" t="s">
        <v>121</v>
      </c>
      <c r="C1628" s="86"/>
      <c r="D1628" s="43">
        <v>0</v>
      </c>
      <c r="E1628" s="44">
        <v>0</v>
      </c>
      <c r="F1628" s="44">
        <v>0</v>
      </c>
      <c r="G1628" s="44">
        <v>0</v>
      </c>
      <c r="H1628" s="44">
        <v>0</v>
      </c>
      <c r="I1628" s="44">
        <v>0</v>
      </c>
      <c r="J1628" s="44">
        <v>0</v>
      </c>
      <c r="K1628" s="44">
        <v>0</v>
      </c>
      <c r="L1628" s="44">
        <v>0</v>
      </c>
    </row>
    <row r="1629" spans="1:12">
      <c r="B1629" s="33"/>
      <c r="C1629" s="33"/>
      <c r="D1629" s="42"/>
      <c r="E1629" s="34"/>
      <c r="F1629" s="34"/>
      <c r="G1629" s="34"/>
      <c r="H1629" s="34"/>
      <c r="I1629" s="34"/>
      <c r="J1629" s="34"/>
      <c r="K1629" s="34"/>
      <c r="L1629" s="34"/>
    </row>
    <row r="1630" spans="1:12" ht="18.75">
      <c r="A1630" s="45" t="s">
        <v>30</v>
      </c>
      <c r="C1630" s="33"/>
      <c r="D1630" s="2">
        <v>2011</v>
      </c>
      <c r="E1630" s="2">
        <v>2012</v>
      </c>
      <c r="F1630" s="2">
        <v>2013</v>
      </c>
      <c r="G1630" s="2">
        <v>2014</v>
      </c>
      <c r="H1630" s="2">
        <v>2015</v>
      </c>
      <c r="I1630" s="2">
        <v>2016</v>
      </c>
      <c r="J1630" s="2">
        <v>2017</v>
      </c>
      <c r="K1630" s="2">
        <v>2018</v>
      </c>
      <c r="L1630" s="2">
        <v>2019</v>
      </c>
    </row>
    <row r="1631" spans="1:12">
      <c r="B1631" s="88" t="s">
        <v>47</v>
      </c>
      <c r="C1631" s="80"/>
      <c r="D1631" s="98"/>
      <c r="E1631" s="99"/>
      <c r="F1631" s="99"/>
      <c r="G1631" s="99"/>
      <c r="H1631" s="99"/>
      <c r="I1631" s="99"/>
      <c r="J1631" s="99"/>
      <c r="K1631" s="99"/>
      <c r="L1631" s="100"/>
    </row>
    <row r="1632" spans="1:12">
      <c r="B1632" s="89" t="s">
        <v>23</v>
      </c>
      <c r="C1632" s="207"/>
      <c r="D1632" s="101"/>
      <c r="E1632" s="102"/>
      <c r="F1632" s="102"/>
      <c r="G1632" s="102"/>
      <c r="H1632" s="102"/>
      <c r="I1632" s="102"/>
      <c r="J1632" s="102"/>
      <c r="K1632" s="102"/>
      <c r="L1632" s="103"/>
    </row>
    <row r="1633" spans="1:12">
      <c r="B1633" s="104" t="s">
        <v>89</v>
      </c>
      <c r="C1633" s="205"/>
      <c r="D1633" s="65"/>
      <c r="E1633" s="66"/>
      <c r="F1633" s="66"/>
      <c r="G1633" s="66"/>
      <c r="H1633" s="66"/>
      <c r="I1633" s="66"/>
      <c r="J1633" s="66"/>
      <c r="K1633" s="66"/>
      <c r="L1633" s="67"/>
    </row>
    <row r="1634" spans="1:12">
      <c r="B1634" s="36" t="s">
        <v>90</v>
      </c>
      <c r="D1634" s="7">
        <v>0</v>
      </c>
      <c r="E1634" s="7">
        <v>0</v>
      </c>
      <c r="F1634" s="7">
        <v>0</v>
      </c>
      <c r="G1634" s="7">
        <v>0</v>
      </c>
      <c r="H1634" s="7">
        <v>0</v>
      </c>
      <c r="I1634" s="7">
        <v>0</v>
      </c>
      <c r="J1634" s="7">
        <v>0</v>
      </c>
      <c r="K1634" s="7">
        <v>0</v>
      </c>
      <c r="L1634" s="7"/>
    </row>
    <row r="1635" spans="1:12">
      <c r="B1635" s="6"/>
      <c r="D1635" s="7"/>
      <c r="E1635" s="7"/>
      <c r="F1635" s="7"/>
      <c r="G1635" s="31"/>
      <c r="H1635" s="31"/>
      <c r="I1635" s="31"/>
      <c r="J1635" s="31"/>
      <c r="K1635" s="31"/>
      <c r="L1635" s="31"/>
    </row>
    <row r="1636" spans="1:12" ht="18.75">
      <c r="A1636" s="9" t="s">
        <v>100</v>
      </c>
      <c r="D1636" s="2">
        <f>'Facility Detail'!$B$1752</f>
        <v>2011</v>
      </c>
      <c r="E1636" s="2">
        <f>D1636+1</f>
        <v>2012</v>
      </c>
      <c r="F1636" s="2">
        <f>E1636+1</f>
        <v>2013</v>
      </c>
      <c r="G1636" s="282">
        <f t="shared" ref="G1636" si="518">F1636+1</f>
        <v>2014</v>
      </c>
      <c r="H1636" s="282">
        <f t="shared" ref="H1636" si="519">G1636+1</f>
        <v>2015</v>
      </c>
      <c r="I1636" s="282">
        <f t="shared" ref="I1636" si="520">H1636+1</f>
        <v>2016</v>
      </c>
      <c r="J1636" s="282">
        <f t="shared" ref="J1636" si="521">I1636+1</f>
        <v>2017</v>
      </c>
      <c r="K1636" s="282">
        <f t="shared" ref="K1636" si="522">J1636+1</f>
        <v>2018</v>
      </c>
      <c r="L1636" s="282">
        <v>2019</v>
      </c>
    </row>
    <row r="1637" spans="1:12">
      <c r="B1637" s="88" t="s">
        <v>68</v>
      </c>
      <c r="C1637" s="80"/>
      <c r="D1637" s="3"/>
      <c r="E1637" s="68">
        <f>D1637</f>
        <v>0</v>
      </c>
      <c r="F1637" s="152"/>
      <c r="G1637" s="152"/>
      <c r="H1637" s="152"/>
      <c r="I1637" s="152"/>
      <c r="J1637" s="152"/>
      <c r="K1637" s="152"/>
      <c r="L1637" s="69"/>
    </row>
    <row r="1638" spans="1:12">
      <c r="B1638" s="88" t="s">
        <v>69</v>
      </c>
      <c r="C1638" s="80"/>
      <c r="D1638" s="189">
        <f>E1638</f>
        <v>0</v>
      </c>
      <c r="E1638" s="10"/>
      <c r="F1638" s="83"/>
      <c r="G1638" s="83"/>
      <c r="H1638" s="83"/>
      <c r="I1638" s="83"/>
      <c r="J1638" s="83"/>
      <c r="K1638" s="83"/>
      <c r="L1638" s="190"/>
    </row>
    <row r="1639" spans="1:12">
      <c r="B1639" s="88" t="s">
        <v>70</v>
      </c>
      <c r="C1639" s="80"/>
      <c r="D1639" s="70"/>
      <c r="E1639" s="10">
        <f>E1623</f>
        <v>0</v>
      </c>
      <c r="F1639" s="79">
        <f>E1639</f>
        <v>0</v>
      </c>
      <c r="G1639" s="83"/>
      <c r="H1639" s="83"/>
      <c r="I1639" s="83"/>
      <c r="J1639" s="83"/>
      <c r="K1639" s="83"/>
      <c r="L1639" s="190"/>
    </row>
    <row r="1640" spans="1:12">
      <c r="B1640" s="88" t="s">
        <v>71</v>
      </c>
      <c r="C1640" s="80"/>
      <c r="D1640" s="70"/>
      <c r="E1640" s="79">
        <f>F1640</f>
        <v>0</v>
      </c>
      <c r="F1640" s="188"/>
      <c r="G1640" s="83"/>
      <c r="H1640" s="83"/>
      <c r="I1640" s="83"/>
      <c r="J1640" s="83"/>
      <c r="K1640" s="83"/>
      <c r="L1640" s="190"/>
    </row>
    <row r="1641" spans="1:12">
      <c r="B1641" s="88" t="s">
        <v>194</v>
      </c>
      <c r="C1641" s="33"/>
      <c r="D1641" s="70"/>
      <c r="E1641" s="172"/>
      <c r="F1641" s="10">
        <f>F1623</f>
        <v>0</v>
      </c>
      <c r="G1641" s="173">
        <f>F1641</f>
        <v>0</v>
      </c>
      <c r="H1641" s="83"/>
      <c r="I1641" s="83"/>
      <c r="J1641" s="83"/>
      <c r="K1641" s="83"/>
      <c r="L1641" s="190"/>
    </row>
    <row r="1642" spans="1:12">
      <c r="B1642" s="88" t="s">
        <v>195</v>
      </c>
      <c r="C1642" s="33"/>
      <c r="D1642" s="70"/>
      <c r="E1642" s="172"/>
      <c r="F1642" s="79">
        <f>G1642</f>
        <v>0</v>
      </c>
      <c r="G1642" s="10"/>
      <c r="H1642" s="83"/>
      <c r="I1642" s="83"/>
      <c r="J1642" s="83"/>
      <c r="K1642" s="83"/>
      <c r="L1642" s="190"/>
    </row>
    <row r="1643" spans="1:12">
      <c r="B1643" s="88" t="s">
        <v>196</v>
      </c>
      <c r="C1643" s="33"/>
      <c r="D1643" s="70"/>
      <c r="E1643" s="172"/>
      <c r="F1643" s="172"/>
      <c r="G1643" s="10">
        <f>G1623</f>
        <v>0</v>
      </c>
      <c r="H1643" s="173">
        <f>G1643</f>
        <v>0</v>
      </c>
      <c r="I1643" s="172">
        <f>H1643</f>
        <v>0</v>
      </c>
      <c r="J1643" s="172"/>
      <c r="K1643" s="172"/>
      <c r="L1643" s="176"/>
    </row>
    <row r="1644" spans="1:12">
      <c r="B1644" s="88" t="s">
        <v>197</v>
      </c>
      <c r="C1644" s="33"/>
      <c r="D1644" s="70"/>
      <c r="E1644" s="172"/>
      <c r="F1644" s="172"/>
      <c r="G1644" s="174"/>
      <c r="H1644" s="175"/>
      <c r="I1644" s="172"/>
      <c r="J1644" s="172"/>
      <c r="K1644" s="172"/>
      <c r="L1644" s="176"/>
    </row>
    <row r="1645" spans="1:12">
      <c r="B1645" s="88" t="s">
        <v>198</v>
      </c>
      <c r="C1645" s="33"/>
      <c r="D1645" s="70"/>
      <c r="E1645" s="172"/>
      <c r="F1645" s="172"/>
      <c r="G1645" s="172"/>
      <c r="H1645" s="175">
        <v>316</v>
      </c>
      <c r="I1645" s="173">
        <f>H1645</f>
        <v>316</v>
      </c>
      <c r="J1645" s="83"/>
      <c r="K1645" s="172"/>
      <c r="L1645" s="176"/>
    </row>
    <row r="1646" spans="1:12">
      <c r="B1646" s="88" t="s">
        <v>199</v>
      </c>
      <c r="C1646" s="33"/>
      <c r="D1646" s="70"/>
      <c r="E1646" s="172"/>
      <c r="F1646" s="172"/>
      <c r="G1646" s="172"/>
      <c r="H1646" s="79">
        <v>0</v>
      </c>
      <c r="I1646" s="175"/>
      <c r="J1646" s="83"/>
      <c r="K1646" s="172"/>
      <c r="L1646" s="176"/>
    </row>
    <row r="1647" spans="1:12">
      <c r="B1647" s="88" t="s">
        <v>200</v>
      </c>
      <c r="C1647" s="33"/>
      <c r="D1647" s="70"/>
      <c r="E1647" s="172"/>
      <c r="F1647" s="172"/>
      <c r="G1647" s="172"/>
      <c r="H1647" s="172"/>
      <c r="I1647" s="175">
        <f>I1623</f>
        <v>25003</v>
      </c>
      <c r="J1647" s="174">
        <f>I1647</f>
        <v>25003</v>
      </c>
      <c r="K1647" s="172"/>
      <c r="L1647" s="176"/>
    </row>
    <row r="1648" spans="1:12">
      <c r="B1648" s="88" t="s">
        <v>191</v>
      </c>
      <c r="C1648" s="33"/>
      <c r="D1648" s="70"/>
      <c r="E1648" s="172"/>
      <c r="F1648" s="172"/>
      <c r="G1648" s="172"/>
      <c r="H1648" s="172"/>
      <c r="I1648" s="174">
        <v>0</v>
      </c>
      <c r="J1648" s="175"/>
      <c r="K1648" s="172"/>
      <c r="L1648" s="190"/>
    </row>
    <row r="1649" spans="1:12">
      <c r="B1649" s="88" t="s">
        <v>192</v>
      </c>
      <c r="C1649" s="33"/>
      <c r="D1649" s="70"/>
      <c r="E1649" s="172"/>
      <c r="F1649" s="172"/>
      <c r="G1649" s="172"/>
      <c r="H1649" s="172"/>
      <c r="I1649" s="172"/>
      <c r="J1649" s="175">
        <v>26549</v>
      </c>
      <c r="K1649" s="79">
        <f>J1649</f>
        <v>26549</v>
      </c>
      <c r="L1649" s="176"/>
    </row>
    <row r="1650" spans="1:12">
      <c r="B1650" s="88" t="s">
        <v>226</v>
      </c>
      <c r="C1650" s="33"/>
      <c r="D1650" s="70"/>
      <c r="E1650" s="172"/>
      <c r="F1650" s="172"/>
      <c r="G1650" s="172"/>
      <c r="H1650" s="172"/>
      <c r="I1650" s="172"/>
      <c r="J1650" s="174"/>
      <c r="K1650" s="175"/>
      <c r="L1650" s="176"/>
    </row>
    <row r="1651" spans="1:12">
      <c r="B1651" s="88" t="s">
        <v>227</v>
      </c>
      <c r="C1651" s="33"/>
      <c r="D1651" s="71"/>
      <c r="E1651" s="154"/>
      <c r="F1651" s="154"/>
      <c r="G1651" s="154"/>
      <c r="H1651" s="154"/>
      <c r="I1651" s="154"/>
      <c r="J1651" s="154"/>
      <c r="K1651" s="377"/>
      <c r="L1651" s="378"/>
    </row>
    <row r="1652" spans="1:12">
      <c r="B1652" s="36" t="s">
        <v>17</v>
      </c>
      <c r="D1652" s="303">
        <f xml:space="preserve"> D1643 - D1642</f>
        <v>0</v>
      </c>
      <c r="E1652" s="303">
        <f xml:space="preserve"> E1642 + E1645 - E1644 - E1643</f>
        <v>0</v>
      </c>
      <c r="F1652" s="303">
        <f>F1644 - F1645</f>
        <v>0</v>
      </c>
      <c r="G1652" s="303">
        <f t="shared" ref="G1652" si="523">G1644 - G1645</f>
        <v>0</v>
      </c>
      <c r="H1652" s="347">
        <f>H1643-H1644-H1645</f>
        <v>-316</v>
      </c>
      <c r="I1652" s="347">
        <f>I1645-I1646-I1647</f>
        <v>-24687</v>
      </c>
      <c r="J1652" s="347">
        <f>J1647-J1648-J1649</f>
        <v>-1546</v>
      </c>
      <c r="K1652" s="379"/>
      <c r="L1652" s="379"/>
    </row>
    <row r="1653" spans="1:12">
      <c r="B1653" s="6"/>
      <c r="D1653" s="303"/>
      <c r="E1653" s="303"/>
      <c r="F1653" s="303"/>
      <c r="G1653" s="303"/>
      <c r="H1653" s="303"/>
      <c r="I1653" s="303"/>
      <c r="J1653" s="303"/>
      <c r="K1653" s="303"/>
      <c r="L1653" s="303"/>
    </row>
    <row r="1654" spans="1:12">
      <c r="B1654" s="85" t="s">
        <v>12</v>
      </c>
      <c r="C1654" s="80"/>
      <c r="D1654" s="304"/>
      <c r="E1654" s="305"/>
      <c r="F1654" s="305"/>
      <c r="G1654" s="305"/>
      <c r="H1654" s="305"/>
      <c r="I1654" s="305"/>
      <c r="J1654" s="305"/>
      <c r="K1654" s="305"/>
      <c r="L1654" s="306"/>
    </row>
    <row r="1655" spans="1:12">
      <c r="B1655" s="6"/>
      <c r="D1655" s="303"/>
      <c r="E1655" s="303"/>
      <c r="F1655" s="303"/>
      <c r="G1655" s="303"/>
      <c r="H1655" s="303"/>
      <c r="I1655" s="303"/>
      <c r="J1655" s="303"/>
      <c r="K1655" s="303"/>
      <c r="L1655" s="303"/>
    </row>
    <row r="1656" spans="1:12" ht="18.75">
      <c r="A1656" s="45" t="s">
        <v>26</v>
      </c>
      <c r="C1656" s="80"/>
      <c r="D1656" s="307">
        <f xml:space="preserve"> D1623 + D1628 - D1634 + D1652 + D1654</f>
        <v>0</v>
      </c>
      <c r="E1656" s="308">
        <f xml:space="preserve"> E1623 + E1628 - E1634 + E1652 + E1654</f>
        <v>0</v>
      </c>
      <c r="F1656" s="308">
        <f xml:space="preserve"> F1623 + F1628 - F1634 + F1652 + F1654</f>
        <v>0</v>
      </c>
      <c r="G1656" s="308">
        <f t="shared" ref="G1656:J1656" si="524" xml:space="preserve"> G1623 + G1628 - G1634 + G1652 + G1654</f>
        <v>0</v>
      </c>
      <c r="H1656" s="308">
        <f t="shared" si="524"/>
        <v>0</v>
      </c>
      <c r="I1656" s="308">
        <f t="shared" si="524"/>
        <v>316</v>
      </c>
      <c r="J1656" s="308">
        <f t="shared" si="524"/>
        <v>25003</v>
      </c>
      <c r="K1656" s="308">
        <v>26549</v>
      </c>
      <c r="L1656" s="384"/>
    </row>
    <row r="1657" spans="1:12" ht="15.75" thickBot="1"/>
    <row r="1658" spans="1:12">
      <c r="A1658" s="8"/>
      <c r="B1658" s="8"/>
      <c r="C1658" s="8"/>
      <c r="D1658" s="8"/>
      <c r="E1658" s="8"/>
      <c r="F1658" s="8"/>
      <c r="G1658" s="8"/>
      <c r="H1658" s="8"/>
      <c r="I1658" s="8"/>
      <c r="J1658" s="8"/>
      <c r="K1658" s="8"/>
      <c r="L1658" s="8"/>
    </row>
    <row r="1659" spans="1:12" ht="21">
      <c r="A1659" s="14" t="s">
        <v>4</v>
      </c>
      <c r="B1659" s="14"/>
      <c r="C1659" s="46" t="str">
        <f>B39</f>
        <v>Element Markets - REC Only</v>
      </c>
      <c r="D1659" s="47"/>
      <c r="E1659" s="24"/>
      <c r="F1659" s="24"/>
    </row>
    <row r="1661" spans="1:12" ht="18.75">
      <c r="A1661" s="9" t="s">
        <v>21</v>
      </c>
      <c r="B1661" s="9"/>
      <c r="D1661" s="2">
        <v>2011</v>
      </c>
      <c r="E1661" s="2">
        <v>2012</v>
      </c>
      <c r="F1661" s="2">
        <v>2013</v>
      </c>
      <c r="G1661" s="2">
        <v>2014</v>
      </c>
      <c r="H1661" s="2">
        <v>2015</v>
      </c>
      <c r="I1661" s="2">
        <v>2016</v>
      </c>
      <c r="J1661" s="2">
        <v>2017</v>
      </c>
      <c r="K1661" s="2">
        <v>2018</v>
      </c>
      <c r="L1661" s="2">
        <v>2019</v>
      </c>
    </row>
    <row r="1662" spans="1:12">
      <c r="B1662" s="88" t="str">
        <f>"Total MWh Produced / Purchased from " &amp; C1659</f>
        <v>Total MWh Produced / Purchased from Element Markets - REC Only</v>
      </c>
      <c r="C1662" s="80"/>
      <c r="D1662" s="3"/>
      <c r="E1662" s="4"/>
      <c r="F1662" s="4"/>
      <c r="G1662" s="4"/>
      <c r="H1662" s="4"/>
      <c r="I1662" s="4"/>
      <c r="J1662" s="339"/>
      <c r="K1662" s="381"/>
      <c r="L1662" s="5"/>
    </row>
    <row r="1663" spans="1:12">
      <c r="B1663" s="88" t="s">
        <v>25</v>
      </c>
      <c r="C1663" s="80"/>
      <c r="D1663" s="62"/>
      <c r="E1663" s="63"/>
      <c r="F1663" s="63"/>
      <c r="G1663" s="63"/>
      <c r="H1663" s="63"/>
      <c r="I1663" s="63"/>
      <c r="J1663" s="63"/>
      <c r="K1663" s="63">
        <v>1</v>
      </c>
      <c r="L1663" s="64"/>
    </row>
    <row r="1664" spans="1:12">
      <c r="B1664" s="88" t="s">
        <v>20</v>
      </c>
      <c r="C1664" s="80"/>
      <c r="D1664" s="54"/>
      <c r="E1664" s="55"/>
      <c r="F1664" s="55"/>
      <c r="G1664" s="55"/>
      <c r="H1664" s="55"/>
      <c r="I1664" s="55"/>
      <c r="J1664" s="55"/>
      <c r="K1664" s="55">
        <v>1</v>
      </c>
      <c r="L1664" s="56"/>
    </row>
    <row r="1665" spans="1:12">
      <c r="B1665" s="85" t="s">
        <v>22</v>
      </c>
      <c r="C1665" s="86"/>
      <c r="D1665" s="41">
        <v>0</v>
      </c>
      <c r="E1665" s="41">
        <v>0</v>
      </c>
      <c r="F1665" s="41">
        <v>0</v>
      </c>
      <c r="G1665" s="41">
        <v>0</v>
      </c>
      <c r="H1665" s="41">
        <v>0</v>
      </c>
      <c r="I1665" s="337">
        <v>0</v>
      </c>
      <c r="J1665" s="337">
        <v>0</v>
      </c>
      <c r="K1665" s="380"/>
      <c r="L1665" s="41">
        <v>0</v>
      </c>
    </row>
    <row r="1666" spans="1:12">
      <c r="B1666" s="24"/>
      <c r="C1666" s="33"/>
      <c r="D1666" s="40"/>
      <c r="E1666" s="40"/>
      <c r="F1666" s="40"/>
      <c r="G1666" s="40"/>
      <c r="H1666" s="40"/>
      <c r="I1666" s="40"/>
      <c r="J1666" s="40"/>
      <c r="K1666" s="40"/>
      <c r="L1666" s="40"/>
    </row>
    <row r="1667" spans="1:12" ht="18.75">
      <c r="A1667" s="48" t="s">
        <v>119</v>
      </c>
      <c r="C1667" s="33"/>
      <c r="D1667" s="2">
        <v>2011</v>
      </c>
      <c r="E1667" s="2">
        <v>2012</v>
      </c>
      <c r="F1667" s="2">
        <v>2013</v>
      </c>
      <c r="G1667" s="2">
        <v>2014</v>
      </c>
      <c r="H1667" s="2">
        <v>2015</v>
      </c>
      <c r="I1667" s="2">
        <v>2016</v>
      </c>
      <c r="J1667" s="2">
        <v>2017</v>
      </c>
      <c r="K1667" s="2">
        <v>2018</v>
      </c>
      <c r="L1667" s="2">
        <v>2019</v>
      </c>
    </row>
    <row r="1668" spans="1:12">
      <c r="B1668" s="88" t="s">
        <v>10</v>
      </c>
      <c r="C1668" s="80"/>
      <c r="D1668" s="57">
        <v>0</v>
      </c>
      <c r="E1668" s="11">
        <v>0</v>
      </c>
      <c r="F1668" s="11">
        <v>0</v>
      </c>
      <c r="G1668" s="11">
        <v>0</v>
      </c>
      <c r="H1668" s="11">
        <v>0</v>
      </c>
      <c r="I1668" s="11">
        <v>0</v>
      </c>
      <c r="J1668" s="11">
        <v>0</v>
      </c>
      <c r="K1668" s="11">
        <v>0</v>
      </c>
      <c r="L1668" s="12">
        <v>0</v>
      </c>
    </row>
    <row r="1669" spans="1:12">
      <c r="B1669" s="88" t="s">
        <v>6</v>
      </c>
      <c r="C1669" s="80"/>
      <c r="D1669" s="58">
        <v>0</v>
      </c>
      <c r="E1669" s="59">
        <v>0</v>
      </c>
      <c r="F1669" s="59">
        <v>0</v>
      </c>
      <c r="G1669" s="59">
        <v>0</v>
      </c>
      <c r="H1669" s="59">
        <v>0</v>
      </c>
      <c r="I1669" s="59">
        <v>0</v>
      </c>
      <c r="J1669" s="59">
        <v>0</v>
      </c>
      <c r="K1669" s="59">
        <v>0</v>
      </c>
      <c r="L1669" s="60">
        <v>0</v>
      </c>
    </row>
    <row r="1670" spans="1:12">
      <c r="B1670" s="87" t="s">
        <v>121</v>
      </c>
      <c r="C1670" s="86"/>
      <c r="D1670" s="43">
        <v>0</v>
      </c>
      <c r="E1670" s="44">
        <v>0</v>
      </c>
      <c r="F1670" s="44">
        <v>0</v>
      </c>
      <c r="G1670" s="44">
        <v>0</v>
      </c>
      <c r="H1670" s="44">
        <v>0</v>
      </c>
      <c r="I1670" s="44">
        <v>0</v>
      </c>
      <c r="J1670" s="44">
        <v>0</v>
      </c>
      <c r="K1670" s="44">
        <v>0</v>
      </c>
      <c r="L1670" s="44">
        <v>0</v>
      </c>
    </row>
    <row r="1671" spans="1:12">
      <c r="B1671" s="33"/>
      <c r="C1671" s="33"/>
      <c r="D1671" s="42"/>
      <c r="E1671" s="34"/>
      <c r="F1671" s="34"/>
      <c r="G1671" s="34"/>
      <c r="H1671" s="34"/>
      <c r="I1671" s="34"/>
      <c r="J1671" s="34"/>
      <c r="K1671" s="34"/>
      <c r="L1671" s="34"/>
    </row>
    <row r="1672" spans="1:12" ht="18.75">
      <c r="A1672" s="45" t="s">
        <v>30</v>
      </c>
      <c r="C1672" s="33"/>
      <c r="D1672" s="2">
        <v>2011</v>
      </c>
      <c r="E1672" s="2">
        <v>2012</v>
      </c>
      <c r="F1672" s="2">
        <v>2013</v>
      </c>
      <c r="G1672" s="2">
        <v>2014</v>
      </c>
      <c r="H1672" s="2">
        <v>2015</v>
      </c>
      <c r="I1672" s="2">
        <v>2016</v>
      </c>
      <c r="J1672" s="2">
        <v>2017</v>
      </c>
      <c r="K1672" s="2">
        <v>2018</v>
      </c>
      <c r="L1672" s="2">
        <v>2019</v>
      </c>
    </row>
    <row r="1673" spans="1:12">
      <c r="B1673" s="88" t="s">
        <v>47</v>
      </c>
      <c r="C1673" s="80"/>
      <c r="D1673" s="98"/>
      <c r="E1673" s="99"/>
      <c r="F1673" s="99"/>
      <c r="G1673" s="99"/>
      <c r="H1673" s="99"/>
      <c r="I1673" s="99"/>
      <c r="J1673" s="99"/>
      <c r="K1673" s="99"/>
      <c r="L1673" s="100"/>
    </row>
    <row r="1674" spans="1:12">
      <c r="B1674" s="89" t="s">
        <v>23</v>
      </c>
      <c r="C1674" s="207"/>
      <c r="D1674" s="101"/>
      <c r="E1674" s="102"/>
      <c r="F1674" s="102"/>
      <c r="G1674" s="102"/>
      <c r="H1674" s="102"/>
      <c r="I1674" s="102"/>
      <c r="J1674" s="102"/>
      <c r="K1674" s="102"/>
      <c r="L1674" s="103"/>
    </row>
    <row r="1675" spans="1:12">
      <c r="B1675" s="104" t="s">
        <v>89</v>
      </c>
      <c r="C1675" s="205"/>
      <c r="D1675" s="65"/>
      <c r="E1675" s="66"/>
      <c r="F1675" s="66"/>
      <c r="G1675" s="66"/>
      <c r="H1675" s="66"/>
      <c r="I1675" s="66"/>
      <c r="J1675" s="66"/>
      <c r="K1675" s="66"/>
      <c r="L1675" s="67"/>
    </row>
    <row r="1676" spans="1:12">
      <c r="B1676" s="36" t="s">
        <v>90</v>
      </c>
      <c r="D1676" s="7">
        <v>0</v>
      </c>
      <c r="E1676" s="7">
        <v>0</v>
      </c>
      <c r="F1676" s="7">
        <v>0</v>
      </c>
      <c r="G1676" s="7">
        <v>0</v>
      </c>
      <c r="H1676" s="7">
        <v>0</v>
      </c>
      <c r="I1676" s="7">
        <v>0</v>
      </c>
      <c r="J1676" s="7">
        <v>0</v>
      </c>
      <c r="K1676" s="7">
        <v>0</v>
      </c>
      <c r="L1676" s="7">
        <v>0</v>
      </c>
    </row>
    <row r="1677" spans="1:12">
      <c r="B1677" s="6"/>
      <c r="D1677" s="7"/>
      <c r="E1677" s="7"/>
      <c r="F1677" s="7"/>
      <c r="G1677" s="31"/>
      <c r="H1677" s="31"/>
      <c r="I1677" s="31"/>
      <c r="J1677" s="31"/>
      <c r="K1677" s="31"/>
      <c r="L1677" s="31"/>
    </row>
    <row r="1678" spans="1:12" ht="18.75">
      <c r="A1678" s="9" t="s">
        <v>100</v>
      </c>
      <c r="D1678" s="2">
        <f>'Facility Detail'!$B$1752</f>
        <v>2011</v>
      </c>
      <c r="E1678" s="2">
        <f>D1678+1</f>
        <v>2012</v>
      </c>
      <c r="F1678" s="2">
        <f>E1678+1</f>
        <v>2013</v>
      </c>
      <c r="G1678" s="282">
        <f t="shared" ref="G1678" si="525">F1678+1</f>
        <v>2014</v>
      </c>
      <c r="H1678" s="282">
        <f t="shared" ref="H1678" si="526">G1678+1</f>
        <v>2015</v>
      </c>
      <c r="I1678" s="282">
        <f t="shared" ref="I1678" si="527">H1678+1</f>
        <v>2016</v>
      </c>
      <c r="J1678" s="282">
        <f t="shared" ref="J1678" si="528">I1678+1</f>
        <v>2017</v>
      </c>
      <c r="K1678" s="282">
        <f t="shared" ref="K1678" si="529">J1678+1</f>
        <v>2018</v>
      </c>
      <c r="L1678" s="282">
        <v>2019</v>
      </c>
    </row>
    <row r="1679" spans="1:12">
      <c r="B1679" s="88" t="s">
        <v>68</v>
      </c>
      <c r="C1679" s="80"/>
      <c r="D1679" s="3"/>
      <c r="E1679" s="68">
        <f>D1679</f>
        <v>0</v>
      </c>
      <c r="F1679" s="152"/>
      <c r="G1679" s="152"/>
      <c r="H1679" s="152"/>
      <c r="I1679" s="152"/>
      <c r="J1679" s="152"/>
      <c r="K1679" s="152"/>
      <c r="L1679" s="69"/>
    </row>
    <row r="1680" spans="1:12">
      <c r="B1680" s="88" t="s">
        <v>69</v>
      </c>
      <c r="C1680" s="80"/>
      <c r="D1680" s="189">
        <f>E1680</f>
        <v>0</v>
      </c>
      <c r="E1680" s="10"/>
      <c r="F1680" s="83"/>
      <c r="G1680" s="83"/>
      <c r="H1680" s="83"/>
      <c r="I1680" s="83"/>
      <c r="J1680" s="83"/>
      <c r="K1680" s="83"/>
      <c r="L1680" s="190"/>
    </row>
    <row r="1681" spans="2:12">
      <c r="B1681" s="88" t="s">
        <v>70</v>
      </c>
      <c r="C1681" s="80"/>
      <c r="D1681" s="70"/>
      <c r="E1681" s="10">
        <f>E1665</f>
        <v>0</v>
      </c>
      <c r="F1681" s="79">
        <f>E1681</f>
        <v>0</v>
      </c>
      <c r="G1681" s="83"/>
      <c r="H1681" s="83"/>
      <c r="I1681" s="83"/>
      <c r="J1681" s="83"/>
      <c r="K1681" s="83"/>
      <c r="L1681" s="190"/>
    </row>
    <row r="1682" spans="2:12">
      <c r="B1682" s="88" t="s">
        <v>71</v>
      </c>
      <c r="C1682" s="80"/>
      <c r="D1682" s="70"/>
      <c r="E1682" s="79">
        <f>F1682</f>
        <v>0</v>
      </c>
      <c r="F1682" s="188"/>
      <c r="G1682" s="83"/>
      <c r="H1682" s="83"/>
      <c r="I1682" s="83"/>
      <c r="J1682" s="83"/>
      <c r="K1682" s="83"/>
      <c r="L1682" s="190"/>
    </row>
    <row r="1683" spans="2:12">
      <c r="B1683" s="88" t="s">
        <v>194</v>
      </c>
      <c r="C1683" s="33"/>
      <c r="D1683" s="70"/>
      <c r="E1683" s="172"/>
      <c r="F1683" s="10">
        <f>F1665</f>
        <v>0</v>
      </c>
      <c r="G1683" s="173">
        <f>F1683</f>
        <v>0</v>
      </c>
      <c r="H1683" s="83"/>
      <c r="I1683" s="83"/>
      <c r="J1683" s="83"/>
      <c r="K1683" s="83"/>
      <c r="L1683" s="190"/>
    </row>
    <row r="1684" spans="2:12">
      <c r="B1684" s="88" t="s">
        <v>195</v>
      </c>
      <c r="C1684" s="33"/>
      <c r="D1684" s="70"/>
      <c r="E1684" s="172"/>
      <c r="F1684" s="79">
        <f>G1684</f>
        <v>0</v>
      </c>
      <c r="G1684" s="10"/>
      <c r="H1684" s="83"/>
      <c r="I1684" s="83"/>
      <c r="J1684" s="83"/>
      <c r="K1684" s="83"/>
      <c r="L1684" s="190"/>
    </row>
    <row r="1685" spans="2:12">
      <c r="B1685" s="88" t="s">
        <v>196</v>
      </c>
      <c r="C1685" s="33"/>
      <c r="D1685" s="70"/>
      <c r="E1685" s="172"/>
      <c r="F1685" s="172"/>
      <c r="G1685" s="10">
        <f>G1665</f>
        <v>0</v>
      </c>
      <c r="H1685" s="173">
        <f>G1685</f>
        <v>0</v>
      </c>
      <c r="I1685" s="172">
        <f>H1685</f>
        <v>0</v>
      </c>
      <c r="J1685" s="172"/>
      <c r="K1685" s="172"/>
      <c r="L1685" s="176"/>
    </row>
    <row r="1686" spans="2:12">
      <c r="B1686" s="88" t="s">
        <v>197</v>
      </c>
      <c r="C1686" s="33"/>
      <c r="D1686" s="70"/>
      <c r="E1686" s="172"/>
      <c r="F1686" s="172"/>
      <c r="G1686" s="174"/>
      <c r="H1686" s="175"/>
      <c r="I1686" s="172"/>
      <c r="J1686" s="172"/>
      <c r="K1686" s="172"/>
      <c r="L1686" s="176"/>
    </row>
    <row r="1687" spans="2:12">
      <c r="B1687" s="88" t="s">
        <v>198</v>
      </c>
      <c r="C1687" s="33"/>
      <c r="D1687" s="70"/>
      <c r="E1687" s="172"/>
      <c r="F1687" s="172"/>
      <c r="G1687" s="172"/>
      <c r="H1687" s="175">
        <v>0</v>
      </c>
      <c r="I1687" s="173">
        <f>H1687</f>
        <v>0</v>
      </c>
      <c r="J1687" s="83"/>
      <c r="K1687" s="172"/>
      <c r="L1687" s="176"/>
    </row>
    <row r="1688" spans="2:12">
      <c r="B1688" s="88" t="s">
        <v>199</v>
      </c>
      <c r="C1688" s="33"/>
      <c r="D1688" s="70"/>
      <c r="E1688" s="172"/>
      <c r="F1688" s="172"/>
      <c r="G1688" s="172"/>
      <c r="H1688" s="79"/>
      <c r="I1688" s="175"/>
      <c r="J1688" s="83"/>
      <c r="K1688" s="172"/>
      <c r="L1688" s="176"/>
    </row>
    <row r="1689" spans="2:12">
      <c r="B1689" s="88" t="s">
        <v>200</v>
      </c>
      <c r="C1689" s="33"/>
      <c r="D1689" s="70"/>
      <c r="E1689" s="172"/>
      <c r="F1689" s="172"/>
      <c r="G1689" s="172"/>
      <c r="H1689" s="172"/>
      <c r="I1689" s="175">
        <f>I1665</f>
        <v>0</v>
      </c>
      <c r="J1689" s="174">
        <f>I1689</f>
        <v>0</v>
      </c>
      <c r="K1689" s="172"/>
      <c r="L1689" s="176"/>
    </row>
    <row r="1690" spans="2:12">
      <c r="B1690" s="88" t="s">
        <v>191</v>
      </c>
      <c r="C1690" s="33"/>
      <c r="D1690" s="70"/>
      <c r="E1690" s="172"/>
      <c r="F1690" s="172"/>
      <c r="G1690" s="172"/>
      <c r="H1690" s="172"/>
      <c r="I1690" s="174"/>
      <c r="J1690" s="175"/>
      <c r="K1690" s="172"/>
      <c r="L1690" s="190"/>
    </row>
    <row r="1691" spans="2:12">
      <c r="B1691" s="88" t="s">
        <v>192</v>
      </c>
      <c r="C1691" s="33"/>
      <c r="D1691" s="70"/>
      <c r="E1691" s="172"/>
      <c r="F1691" s="172"/>
      <c r="G1691" s="172"/>
      <c r="H1691" s="172"/>
      <c r="I1691" s="172"/>
      <c r="J1691" s="175">
        <v>0</v>
      </c>
      <c r="K1691" s="79">
        <f>J1691</f>
        <v>0</v>
      </c>
      <c r="L1691" s="176"/>
    </row>
    <row r="1692" spans="2:12">
      <c r="B1692" s="88" t="s">
        <v>226</v>
      </c>
      <c r="C1692" s="33"/>
      <c r="D1692" s="70"/>
      <c r="E1692" s="172"/>
      <c r="F1692" s="172"/>
      <c r="G1692" s="172"/>
      <c r="H1692" s="172"/>
      <c r="I1692" s="172"/>
      <c r="J1692" s="174"/>
      <c r="K1692" s="175"/>
      <c r="L1692" s="176"/>
    </row>
    <row r="1693" spans="2:12">
      <c r="B1693" s="88" t="s">
        <v>227</v>
      </c>
      <c r="C1693" s="33"/>
      <c r="D1693" s="71"/>
      <c r="E1693" s="154"/>
      <c r="F1693" s="154"/>
      <c r="G1693" s="154"/>
      <c r="H1693" s="154"/>
      <c r="I1693" s="154"/>
      <c r="J1693" s="154"/>
      <c r="K1693" s="377"/>
      <c r="L1693" s="378"/>
    </row>
    <row r="1694" spans="2:12">
      <c r="B1694" s="36" t="s">
        <v>17</v>
      </c>
      <c r="D1694" s="303">
        <f xml:space="preserve"> D1685 - D1684</f>
        <v>0</v>
      </c>
      <c r="E1694" s="303">
        <f xml:space="preserve"> E1684 + E1687 - E1686 - E1685</f>
        <v>0</v>
      </c>
      <c r="F1694" s="303">
        <f>F1686 - F1687</f>
        <v>0</v>
      </c>
      <c r="G1694" s="303">
        <f t="shared" ref="G1694" si="530">G1686 - G1687</f>
        <v>0</v>
      </c>
      <c r="H1694" s="303">
        <f>H1685-H1686-H1687</f>
        <v>0</v>
      </c>
      <c r="I1694" s="303">
        <f>I1687-I1688-I1689</f>
        <v>0</v>
      </c>
      <c r="J1694" s="303">
        <f>J1689-J1690-J1691</f>
        <v>0</v>
      </c>
      <c r="K1694" s="379"/>
      <c r="L1694" s="379">
        <f t="shared" ref="L1694" si="531">L1689-L1690-L1691</f>
        <v>0</v>
      </c>
    </row>
    <row r="1695" spans="2:12">
      <c r="B1695" s="6"/>
      <c r="D1695" s="303"/>
      <c r="E1695" s="303"/>
      <c r="F1695" s="303"/>
      <c r="G1695" s="303"/>
      <c r="H1695" s="303"/>
      <c r="I1695" s="303"/>
      <c r="J1695" s="303"/>
      <c r="K1695" s="303"/>
      <c r="L1695" s="303"/>
    </row>
    <row r="1696" spans="2:12">
      <c r="B1696" s="85" t="s">
        <v>12</v>
      </c>
      <c r="C1696" s="80"/>
      <c r="D1696" s="304"/>
      <c r="E1696" s="305"/>
      <c r="F1696" s="305"/>
      <c r="G1696" s="305"/>
      <c r="H1696" s="305"/>
      <c r="I1696" s="305"/>
      <c r="J1696" s="305"/>
      <c r="K1696" s="305"/>
      <c r="L1696" s="306"/>
    </row>
    <row r="1697" spans="1:12">
      <c r="B1697" s="6"/>
      <c r="D1697" s="303"/>
      <c r="E1697" s="303"/>
      <c r="F1697" s="303"/>
      <c r="G1697" s="303"/>
      <c r="H1697" s="303"/>
      <c r="I1697" s="303"/>
      <c r="J1697" s="303"/>
      <c r="K1697" s="303"/>
      <c r="L1697" s="303"/>
    </row>
    <row r="1698" spans="1:12" ht="18.75">
      <c r="A1698" s="45" t="s">
        <v>26</v>
      </c>
      <c r="C1698" s="80"/>
      <c r="D1698" s="307">
        <f t="shared" ref="D1698:L1698" si="532" xml:space="preserve"> D1665 + D1670 - D1676 + D1694 + D1696</f>
        <v>0</v>
      </c>
      <c r="E1698" s="308">
        <f t="shared" si="532"/>
        <v>0</v>
      </c>
      <c r="F1698" s="308">
        <f t="shared" si="532"/>
        <v>0</v>
      </c>
      <c r="G1698" s="308">
        <f t="shared" si="532"/>
        <v>0</v>
      </c>
      <c r="H1698" s="308">
        <f t="shared" si="532"/>
        <v>0</v>
      </c>
      <c r="I1698" s="308">
        <f t="shared" si="532"/>
        <v>0</v>
      </c>
      <c r="J1698" s="308">
        <f t="shared" si="532"/>
        <v>0</v>
      </c>
      <c r="K1698" s="308">
        <f xml:space="preserve"> K1665 + K1670 - K1676 + K1694 + K1696</f>
        <v>0</v>
      </c>
      <c r="L1698" s="309">
        <f t="shared" si="532"/>
        <v>0</v>
      </c>
    </row>
    <row r="1699" spans="1:12" ht="15.75" thickBot="1"/>
    <row r="1700" spans="1:12">
      <c r="A1700" s="8"/>
      <c r="B1700" s="8"/>
      <c r="C1700" s="8"/>
      <c r="D1700" s="8"/>
      <c r="E1700" s="8"/>
      <c r="F1700" s="8"/>
      <c r="G1700" s="8"/>
      <c r="H1700" s="8"/>
      <c r="I1700" s="8"/>
      <c r="J1700" s="8"/>
      <c r="K1700" s="8"/>
      <c r="L1700" s="8"/>
    </row>
    <row r="1701" spans="1:12" ht="21">
      <c r="A1701" s="14" t="s">
        <v>4</v>
      </c>
      <c r="B1701" s="14"/>
      <c r="C1701" s="46"/>
      <c r="D1701" s="47"/>
      <c r="E1701" s="24"/>
      <c r="F1701" s="24"/>
    </row>
    <row r="1703" spans="1:12" ht="18.75">
      <c r="A1703" s="9" t="s">
        <v>21</v>
      </c>
      <c r="B1703" s="9"/>
      <c r="D1703" s="2">
        <v>2011</v>
      </c>
      <c r="E1703" s="2">
        <v>2012</v>
      </c>
      <c r="F1703" s="2">
        <v>2013</v>
      </c>
      <c r="G1703" s="2">
        <v>2014</v>
      </c>
      <c r="H1703" s="2">
        <v>2015</v>
      </c>
      <c r="I1703" s="2">
        <v>2016</v>
      </c>
      <c r="J1703" s="2">
        <v>2017</v>
      </c>
      <c r="K1703" s="2">
        <v>2018</v>
      </c>
      <c r="L1703" s="2"/>
    </row>
    <row r="1704" spans="1:12">
      <c r="B1704" s="88" t="str">
        <f>"Total MWh Produced / Purchased from " &amp; C1701</f>
        <v xml:space="preserve">Total MWh Produced / Purchased from </v>
      </c>
      <c r="C1704" s="80"/>
      <c r="D1704" s="3"/>
      <c r="E1704" s="4"/>
      <c r="F1704" s="4"/>
      <c r="G1704" s="4"/>
      <c r="H1704" s="4"/>
      <c r="I1704" s="4"/>
      <c r="J1704" s="4"/>
      <c r="K1704" s="5"/>
      <c r="L1704" s="324"/>
    </row>
    <row r="1705" spans="1:12">
      <c r="B1705" s="88" t="s">
        <v>25</v>
      </c>
      <c r="C1705" s="80"/>
      <c r="D1705" s="62"/>
      <c r="E1705" s="63"/>
      <c r="F1705" s="63"/>
      <c r="G1705" s="63"/>
      <c r="H1705" s="63"/>
      <c r="I1705" s="63"/>
      <c r="J1705" s="63"/>
      <c r="K1705" s="64"/>
      <c r="L1705" s="326"/>
    </row>
    <row r="1706" spans="1:12">
      <c r="B1706" s="88" t="s">
        <v>20</v>
      </c>
      <c r="C1706" s="80"/>
      <c r="D1706" s="54"/>
      <c r="E1706" s="55"/>
      <c r="F1706" s="55"/>
      <c r="G1706" s="55"/>
      <c r="H1706" s="55"/>
      <c r="I1706" s="55"/>
      <c r="J1706" s="55"/>
      <c r="K1706" s="56"/>
      <c r="L1706" s="326"/>
    </row>
    <row r="1707" spans="1:12">
      <c r="B1707" s="85" t="s">
        <v>22</v>
      </c>
      <c r="C1707" s="86"/>
      <c r="D1707" s="41">
        <v>0</v>
      </c>
      <c r="E1707" s="41">
        <v>0</v>
      </c>
      <c r="F1707" s="41">
        <v>0</v>
      </c>
      <c r="G1707" s="41">
        <v>0</v>
      </c>
      <c r="H1707" s="41">
        <v>0</v>
      </c>
      <c r="I1707" s="41">
        <v>0</v>
      </c>
      <c r="J1707" s="41">
        <v>0</v>
      </c>
      <c r="K1707" s="41">
        <v>0</v>
      </c>
      <c r="L1707" s="325"/>
    </row>
    <row r="1708" spans="1:12">
      <c r="B1708" s="24"/>
      <c r="C1708" s="33"/>
      <c r="D1708" s="40"/>
      <c r="E1708" s="40"/>
      <c r="F1708" s="40"/>
      <c r="G1708" s="40"/>
      <c r="H1708" s="40"/>
      <c r="I1708" s="40"/>
      <c r="J1708" s="40"/>
      <c r="K1708" s="40"/>
      <c r="L1708" s="40"/>
    </row>
    <row r="1709" spans="1:12" ht="18.75">
      <c r="A1709" s="48" t="s">
        <v>119</v>
      </c>
      <c r="C1709" s="33"/>
      <c r="D1709" s="2">
        <v>2011</v>
      </c>
      <c r="E1709" s="2">
        <v>2012</v>
      </c>
      <c r="F1709" s="2">
        <v>2013</v>
      </c>
      <c r="G1709" s="2">
        <v>2014</v>
      </c>
      <c r="H1709" s="2">
        <v>2015</v>
      </c>
      <c r="I1709" s="2">
        <v>2016</v>
      </c>
      <c r="J1709" s="2">
        <v>2017</v>
      </c>
      <c r="K1709" s="2">
        <v>2018</v>
      </c>
      <c r="L1709" s="2"/>
    </row>
    <row r="1710" spans="1:12">
      <c r="B1710" s="88" t="s">
        <v>10</v>
      </c>
      <c r="C1710" s="80"/>
      <c r="D1710" s="57">
        <v>0</v>
      </c>
      <c r="E1710" s="11">
        <v>0</v>
      </c>
      <c r="F1710" s="11">
        <v>0</v>
      </c>
      <c r="G1710" s="11">
        <v>0</v>
      </c>
      <c r="H1710" s="11">
        <v>0</v>
      </c>
      <c r="I1710" s="11">
        <v>0</v>
      </c>
      <c r="J1710" s="11">
        <v>0</v>
      </c>
      <c r="K1710" s="12">
        <v>0</v>
      </c>
      <c r="L1710" s="34"/>
    </row>
    <row r="1711" spans="1:12">
      <c r="B1711" s="88" t="s">
        <v>6</v>
      </c>
      <c r="C1711" s="80"/>
      <c r="D1711" s="58">
        <v>0</v>
      </c>
      <c r="E1711" s="59">
        <v>0</v>
      </c>
      <c r="F1711" s="59">
        <v>0</v>
      </c>
      <c r="G1711" s="59">
        <v>0</v>
      </c>
      <c r="H1711" s="59">
        <v>0</v>
      </c>
      <c r="I1711" s="59">
        <v>0</v>
      </c>
      <c r="J1711" s="59">
        <v>0</v>
      </c>
      <c r="K1711" s="60">
        <v>0</v>
      </c>
      <c r="L1711" s="34"/>
    </row>
    <row r="1712" spans="1:12">
      <c r="B1712" s="87" t="s">
        <v>121</v>
      </c>
      <c r="C1712" s="86"/>
      <c r="D1712" s="43">
        <v>0</v>
      </c>
      <c r="E1712" s="44">
        <v>0</v>
      </c>
      <c r="F1712" s="44">
        <v>0</v>
      </c>
      <c r="G1712" s="44">
        <v>0</v>
      </c>
      <c r="H1712" s="44">
        <v>0</v>
      </c>
      <c r="I1712" s="44">
        <v>0</v>
      </c>
      <c r="J1712" s="44">
        <v>0</v>
      </c>
      <c r="K1712" s="44">
        <v>0</v>
      </c>
      <c r="L1712" s="214"/>
    </row>
    <row r="1713" spans="1:12">
      <c r="B1713" s="33"/>
      <c r="C1713" s="33"/>
      <c r="D1713" s="42"/>
      <c r="E1713" s="34"/>
      <c r="F1713" s="34"/>
      <c r="G1713" s="34"/>
      <c r="H1713" s="34"/>
      <c r="I1713" s="34"/>
      <c r="J1713" s="34"/>
      <c r="K1713" s="34"/>
      <c r="L1713" s="34"/>
    </row>
    <row r="1714" spans="1:12" ht="18.75">
      <c r="A1714" s="45" t="s">
        <v>30</v>
      </c>
      <c r="C1714" s="33"/>
      <c r="D1714" s="2">
        <v>2011</v>
      </c>
      <c r="E1714" s="2">
        <v>2012</v>
      </c>
      <c r="F1714" s="2">
        <v>2013</v>
      </c>
      <c r="G1714" s="2">
        <v>2014</v>
      </c>
      <c r="H1714" s="2">
        <v>2015</v>
      </c>
      <c r="I1714" s="2">
        <v>2016</v>
      </c>
      <c r="J1714" s="2">
        <v>2017</v>
      </c>
      <c r="K1714" s="2">
        <v>2018</v>
      </c>
      <c r="L1714" s="2"/>
    </row>
    <row r="1715" spans="1:12">
      <c r="B1715" s="88" t="s">
        <v>47</v>
      </c>
      <c r="C1715" s="80"/>
      <c r="D1715" s="98"/>
      <c r="E1715" s="99"/>
      <c r="F1715" s="99"/>
      <c r="G1715" s="99"/>
      <c r="H1715" s="99"/>
      <c r="I1715" s="99"/>
      <c r="J1715" s="99"/>
      <c r="K1715" s="100"/>
      <c r="L1715" s="323"/>
    </row>
    <row r="1716" spans="1:12">
      <c r="B1716" s="89" t="s">
        <v>23</v>
      </c>
      <c r="C1716" s="207"/>
      <c r="D1716" s="101"/>
      <c r="E1716" s="102"/>
      <c r="F1716" s="102"/>
      <c r="G1716" s="102"/>
      <c r="H1716" s="102"/>
      <c r="I1716" s="102"/>
      <c r="J1716" s="102"/>
      <c r="K1716" s="103"/>
      <c r="L1716" s="323"/>
    </row>
    <row r="1717" spans="1:12">
      <c r="B1717" s="104" t="s">
        <v>89</v>
      </c>
      <c r="C1717" s="205"/>
      <c r="D1717" s="65"/>
      <c r="E1717" s="66"/>
      <c r="F1717" s="66"/>
      <c r="G1717" s="66"/>
      <c r="H1717" s="66"/>
      <c r="I1717" s="66"/>
      <c r="J1717" s="66"/>
      <c r="K1717" s="67"/>
      <c r="L1717" s="323"/>
    </row>
    <row r="1718" spans="1:12">
      <c r="B1718" s="36" t="s">
        <v>90</v>
      </c>
      <c r="D1718" s="7">
        <v>0</v>
      </c>
      <c r="E1718" s="7">
        <v>0</v>
      </c>
      <c r="F1718" s="7">
        <v>0</v>
      </c>
      <c r="G1718" s="7">
        <v>0</v>
      </c>
      <c r="H1718" s="7">
        <v>0</v>
      </c>
      <c r="I1718" s="7">
        <v>0</v>
      </c>
      <c r="J1718" s="7">
        <v>0</v>
      </c>
      <c r="K1718" s="7">
        <v>0</v>
      </c>
      <c r="L1718" s="7"/>
    </row>
    <row r="1719" spans="1:12">
      <c r="B1719" s="6"/>
      <c r="D1719" s="7"/>
      <c r="E1719" s="7"/>
      <c r="F1719" s="7"/>
      <c r="G1719" s="31"/>
      <c r="H1719" s="31"/>
      <c r="I1719" s="31"/>
      <c r="J1719" s="31"/>
      <c r="K1719" s="31"/>
      <c r="L1719" s="31"/>
    </row>
    <row r="1720" spans="1:12" ht="18.75">
      <c r="A1720" s="9" t="s">
        <v>100</v>
      </c>
      <c r="D1720" s="2">
        <f>'Facility Detail'!$B$1752</f>
        <v>2011</v>
      </c>
      <c r="E1720" s="2">
        <f>D1720+1</f>
        <v>2012</v>
      </c>
      <c r="F1720" s="2">
        <f>E1720+1</f>
        <v>2013</v>
      </c>
      <c r="G1720" s="282">
        <f t="shared" ref="G1720" si="533">F1720+1</f>
        <v>2014</v>
      </c>
      <c r="H1720" s="282">
        <f t="shared" ref="H1720" si="534">G1720+1</f>
        <v>2015</v>
      </c>
      <c r="I1720" s="282">
        <f t="shared" ref="I1720" si="535">H1720+1</f>
        <v>2016</v>
      </c>
      <c r="J1720" s="282">
        <f t="shared" ref="J1720" si="536">I1720+1</f>
        <v>2017</v>
      </c>
      <c r="K1720" s="282">
        <f t="shared" ref="K1720" si="537">J1720+1</f>
        <v>2018</v>
      </c>
      <c r="L1720" s="282"/>
    </row>
    <row r="1721" spans="1:12">
      <c r="B1721" s="88" t="s">
        <v>68</v>
      </c>
      <c r="C1721" s="80"/>
      <c r="D1721" s="283"/>
      <c r="E1721" s="77">
        <f>D1721</f>
        <v>0</v>
      </c>
      <c r="F1721" s="284"/>
      <c r="G1721" s="284"/>
      <c r="H1721" s="284"/>
      <c r="I1721" s="284"/>
      <c r="J1721" s="284"/>
      <c r="K1721" s="285"/>
      <c r="L1721" s="327"/>
    </row>
    <row r="1722" spans="1:12">
      <c r="B1722" s="88" t="s">
        <v>69</v>
      </c>
      <c r="C1722" s="80"/>
      <c r="D1722" s="286">
        <f>E1722</f>
        <v>0</v>
      </c>
      <c r="E1722" s="287"/>
      <c r="F1722" s="288"/>
      <c r="G1722" s="288"/>
      <c r="H1722" s="288"/>
      <c r="I1722" s="288"/>
      <c r="J1722" s="288"/>
      <c r="K1722" s="289"/>
      <c r="L1722" s="327"/>
    </row>
    <row r="1723" spans="1:12">
      <c r="B1723" s="88" t="s">
        <v>70</v>
      </c>
      <c r="C1723" s="80"/>
      <c r="D1723" s="290"/>
      <c r="E1723" s="287">
        <f>E1707</f>
        <v>0</v>
      </c>
      <c r="F1723" s="291">
        <f>E1723</f>
        <v>0</v>
      </c>
      <c r="G1723" s="288"/>
      <c r="H1723" s="288"/>
      <c r="I1723" s="288"/>
      <c r="J1723" s="288"/>
      <c r="K1723" s="289"/>
      <c r="L1723" s="327"/>
    </row>
    <row r="1724" spans="1:12">
      <c r="B1724" s="88" t="s">
        <v>71</v>
      </c>
      <c r="C1724" s="80"/>
      <c r="D1724" s="290"/>
      <c r="E1724" s="291">
        <f>F1724</f>
        <v>0</v>
      </c>
      <c r="F1724" s="292"/>
      <c r="G1724" s="288"/>
      <c r="H1724" s="288"/>
      <c r="I1724" s="288"/>
      <c r="J1724" s="288"/>
      <c r="K1724" s="289"/>
      <c r="L1724" s="327"/>
    </row>
    <row r="1725" spans="1:12">
      <c r="B1725" s="88" t="s">
        <v>194</v>
      </c>
      <c r="C1725" s="33"/>
      <c r="D1725" s="290"/>
      <c r="E1725" s="293"/>
      <c r="F1725" s="287">
        <f>F1707</f>
        <v>0</v>
      </c>
      <c r="G1725" s="294">
        <f>F1725</f>
        <v>0</v>
      </c>
      <c r="H1725" s="288"/>
      <c r="I1725" s="288"/>
      <c r="J1725" s="288"/>
      <c r="K1725" s="289"/>
      <c r="L1725" s="327"/>
    </row>
    <row r="1726" spans="1:12">
      <c r="B1726" s="88" t="s">
        <v>195</v>
      </c>
      <c r="C1726" s="33"/>
      <c r="D1726" s="290"/>
      <c r="E1726" s="293"/>
      <c r="F1726" s="291">
        <f>G1726</f>
        <v>0</v>
      </c>
      <c r="G1726" s="287"/>
      <c r="H1726" s="288"/>
      <c r="I1726" s="288"/>
      <c r="J1726" s="288"/>
      <c r="K1726" s="289"/>
      <c r="L1726" s="327"/>
    </row>
    <row r="1727" spans="1:12">
      <c r="B1727" s="88" t="s">
        <v>196</v>
      </c>
      <c r="C1727" s="33"/>
      <c r="D1727" s="290"/>
      <c r="E1727" s="293"/>
      <c r="F1727" s="293"/>
      <c r="G1727" s="287">
        <f>G1707</f>
        <v>0</v>
      </c>
      <c r="H1727" s="294">
        <f>G1727</f>
        <v>0</v>
      </c>
      <c r="I1727" s="293">
        <f>H1727</f>
        <v>0</v>
      </c>
      <c r="J1727" s="293"/>
      <c r="K1727" s="295"/>
      <c r="L1727" s="328"/>
    </row>
    <row r="1728" spans="1:12">
      <c r="B1728" s="88" t="s">
        <v>197</v>
      </c>
      <c r="C1728" s="33"/>
      <c r="D1728" s="290"/>
      <c r="E1728" s="293"/>
      <c r="F1728" s="293"/>
      <c r="G1728" s="296"/>
      <c r="H1728" s="297"/>
      <c r="I1728" s="293"/>
      <c r="J1728" s="293"/>
      <c r="K1728" s="295"/>
      <c r="L1728" s="328"/>
    </row>
    <row r="1729" spans="1:12">
      <c r="B1729" s="88" t="s">
        <v>198</v>
      </c>
      <c r="C1729" s="33"/>
      <c r="D1729" s="290"/>
      <c r="E1729" s="293"/>
      <c r="F1729" s="293"/>
      <c r="G1729" s="293"/>
      <c r="H1729" s="297">
        <v>0</v>
      </c>
      <c r="I1729" s="294">
        <f>H1729</f>
        <v>0</v>
      </c>
      <c r="J1729" s="288"/>
      <c r="K1729" s="295"/>
      <c r="L1729" s="328"/>
    </row>
    <row r="1730" spans="1:12">
      <c r="B1730" s="88" t="s">
        <v>199</v>
      </c>
      <c r="C1730" s="33"/>
      <c r="D1730" s="290"/>
      <c r="E1730" s="293"/>
      <c r="F1730" s="293"/>
      <c r="G1730" s="293"/>
      <c r="H1730" s="291"/>
      <c r="I1730" s="297"/>
      <c r="J1730" s="288"/>
      <c r="K1730" s="295"/>
      <c r="L1730" s="328"/>
    </row>
    <row r="1731" spans="1:12">
      <c r="B1731" s="88" t="s">
        <v>200</v>
      </c>
      <c r="C1731" s="33"/>
      <c r="D1731" s="290"/>
      <c r="E1731" s="293"/>
      <c r="F1731" s="293"/>
      <c r="G1731" s="293"/>
      <c r="H1731" s="293"/>
      <c r="I1731" s="297">
        <f>I1707</f>
        <v>0</v>
      </c>
      <c r="J1731" s="296">
        <f>I1731</f>
        <v>0</v>
      </c>
      <c r="K1731" s="289"/>
      <c r="L1731" s="327"/>
    </row>
    <row r="1732" spans="1:12">
      <c r="B1732" s="88" t="s">
        <v>191</v>
      </c>
      <c r="C1732" s="33"/>
      <c r="D1732" s="290"/>
      <c r="E1732" s="293"/>
      <c r="F1732" s="293"/>
      <c r="G1732" s="293"/>
      <c r="H1732" s="293"/>
      <c r="I1732" s="298"/>
      <c r="J1732" s="297"/>
      <c r="K1732" s="289"/>
      <c r="L1732" s="327"/>
    </row>
    <row r="1733" spans="1:12">
      <c r="B1733" s="88" t="s">
        <v>192</v>
      </c>
      <c r="C1733" s="33"/>
      <c r="D1733" s="299"/>
      <c r="E1733" s="300"/>
      <c r="F1733" s="300"/>
      <c r="G1733" s="300"/>
      <c r="H1733" s="300"/>
      <c r="I1733" s="300"/>
      <c r="J1733" s="301"/>
      <c r="K1733" s="302"/>
      <c r="L1733" s="298"/>
    </row>
    <row r="1734" spans="1:12">
      <c r="B1734" s="36" t="s">
        <v>17</v>
      </c>
      <c r="D1734" s="303">
        <f xml:space="preserve"> D1727 - D1726</f>
        <v>0</v>
      </c>
      <c r="E1734" s="303">
        <f xml:space="preserve"> E1726 + E1729 - E1728 - E1727</f>
        <v>0</v>
      </c>
      <c r="F1734" s="303">
        <f>F1728 - F1729</f>
        <v>0</v>
      </c>
      <c r="G1734" s="303">
        <f t="shared" ref="G1734" si="538">G1728 - G1729</f>
        <v>0</v>
      </c>
      <c r="H1734" s="303">
        <f>H1727-H1728-H1729</f>
        <v>0</v>
      </c>
      <c r="I1734" s="303">
        <f>I1729-I1730-I1731</f>
        <v>0</v>
      </c>
      <c r="J1734" s="303">
        <f>J1731</f>
        <v>0</v>
      </c>
      <c r="K1734" s="303">
        <f>K1731</f>
        <v>0</v>
      </c>
      <c r="L1734" s="303"/>
    </row>
    <row r="1735" spans="1:12">
      <c r="B1735" s="6"/>
      <c r="D1735" s="303"/>
      <c r="E1735" s="303"/>
      <c r="F1735" s="303"/>
      <c r="G1735" s="303"/>
      <c r="H1735" s="303"/>
      <c r="I1735" s="303"/>
      <c r="J1735" s="303"/>
      <c r="K1735" s="303"/>
      <c r="L1735" s="303"/>
    </row>
    <row r="1736" spans="1:12">
      <c r="B1736" s="85" t="s">
        <v>12</v>
      </c>
      <c r="C1736" s="80"/>
      <c r="D1736" s="304"/>
      <c r="E1736" s="305"/>
      <c r="F1736" s="305"/>
      <c r="G1736" s="305"/>
      <c r="H1736" s="305"/>
      <c r="I1736" s="305"/>
      <c r="J1736" s="305"/>
      <c r="K1736" s="306"/>
      <c r="L1736" s="329"/>
    </row>
    <row r="1737" spans="1:12">
      <c r="B1737" s="6"/>
      <c r="D1737" s="303"/>
      <c r="E1737" s="303"/>
      <c r="F1737" s="303"/>
      <c r="G1737" s="303"/>
      <c r="H1737" s="303"/>
      <c r="I1737" s="303"/>
      <c r="J1737" s="303"/>
      <c r="K1737" s="303"/>
      <c r="L1737" s="303"/>
    </row>
    <row r="1738" spans="1:12" ht="18.75">
      <c r="A1738" s="45" t="s">
        <v>26</v>
      </c>
      <c r="C1738" s="80"/>
      <c r="D1738" s="307">
        <f xml:space="preserve"> D1707 + D1712 - D1718 + D1734 + D1736</f>
        <v>0</v>
      </c>
      <c r="E1738" s="308">
        <f xml:space="preserve"> E1707 + E1712 - E1718 + E1734 + E1736</f>
        <v>0</v>
      </c>
      <c r="F1738" s="308">
        <f xml:space="preserve"> F1707 + F1712 - F1718 + F1734 + F1736</f>
        <v>0</v>
      </c>
      <c r="G1738" s="308">
        <f t="shared" ref="G1738:K1738" si="539" xml:space="preserve"> G1707 + G1712 - G1718 + G1734 + G1736</f>
        <v>0</v>
      </c>
      <c r="H1738" s="308">
        <f t="shared" si="539"/>
        <v>0</v>
      </c>
      <c r="I1738" s="308">
        <f t="shared" si="539"/>
        <v>0</v>
      </c>
      <c r="J1738" s="308">
        <f t="shared" si="539"/>
        <v>0</v>
      </c>
      <c r="K1738" s="309">
        <f t="shared" si="539"/>
        <v>0</v>
      </c>
      <c r="L1738" s="330"/>
    </row>
    <row r="1739" spans="1:12">
      <c r="B1739" s="6"/>
      <c r="D1739" s="7"/>
      <c r="E1739" s="7"/>
      <c r="F1739" s="7"/>
      <c r="G1739" s="31"/>
      <c r="H1739" s="31"/>
      <c r="I1739" s="31"/>
      <c r="J1739" s="31"/>
      <c r="K1739" s="31"/>
      <c r="L1739" s="31"/>
    </row>
    <row r="1740" spans="1:12">
      <c r="B1740" s="6"/>
      <c r="D1740" s="7"/>
      <c r="E1740" s="7"/>
      <c r="F1740" s="7"/>
      <c r="G1740" s="31"/>
      <c r="H1740" s="31"/>
      <c r="I1740" s="31"/>
      <c r="J1740" s="31"/>
      <c r="K1740" s="31"/>
      <c r="L1740" s="31"/>
    </row>
    <row r="1741" spans="1:12">
      <c r="B1741" s="6"/>
      <c r="D1741" s="7"/>
      <c r="E1741" s="7"/>
      <c r="F1741" s="7"/>
      <c r="G1741" s="31"/>
      <c r="H1741" s="31"/>
      <c r="I1741" s="31"/>
      <c r="J1741" s="31"/>
      <c r="K1741" s="31"/>
      <c r="L1741" s="31"/>
    </row>
    <row r="1742" spans="1:12" outlineLevel="1"/>
    <row r="1743" spans="1:12" outlineLevel="1">
      <c r="B1743" s="6" t="s">
        <v>29</v>
      </c>
    </row>
    <row r="1744" spans="1:12" outlineLevel="1">
      <c r="B1744" s="16" t="s">
        <v>0</v>
      </c>
    </row>
    <row r="1745" spans="2:2" outlineLevel="1">
      <c r="B1745" s="18" t="s">
        <v>1</v>
      </c>
    </row>
    <row r="1746" spans="2:2" outlineLevel="1">
      <c r="B1746" s="19" t="s">
        <v>2</v>
      </c>
    </row>
    <row r="1747" spans="2:2" outlineLevel="1"/>
    <row r="1748" spans="2:2" outlineLevel="1">
      <c r="B1748" s="6" t="s">
        <v>28</v>
      </c>
    </row>
    <row r="1749" spans="2:2" outlineLevel="1">
      <c r="B1749" s="17">
        <v>0.2</v>
      </c>
    </row>
    <row r="1750" spans="2:2" outlineLevel="1"/>
    <row r="1751" spans="2:2" outlineLevel="1">
      <c r="B1751" s="6" t="s">
        <v>8</v>
      </c>
    </row>
    <row r="1752" spans="2:2" outlineLevel="1">
      <c r="B1752" s="17">
        <v>2011</v>
      </c>
    </row>
    <row r="1753" spans="2:2" outlineLevel="1"/>
    <row r="1754" spans="2:2" outlineLevel="1">
      <c r="B1754" s="6" t="s">
        <v>106</v>
      </c>
    </row>
    <row r="1755" spans="2:2" outlineLevel="1">
      <c r="B1755" s="16"/>
    </row>
    <row r="1756" spans="2:2" outlineLevel="1">
      <c r="B1756" s="18" t="s">
        <v>107</v>
      </c>
    </row>
    <row r="1757" spans="2:2" outlineLevel="1">
      <c r="B1757" s="18" t="s">
        <v>108</v>
      </c>
    </row>
    <row r="1758" spans="2:2" outlineLevel="1">
      <c r="B1758" s="18" t="s">
        <v>114</v>
      </c>
    </row>
    <row r="1759" spans="2:2" outlineLevel="1">
      <c r="B1759" s="18" t="s">
        <v>112</v>
      </c>
    </row>
    <row r="1760" spans="2:2" outlineLevel="1">
      <c r="B1760" s="18" t="s">
        <v>109</v>
      </c>
    </row>
    <row r="1761" spans="2:2" outlineLevel="1">
      <c r="B1761" s="18" t="s">
        <v>110</v>
      </c>
    </row>
    <row r="1762" spans="2:2" outlineLevel="1">
      <c r="B1762" s="18" t="s">
        <v>113</v>
      </c>
    </row>
    <row r="1763" spans="2:2" outlineLevel="1">
      <c r="B1763" s="18" t="s">
        <v>111</v>
      </c>
    </row>
    <row r="1764" spans="2:2" outlineLevel="1">
      <c r="B1764" s="118" t="s">
        <v>120</v>
      </c>
    </row>
    <row r="1765" spans="2:2" outlineLevel="1"/>
  </sheetData>
  <mergeCells count="2">
    <mergeCell ref="B41:G41"/>
    <mergeCell ref="B42:G42"/>
  </mergeCells>
  <phoneticPr fontId="5" type="noConversion"/>
  <dataValidations disablePrompts="1" count="2">
    <dataValidation type="list" allowBlank="1" showInputMessage="1" showErrorMessage="1" sqref="E2:F40">
      <formula1>LaborBonus</formula1>
    </dataValidation>
    <dataValidation type="list" allowBlank="1" showInputMessage="1" showErrorMessage="1" sqref="D2:D40">
      <formula1>Facility</formula1>
    </dataValidation>
  </dataValidations>
  <printOptions horizontalCentered="1"/>
  <pageMargins left="0" right="0" top="0" bottom="0.5" header="0" footer="0"/>
  <pageSetup scale="56" fitToHeight="0" orientation="landscape" r:id="rId1"/>
  <headerFooter alignWithMargins="0">
    <oddFooter>&amp;CCONFIDENTIAL PER WAC 480-07-160</oddFooter>
  </headerFooter>
  <rowBreaks count="39" manualBreakCount="39">
    <brk id="42" max="11" man="1"/>
    <brk id="86" max="11" man="1"/>
    <brk id="130" max="11" man="1"/>
    <brk id="174" max="11" man="1"/>
    <brk id="218" max="11" man="1"/>
    <brk id="262" max="11" man="1"/>
    <brk id="306" max="11" man="1"/>
    <brk id="344" max="11" man="1"/>
    <brk id="382" max="11" man="1"/>
    <brk id="426" max="11" man="1"/>
    <brk id="470" max="11" man="1"/>
    <brk id="514" max="11" man="1"/>
    <brk id="558" max="11" man="1"/>
    <brk id="602" max="11" man="1"/>
    <brk id="644" max="11" man="1"/>
    <brk id="688" max="11" man="1"/>
    <brk id="732" max="11" man="1"/>
    <brk id="776" max="11" man="1"/>
    <brk id="820" max="11" man="1"/>
    <brk id="862" max="11" man="1"/>
    <brk id="902" max="11" man="1"/>
    <brk id="944" max="11" man="1"/>
    <brk id="986" max="11" man="1"/>
    <brk id="1028" max="11" man="1"/>
    <brk id="1070" max="11" man="1"/>
    <brk id="1112" max="11" man="1"/>
    <brk id="1154" max="11" man="1"/>
    <brk id="1196" max="11" man="1"/>
    <brk id="1238" max="11" man="1"/>
    <brk id="1279" max="11" man="1"/>
    <brk id="1321" max="11" man="1"/>
    <brk id="1362" max="11" man="1"/>
    <brk id="1403" max="11" man="1"/>
    <brk id="1446" max="11" man="1"/>
    <brk id="1489" max="11" man="1"/>
    <brk id="1531" max="11" man="1"/>
    <brk id="1573" max="11" man="1"/>
    <brk id="1615" max="11" man="1"/>
    <brk id="1657"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N65"/>
  <sheetViews>
    <sheetView showGridLines="0" view="pageBreakPreview" zoomScale="60" zoomScaleNormal="100" workbookViewId="0">
      <selection activeCell="H71" sqref="H71"/>
    </sheetView>
  </sheetViews>
  <sheetFormatPr defaultRowHeight="12.75" outlineLevelRow="1"/>
  <cols>
    <col min="1" max="1" width="27" style="119" customWidth="1"/>
    <col min="2" max="9" width="22.7109375" style="119" customWidth="1"/>
    <col min="10" max="10" width="14.28515625" style="119" customWidth="1"/>
    <col min="11" max="16384" width="9.140625" style="119"/>
  </cols>
  <sheetData>
    <row r="2" spans="1:9" ht="21">
      <c r="A2" s="132" t="s">
        <v>118</v>
      </c>
    </row>
    <row r="4" spans="1:9" ht="15">
      <c r="B4" s="121">
        <v>2011</v>
      </c>
      <c r="C4" s="121">
        <v>2012</v>
      </c>
      <c r="D4" s="121">
        <v>2013</v>
      </c>
      <c r="E4" s="121">
        <v>2014</v>
      </c>
      <c r="F4" s="121">
        <v>2015</v>
      </c>
      <c r="G4" s="121">
        <v>2016</v>
      </c>
      <c r="H4" s="121">
        <v>2017</v>
      </c>
      <c r="I4" s="121">
        <v>2018</v>
      </c>
    </row>
    <row r="5" spans="1:9" ht="15">
      <c r="A5" s="120" t="s">
        <v>107</v>
      </c>
      <c r="B5" s="123">
        <f xml:space="preserve"> SUMIF( $B$21:$B$58, $A5, C$21:C$58 )</f>
        <v>0</v>
      </c>
      <c r="C5" s="124">
        <f t="shared" ref="C5:H5" si="0" xml:space="preserve"> SUMIF( $B$21:$B$58, $A5, D$21:D$58 )</f>
        <v>117079</v>
      </c>
      <c r="D5" s="246">
        <f t="shared" si="0"/>
        <v>118504</v>
      </c>
      <c r="E5" s="124">
        <f t="shared" si="0"/>
        <v>120300</v>
      </c>
      <c r="F5" s="252">
        <f t="shared" si="0"/>
        <v>81660</v>
      </c>
      <c r="G5" s="251">
        <f t="shared" si="0"/>
        <v>354847</v>
      </c>
      <c r="H5" s="251">
        <f t="shared" si="0"/>
        <v>313597</v>
      </c>
      <c r="I5" s="312">
        <v>281528.1213152</v>
      </c>
    </row>
    <row r="6" spans="1:9" ht="15">
      <c r="A6" s="120" t="s">
        <v>108</v>
      </c>
      <c r="B6" s="126">
        <f t="shared" ref="B6:B13" si="1" xml:space="preserve"> SUMIF( $B$21:$B$58, $A6, C$21:C$58 )</f>
        <v>0</v>
      </c>
      <c r="C6" s="127">
        <f t="shared" ref="C6:H6" si="2" xml:space="preserve"> SUMIF( $B$21:$B$58, $A6, D$21:D$58 )</f>
        <v>0</v>
      </c>
      <c r="D6" s="245">
        <f t="shared" si="2"/>
        <v>0</v>
      </c>
      <c r="E6" s="127">
        <f t="shared" si="2"/>
        <v>0</v>
      </c>
      <c r="F6" s="127">
        <f t="shared" si="2"/>
        <v>0</v>
      </c>
      <c r="G6" s="245">
        <f t="shared" si="2"/>
        <v>316</v>
      </c>
      <c r="H6" s="245">
        <f t="shared" si="2"/>
        <v>44237.406696699145</v>
      </c>
      <c r="I6" s="313">
        <v>85757</v>
      </c>
    </row>
    <row r="7" spans="1:9" ht="15">
      <c r="A7" s="120" t="s">
        <v>114</v>
      </c>
      <c r="B7" s="126">
        <f t="shared" si="1"/>
        <v>0</v>
      </c>
      <c r="C7" s="127">
        <f t="shared" ref="C7:H7" si="3" xml:space="preserve"> SUMIF( $B$21:$B$58, $A7, D$21:D$58 )</f>
        <v>2779</v>
      </c>
      <c r="D7" s="245">
        <f t="shared" si="3"/>
        <v>2212</v>
      </c>
      <c r="E7" s="127">
        <f t="shared" si="3"/>
        <v>1719</v>
      </c>
      <c r="F7" s="127">
        <f t="shared" si="3"/>
        <v>1495</v>
      </c>
      <c r="G7" s="245">
        <f t="shared" si="3"/>
        <v>1772</v>
      </c>
      <c r="H7" s="245">
        <f t="shared" si="3"/>
        <v>2253</v>
      </c>
      <c r="I7" s="313">
        <v>1848</v>
      </c>
    </row>
    <row r="8" spans="1:9" ht="15">
      <c r="A8" s="120" t="s">
        <v>112</v>
      </c>
      <c r="B8" s="126">
        <f t="shared" si="1"/>
        <v>0</v>
      </c>
      <c r="C8" s="127">
        <f t="shared" ref="C8:H8" si="4" xml:space="preserve"> SUMIF( $B$21:$B$58, $A8, D$21:D$58 )</f>
        <v>0</v>
      </c>
      <c r="D8" s="245">
        <f t="shared" si="4"/>
        <v>0</v>
      </c>
      <c r="E8" s="127">
        <f t="shared" si="4"/>
        <v>0</v>
      </c>
      <c r="F8" s="244">
        <f t="shared" si="4"/>
        <v>40000</v>
      </c>
      <c r="G8" s="245">
        <f t="shared" si="4"/>
        <v>0</v>
      </c>
      <c r="H8" s="245">
        <f t="shared" si="4"/>
        <v>0</v>
      </c>
      <c r="I8" s="313">
        <v>0</v>
      </c>
    </row>
    <row r="9" spans="1:9" ht="15">
      <c r="A9" s="120" t="s">
        <v>109</v>
      </c>
      <c r="B9" s="126">
        <f t="shared" si="1"/>
        <v>0</v>
      </c>
      <c r="C9" s="127">
        <f t="shared" ref="C9:H9" si="5" xml:space="preserve"> SUMIF( $B$21:$B$58, $A9, D$21:D$58 )</f>
        <v>0</v>
      </c>
      <c r="D9" s="245">
        <f t="shared" si="5"/>
        <v>0</v>
      </c>
      <c r="E9" s="127">
        <f t="shared" si="5"/>
        <v>0</v>
      </c>
      <c r="F9" s="253">
        <f t="shared" si="5"/>
        <v>0</v>
      </c>
      <c r="G9" s="245">
        <f t="shared" si="5"/>
        <v>0</v>
      </c>
      <c r="H9" s="245">
        <f t="shared" si="5"/>
        <v>0</v>
      </c>
      <c r="I9" s="313">
        <v>0</v>
      </c>
    </row>
    <row r="10" spans="1:9" ht="15">
      <c r="A10" s="120" t="s">
        <v>110</v>
      </c>
      <c r="B10" s="126">
        <f t="shared" si="1"/>
        <v>0</v>
      </c>
      <c r="C10" s="127">
        <f t="shared" ref="C10:H10" si="6" xml:space="preserve"> SUMIF( $B$21:$B$58, $A10, D$21:D$58 )</f>
        <v>0</v>
      </c>
      <c r="D10" s="245">
        <f t="shared" si="6"/>
        <v>0</v>
      </c>
      <c r="E10" s="127">
        <f t="shared" si="6"/>
        <v>0</v>
      </c>
      <c r="F10" s="243">
        <f t="shared" si="6"/>
        <v>0</v>
      </c>
      <c r="G10" s="245">
        <f t="shared" si="6"/>
        <v>13231</v>
      </c>
      <c r="H10" s="245">
        <f t="shared" si="6"/>
        <v>3960</v>
      </c>
      <c r="I10" s="313">
        <v>0</v>
      </c>
    </row>
    <row r="11" spans="1:9" ht="15">
      <c r="A11" s="120" t="s">
        <v>113</v>
      </c>
      <c r="B11" s="126">
        <f t="shared" si="1"/>
        <v>0</v>
      </c>
      <c r="C11" s="127">
        <f t="shared" ref="C11:H11" si="7" xml:space="preserve"> SUMIF( $B$21:$B$58, $A11, D$21:D$58 )</f>
        <v>0</v>
      </c>
      <c r="D11" s="245">
        <f t="shared" si="7"/>
        <v>0</v>
      </c>
      <c r="E11" s="247">
        <f t="shared" si="7"/>
        <v>0</v>
      </c>
      <c r="F11" s="127">
        <f t="shared" si="7"/>
        <v>0</v>
      </c>
      <c r="G11" s="245">
        <f t="shared" si="7"/>
        <v>0</v>
      </c>
      <c r="H11" s="245">
        <f t="shared" si="7"/>
        <v>0</v>
      </c>
      <c r="I11" s="313">
        <v>0</v>
      </c>
    </row>
    <row r="12" spans="1:9" ht="15">
      <c r="A12" s="120" t="s">
        <v>111</v>
      </c>
      <c r="B12" s="126">
        <f t="shared" si="1"/>
        <v>0</v>
      </c>
      <c r="C12" s="127">
        <f t="shared" ref="C12:H12" si="8" xml:space="preserve"> SUMIF( $B$21:$B$58, $A12, D$21:D$58 )</f>
        <v>0</v>
      </c>
      <c r="D12" s="245">
        <f t="shared" si="8"/>
        <v>0</v>
      </c>
      <c r="E12" s="248">
        <f t="shared" si="8"/>
        <v>0</v>
      </c>
      <c r="F12" s="127">
        <f t="shared" si="8"/>
        <v>0</v>
      </c>
      <c r="G12" s="245">
        <f t="shared" si="8"/>
        <v>0</v>
      </c>
      <c r="H12" s="245">
        <f t="shared" si="8"/>
        <v>0</v>
      </c>
      <c r="I12" s="313">
        <v>0</v>
      </c>
    </row>
    <row r="13" spans="1:9" ht="15">
      <c r="A13" s="120" t="s">
        <v>120</v>
      </c>
      <c r="B13" s="128">
        <f t="shared" si="1"/>
        <v>0</v>
      </c>
      <c r="C13" s="129">
        <f t="shared" ref="C13:H13" si="9" xml:space="preserve"> SUMIF( $B$21:$B$58, $A13, D$21:D$58 )</f>
        <v>0</v>
      </c>
      <c r="D13" s="250">
        <f t="shared" si="9"/>
        <v>0</v>
      </c>
      <c r="E13" s="249">
        <f t="shared" si="9"/>
        <v>0</v>
      </c>
      <c r="F13" s="314">
        <f t="shared" si="9"/>
        <v>0</v>
      </c>
      <c r="G13" s="315">
        <f t="shared" si="9"/>
        <v>0</v>
      </c>
      <c r="H13" s="315">
        <f t="shared" si="9"/>
        <v>0</v>
      </c>
      <c r="I13" s="316">
        <v>0</v>
      </c>
    </row>
    <row r="14" spans="1:9" ht="15.75">
      <c r="A14" s="133"/>
      <c r="B14" s="134"/>
      <c r="C14" s="134"/>
      <c r="D14" s="134"/>
      <c r="E14" s="134"/>
      <c r="F14" s="134"/>
      <c r="G14" s="134"/>
    </row>
    <row r="19" spans="1:14" hidden="1" outlineLevel="1"/>
    <row r="20" spans="1:14" ht="15" hidden="1" outlineLevel="1">
      <c r="A20" s="131" t="s">
        <v>48</v>
      </c>
      <c r="B20" s="130" t="s">
        <v>115</v>
      </c>
      <c r="C20" s="130">
        <v>2011</v>
      </c>
      <c r="D20" s="130">
        <v>2012</v>
      </c>
      <c r="E20" s="130">
        <v>2013</v>
      </c>
      <c r="F20" s="130">
        <v>2014</v>
      </c>
      <c r="G20" s="130">
        <v>2015</v>
      </c>
      <c r="H20" s="130">
        <v>2016</v>
      </c>
      <c r="I20" s="130">
        <v>2017</v>
      </c>
      <c r="J20" s="130">
        <v>2018</v>
      </c>
      <c r="K20" s="130">
        <v>2019</v>
      </c>
      <c r="L20" s="130">
        <v>2020</v>
      </c>
      <c r="M20" s="130">
        <v>2021</v>
      </c>
      <c r="N20" s="130">
        <v>2022</v>
      </c>
    </row>
    <row r="21" spans="1:14" ht="15" hidden="1" outlineLevel="1">
      <c r="A21" s="122" t="str">
        <f>'Facility Detail'!B2</f>
        <v>Goodnoe Hills</v>
      </c>
      <c r="B21" s="122" t="str">
        <f xml:space="preserve"> IF( 'Facility Detail'!D2 = "", "", 'Facility Detail'!D2 )</f>
        <v>Wind</v>
      </c>
      <c r="C21" s="123">
        <f>'Facility Detail'!D84</f>
        <v>0</v>
      </c>
      <c r="D21" s="123">
        <f>'Facility Detail'!E84</f>
        <v>18896</v>
      </c>
      <c r="E21" s="123">
        <f>'Facility Detail'!F84</f>
        <v>17608</v>
      </c>
      <c r="F21" s="123">
        <f>'Facility Detail'!G84</f>
        <v>24054</v>
      </c>
      <c r="G21" s="123">
        <f>'Facility Detail'!H84</f>
        <v>20890</v>
      </c>
      <c r="H21" s="123">
        <f>'Facility Detail'!I84</f>
        <v>23675</v>
      </c>
      <c r="I21" s="123">
        <f>'Facility Detail'!J84</f>
        <v>15514</v>
      </c>
      <c r="J21" s="123">
        <f>'Facility Detail'!K84</f>
        <v>0</v>
      </c>
      <c r="K21" s="124">
        <f>'Facility Detail'!M84</f>
        <v>0</v>
      </c>
      <c r="L21" s="124">
        <f>'Facility Detail'!N84</f>
        <v>0</v>
      </c>
      <c r="M21" s="124">
        <f>'Facility Detail'!O84</f>
        <v>0</v>
      </c>
      <c r="N21" s="124">
        <f>'Facility Detail'!P84</f>
        <v>0</v>
      </c>
    </row>
    <row r="22" spans="1:14" ht="15" hidden="1" outlineLevel="1">
      <c r="A22" s="122" t="str">
        <f>'Facility Detail'!B3</f>
        <v>Leaning Juniper</v>
      </c>
      <c r="B22" s="122" t="str">
        <f xml:space="preserve"> IF( 'Facility Detail'!D3 = "", "", 'Facility Detail'!D3 )</f>
        <v>Wind</v>
      </c>
      <c r="C22" s="123">
        <f>'Facility Detail'!D128</f>
        <v>0</v>
      </c>
      <c r="D22" s="123">
        <f>'Facility Detail'!E128</f>
        <v>18530</v>
      </c>
      <c r="E22" s="123">
        <f>'Facility Detail'!F128</f>
        <v>15200</v>
      </c>
      <c r="F22" s="123">
        <f>'Facility Detail'!G128</f>
        <v>16235</v>
      </c>
      <c r="G22" s="123">
        <f>'Facility Detail'!H128</f>
        <v>17270</v>
      </c>
      <c r="H22" s="123">
        <f>'Facility Detail'!I128</f>
        <v>31739</v>
      </c>
      <c r="I22" s="123">
        <f>'Facility Detail'!J128</f>
        <v>12585</v>
      </c>
      <c r="J22" s="123">
        <f>'Facility Detail'!K128</f>
        <v>0</v>
      </c>
      <c r="K22" s="127">
        <f>'Facility Detail'!M128</f>
        <v>0</v>
      </c>
      <c r="L22" s="127">
        <f>'Facility Detail'!N128</f>
        <v>0</v>
      </c>
      <c r="M22" s="127">
        <f>'Facility Detail'!O128</f>
        <v>0</v>
      </c>
      <c r="N22" s="127">
        <f>'Facility Detail'!P128</f>
        <v>0</v>
      </c>
    </row>
    <row r="23" spans="1:14" ht="15" hidden="1" outlineLevel="1">
      <c r="A23" s="122" t="str">
        <f>'Facility Detail'!B4</f>
        <v>Marengo I</v>
      </c>
      <c r="B23" s="122" t="str">
        <f xml:space="preserve"> IF( 'Facility Detail'!D4 = "", "", 'Facility Detail'!D4 )</f>
        <v>Wind</v>
      </c>
      <c r="C23" s="123">
        <f>'Facility Detail'!D172</f>
        <v>0</v>
      </c>
      <c r="D23" s="123">
        <f>'Facility Detail'!E172</f>
        <v>31837</v>
      </c>
      <c r="E23" s="123">
        <f>'Facility Detail'!F172</f>
        <v>28557</v>
      </c>
      <c r="F23" s="123">
        <f>'Facility Detail'!G172</f>
        <v>26084</v>
      </c>
      <c r="G23" s="123">
        <f>'Facility Detail'!H172</f>
        <v>29478</v>
      </c>
      <c r="H23" s="123">
        <f>'Facility Detail'!I172</f>
        <v>53149</v>
      </c>
      <c r="I23" s="123">
        <f>'Facility Detail'!J172</f>
        <v>25507</v>
      </c>
      <c r="J23" s="123">
        <f>'Facility Detail'!K172</f>
        <v>0</v>
      </c>
      <c r="K23" s="127">
        <f>'Facility Detail'!M172</f>
        <v>0</v>
      </c>
      <c r="L23" s="127">
        <f>'Facility Detail'!N172</f>
        <v>0</v>
      </c>
      <c r="M23" s="127">
        <f>'Facility Detail'!O172</f>
        <v>0</v>
      </c>
      <c r="N23" s="127">
        <f>'Facility Detail'!P172</f>
        <v>0</v>
      </c>
    </row>
    <row r="24" spans="1:14" ht="15" hidden="1" outlineLevel="1">
      <c r="A24" s="122" t="str">
        <f>'Facility Detail'!B5</f>
        <v>Marengo II</v>
      </c>
      <c r="B24" s="122" t="str">
        <f xml:space="preserve"> IF( 'Facility Detail'!D5 = "", "", 'Facility Detail'!D5 )</f>
        <v>Wind</v>
      </c>
      <c r="C24" s="123">
        <f>'Facility Detail'!D216</f>
        <v>0</v>
      </c>
      <c r="D24" s="123">
        <f>'Facility Detail'!E216</f>
        <v>15341</v>
      </c>
      <c r="E24" s="123">
        <f>'Facility Detail'!F216</f>
        <v>14137</v>
      </c>
      <c r="F24" s="123">
        <f>'Facility Detail'!G216</f>
        <v>12175</v>
      </c>
      <c r="G24" s="123">
        <f>'Facility Detail'!H216</f>
        <v>14022</v>
      </c>
      <c r="H24" s="123">
        <f>'Facility Detail'!I216</f>
        <v>25020</v>
      </c>
      <c r="I24" s="123">
        <f>'Facility Detail'!J216</f>
        <v>12396</v>
      </c>
      <c r="J24" s="123">
        <f>'Facility Detail'!K216</f>
        <v>0</v>
      </c>
      <c r="K24" s="127">
        <f>'Facility Detail'!M216</f>
        <v>0</v>
      </c>
      <c r="L24" s="127">
        <f>'Facility Detail'!N216</f>
        <v>0</v>
      </c>
      <c r="M24" s="127">
        <f>'Facility Detail'!O216</f>
        <v>0</v>
      </c>
      <c r="N24" s="127">
        <f>'Facility Detail'!P216</f>
        <v>0</v>
      </c>
    </row>
    <row r="25" spans="1:14" ht="15" hidden="1" outlineLevel="1">
      <c r="A25" s="122" t="str">
        <f>'Facility Detail'!B6</f>
        <v>Bennett Creek Windfarm - REC Only</v>
      </c>
      <c r="B25" s="122" t="str">
        <f xml:space="preserve"> IF( 'Facility Detail'!D6 = "", "", 'Facility Detail'!D6 )</f>
        <v>Wind</v>
      </c>
      <c r="C25" s="123">
        <f>'Facility Detail'!D260</f>
        <v>0</v>
      </c>
      <c r="D25" s="123">
        <f>'Facility Detail'!E260</f>
        <v>12259</v>
      </c>
      <c r="E25" s="123">
        <f>'Facility Detail'!F260</f>
        <v>0</v>
      </c>
      <c r="F25" s="123">
        <f>'Facility Detail'!G260</f>
        <v>0</v>
      </c>
      <c r="G25" s="123">
        <f>'Facility Detail'!H260</f>
        <v>0</v>
      </c>
      <c r="H25" s="123">
        <f>'Facility Detail'!I260</f>
        <v>8656</v>
      </c>
      <c r="I25" s="123">
        <f>'Facility Detail'!J260</f>
        <v>11174</v>
      </c>
      <c r="J25" s="123">
        <f>'Facility Detail'!K260</f>
        <v>0</v>
      </c>
      <c r="K25" s="127">
        <f>'Facility Detail'!M260</f>
        <v>0</v>
      </c>
      <c r="L25" s="127">
        <f>'Facility Detail'!N260</f>
        <v>0</v>
      </c>
      <c r="M25" s="127">
        <f>'Facility Detail'!O260</f>
        <v>0</v>
      </c>
      <c r="N25" s="127">
        <f>'Facility Detail'!P260</f>
        <v>0</v>
      </c>
    </row>
    <row r="26" spans="1:14" ht="15" hidden="1" outlineLevel="1">
      <c r="A26" s="122" t="str">
        <f>'Facility Detail'!B7</f>
        <v>Hot Springs Windfarm - REC Only</v>
      </c>
      <c r="B26" s="122" t="str">
        <f xml:space="preserve"> IF( 'Facility Detail'!D7 = "", "", 'Facility Detail'!D7 )</f>
        <v>Wind</v>
      </c>
      <c r="C26" s="123">
        <f>'Facility Detail'!D304</f>
        <v>0</v>
      </c>
      <c r="D26" s="123">
        <f>'Facility Detail'!E304</f>
        <v>7963</v>
      </c>
      <c r="E26" s="123">
        <f>'Facility Detail'!F304</f>
        <v>0</v>
      </c>
      <c r="F26" s="123">
        <f>'Facility Detail'!G304</f>
        <v>0</v>
      </c>
      <c r="G26" s="123">
        <f>'Facility Detail'!H304</f>
        <v>0</v>
      </c>
      <c r="H26" s="123">
        <f>'Facility Detail'!I304</f>
        <v>8028</v>
      </c>
      <c r="I26" s="123">
        <f>'Facility Detail'!J304</f>
        <v>10218</v>
      </c>
      <c r="J26" s="123">
        <f>'Facility Detail'!K304</f>
        <v>0</v>
      </c>
      <c r="K26" s="127">
        <f>'Facility Detail'!M304</f>
        <v>0</v>
      </c>
      <c r="L26" s="127">
        <f>'Facility Detail'!N304</f>
        <v>0</v>
      </c>
      <c r="M26" s="127">
        <f>'Facility Detail'!O304</f>
        <v>0</v>
      </c>
      <c r="N26" s="127">
        <f>'Facility Detail'!P304</f>
        <v>0</v>
      </c>
    </row>
    <row r="27" spans="1:14" ht="15" hidden="1" outlineLevel="1">
      <c r="A27" s="122" t="str">
        <f>'Facility Detail'!B8</f>
        <v>*Tuana Springs - REC Only</v>
      </c>
      <c r="B27" s="122" t="str">
        <f xml:space="preserve"> IF( 'Facility Detail'!D8 = "", "", 'Facility Detail'!D8 )</f>
        <v>Wind</v>
      </c>
      <c r="C27" s="123">
        <f>'Facility Detail'!D342</f>
        <v>0</v>
      </c>
      <c r="D27" s="123">
        <f>'Facility Detail'!E342</f>
        <v>12253</v>
      </c>
      <c r="E27" s="123">
        <f>'Facility Detail'!F342</f>
        <v>43002</v>
      </c>
      <c r="F27" s="123">
        <f>'Facility Detail'!G342</f>
        <v>41752</v>
      </c>
      <c r="G27" s="123">
        <f>'Facility Detail'!H342</f>
        <v>0</v>
      </c>
      <c r="H27" s="123">
        <f>'Facility Detail'!I342</f>
        <v>0</v>
      </c>
      <c r="I27" s="123">
        <f>'Facility Detail'!J342</f>
        <v>0</v>
      </c>
      <c r="J27" s="123">
        <f>'Facility Detail'!K342</f>
        <v>0</v>
      </c>
      <c r="K27" s="127">
        <f>'Facility Detail'!M342</f>
        <v>0</v>
      </c>
      <c r="L27" s="127">
        <f>'Facility Detail'!N342</f>
        <v>0</v>
      </c>
      <c r="M27" s="127">
        <f>'Facility Detail'!O342</f>
        <v>0</v>
      </c>
      <c r="N27" s="127">
        <f>'Facility Detail'!P342</f>
        <v>0</v>
      </c>
    </row>
    <row r="28" spans="1:14" ht="15" hidden="1" outlineLevel="1">
      <c r="A28" s="122" t="str">
        <f>'Facility Detail'!B9</f>
        <v>Wanapum (Upgrade)</v>
      </c>
      <c r="B28" s="122" t="str">
        <f xml:space="preserve"> IF( 'Facility Detail'!D9 = "", "", 'Facility Detail'!D9 )</f>
        <v>Water (Incremental Hydro)</v>
      </c>
      <c r="C28" s="123">
        <f>'Facility Detail'!D380</f>
        <v>0</v>
      </c>
      <c r="D28" s="123">
        <f>'Facility Detail'!E380</f>
        <v>678</v>
      </c>
      <c r="E28" s="123">
        <f>'Facility Detail'!F380</f>
        <v>631</v>
      </c>
      <c r="F28" s="123">
        <f>'Facility Detail'!G380</f>
        <v>0</v>
      </c>
      <c r="G28" s="123">
        <f>'Facility Detail'!H380</f>
        <v>0</v>
      </c>
      <c r="H28" s="123">
        <f>'Facility Detail'!I380</f>
        <v>0</v>
      </c>
      <c r="I28" s="123">
        <f>'Facility Detail'!J380</f>
        <v>0</v>
      </c>
      <c r="J28" s="123">
        <f>'Facility Detail'!K380</f>
        <v>0</v>
      </c>
      <c r="K28" s="127">
        <f>'Facility Detail'!M380</f>
        <v>0</v>
      </c>
      <c r="L28" s="127">
        <f>'Facility Detail'!N380</f>
        <v>0</v>
      </c>
      <c r="M28" s="127">
        <f>'Facility Detail'!O380</f>
        <v>0</v>
      </c>
      <c r="N28" s="127">
        <f>'Facility Detail'!P380</f>
        <v>0</v>
      </c>
    </row>
    <row r="29" spans="1:14" ht="15" hidden="1" outlineLevel="1">
      <c r="A29" s="122" t="str">
        <f>'Facility Detail'!B10</f>
        <v>Prospect 2 (Upgrade 1999)</v>
      </c>
      <c r="B29" s="122" t="str">
        <f xml:space="preserve"> IF( 'Facility Detail'!D10 = "", "", 'Facility Detail'!D10 )</f>
        <v>Water (Incremental Hydro)</v>
      </c>
      <c r="C29" s="123">
        <f>'Facility Detail'!D424</f>
        <v>0</v>
      </c>
      <c r="D29" s="123">
        <f>'Facility Detail'!E424</f>
        <v>328</v>
      </c>
      <c r="E29" s="123">
        <f>'Facility Detail'!F424</f>
        <v>293</v>
      </c>
      <c r="F29" s="123">
        <f>'Facility Detail'!G424</f>
        <v>278</v>
      </c>
      <c r="G29" s="123">
        <f>'Facility Detail'!H424</f>
        <v>226</v>
      </c>
      <c r="H29" s="123">
        <f>'Facility Detail'!I424</f>
        <v>329</v>
      </c>
      <c r="I29" s="123">
        <f>'Facility Detail'!J424</f>
        <v>346</v>
      </c>
      <c r="J29" s="123">
        <f>'Facility Detail'!K424</f>
        <v>0</v>
      </c>
      <c r="K29" s="127">
        <f>'Facility Detail'!M424</f>
        <v>0</v>
      </c>
      <c r="L29" s="127">
        <f>'Facility Detail'!N424</f>
        <v>0</v>
      </c>
      <c r="M29" s="127">
        <f>'Facility Detail'!O424</f>
        <v>0</v>
      </c>
      <c r="N29" s="127">
        <f>'Facility Detail'!P424</f>
        <v>0</v>
      </c>
    </row>
    <row r="30" spans="1:14" ht="15" hidden="1" outlineLevel="1">
      <c r="A30" s="122" t="str">
        <f>'Facility Detail'!B11</f>
        <v>Lemolo 1 (Upgrade 2003)</v>
      </c>
      <c r="B30" s="122" t="str">
        <f xml:space="preserve"> IF( 'Facility Detail'!D11 = "", "", 'Facility Detail'!D11 )</f>
        <v>Water (Incremental Hydro)</v>
      </c>
      <c r="C30" s="123">
        <f>'Facility Detail'!D468</f>
        <v>0</v>
      </c>
      <c r="D30" s="123">
        <f>'Facility Detail'!E468</f>
        <v>1355</v>
      </c>
      <c r="E30" s="123">
        <f>'Facility Detail'!F468</f>
        <v>997</v>
      </c>
      <c r="F30" s="123">
        <f>'Facility Detail'!G468</f>
        <v>1148</v>
      </c>
      <c r="G30" s="123">
        <f>'Facility Detail'!H468</f>
        <v>1011</v>
      </c>
      <c r="H30" s="123">
        <f>'Facility Detail'!I468</f>
        <v>1113</v>
      </c>
      <c r="I30" s="123">
        <f>'Facility Detail'!J468</f>
        <v>1438</v>
      </c>
      <c r="J30" s="123">
        <f>'Facility Detail'!K468</f>
        <v>0</v>
      </c>
      <c r="K30" s="127">
        <f>'Facility Detail'!M468</f>
        <v>0</v>
      </c>
      <c r="L30" s="127">
        <f>'Facility Detail'!N468</f>
        <v>0</v>
      </c>
      <c r="M30" s="127">
        <f>'Facility Detail'!O468</f>
        <v>0</v>
      </c>
      <c r="N30" s="127">
        <f>'Facility Detail'!P468</f>
        <v>0</v>
      </c>
    </row>
    <row r="31" spans="1:14" ht="15" hidden="1" outlineLevel="1">
      <c r="A31" s="122" t="str">
        <f>'Facility Detail'!B12</f>
        <v>JC Boyle (Upgrade 2005)</v>
      </c>
      <c r="B31" s="122" t="str">
        <f xml:space="preserve"> IF( 'Facility Detail'!D12 = "", "", 'Facility Detail'!D12 )</f>
        <v>Water (Incremental Hydro)</v>
      </c>
      <c r="C31" s="123">
        <f>'Facility Detail'!D512</f>
        <v>0</v>
      </c>
      <c r="D31" s="123">
        <f>'Facility Detail'!E512</f>
        <v>276</v>
      </c>
      <c r="E31" s="123">
        <f>'Facility Detail'!F512</f>
        <v>189</v>
      </c>
      <c r="F31" s="123">
        <f>'Facility Detail'!G512</f>
        <v>184</v>
      </c>
      <c r="G31" s="123">
        <f>'Facility Detail'!H512</f>
        <v>172</v>
      </c>
      <c r="H31" s="123">
        <f>'Facility Detail'!I512</f>
        <v>235</v>
      </c>
      <c r="I31" s="123">
        <f>'Facility Detail'!J512</f>
        <v>342</v>
      </c>
      <c r="J31" s="123">
        <f>'Facility Detail'!K512</f>
        <v>0</v>
      </c>
      <c r="K31" s="127">
        <f>'Facility Detail'!M512</f>
        <v>0</v>
      </c>
      <c r="L31" s="127">
        <f>'Facility Detail'!N512</f>
        <v>0</v>
      </c>
      <c r="M31" s="127">
        <f>'Facility Detail'!O512</f>
        <v>0</v>
      </c>
      <c r="N31" s="127">
        <f>'Facility Detail'!P512</f>
        <v>0</v>
      </c>
    </row>
    <row r="32" spans="1:14" ht="15" hidden="1" outlineLevel="1">
      <c r="A32" s="122" t="str">
        <f>'Facility Detail'!B13</f>
        <v>Lemolo 2 (Upgrade 2009)</v>
      </c>
      <c r="B32" s="122" t="str">
        <f xml:space="preserve"> IF( 'Facility Detail'!D13 = "", "", 'Facility Detail'!D13 )</f>
        <v>Water (Incremental Hydro)</v>
      </c>
      <c r="C32" s="123">
        <f>'Facility Detail'!D556</f>
        <v>0</v>
      </c>
      <c r="D32" s="123">
        <f>'Facility Detail'!E556</f>
        <v>142</v>
      </c>
      <c r="E32" s="123">
        <f>'Facility Detail'!F556</f>
        <v>102</v>
      </c>
      <c r="F32" s="123">
        <f>'Facility Detail'!G556</f>
        <v>109</v>
      </c>
      <c r="G32" s="123">
        <f>'Facility Detail'!H556</f>
        <v>86</v>
      </c>
      <c r="H32" s="123">
        <f>'Facility Detail'!I556</f>
        <v>95</v>
      </c>
      <c r="I32" s="123">
        <f>'Facility Detail'!J556</f>
        <v>127</v>
      </c>
      <c r="J32" s="123">
        <f>'Facility Detail'!K556</f>
        <v>0</v>
      </c>
      <c r="K32" s="127">
        <f>'Facility Detail'!M556</f>
        <v>0</v>
      </c>
      <c r="L32" s="127">
        <f>'Facility Detail'!N556</f>
        <v>0</v>
      </c>
      <c r="M32" s="127">
        <f>'Facility Detail'!O556</f>
        <v>0</v>
      </c>
      <c r="N32" s="127">
        <f>'Facility Detail'!P556</f>
        <v>0</v>
      </c>
    </row>
    <row r="33" spans="1:14" ht="15" hidden="1" outlineLevel="1">
      <c r="A33" s="122" t="str">
        <f>'Facility Detail'!B14</f>
        <v>Seven Mile Hill I</v>
      </c>
      <c r="B33" s="122" t="str">
        <f xml:space="preserve"> IF( 'Facility Detail'!D14 = "", "", 'Facility Detail'!D14 )</f>
        <v>Wind</v>
      </c>
      <c r="C33" s="123">
        <f>'Facility Detail'!D600</f>
        <v>0</v>
      </c>
      <c r="D33" s="123">
        <f>'Facility Detail'!E600</f>
        <v>0</v>
      </c>
      <c r="E33" s="123">
        <f>'Facility Detail'!F600</f>
        <v>0</v>
      </c>
      <c r="F33" s="123">
        <f>'Facility Detail'!G600</f>
        <v>0</v>
      </c>
      <c r="G33" s="123">
        <f>'Facility Detail'!H600</f>
        <v>0</v>
      </c>
      <c r="H33" s="123">
        <f>'Facility Detail'!I600</f>
        <v>0</v>
      </c>
      <c r="I33" s="123">
        <f>'Facility Detail'!J600</f>
        <v>4353</v>
      </c>
      <c r="J33" s="123">
        <f>'Facility Detail'!K600</f>
        <v>0</v>
      </c>
      <c r="K33" s="127">
        <f>'Facility Detail'!M600</f>
        <v>0</v>
      </c>
      <c r="L33" s="127">
        <f>'Facility Detail'!N600</f>
        <v>0</v>
      </c>
      <c r="M33" s="127">
        <f>'Facility Detail'!O600</f>
        <v>0</v>
      </c>
      <c r="N33" s="127">
        <f>'Facility Detail'!P600</f>
        <v>0</v>
      </c>
    </row>
    <row r="34" spans="1:14" ht="15" hidden="1" outlineLevel="1">
      <c r="A34" s="122" t="str">
        <f>'Facility Detail'!B15</f>
        <v>Nine Canyon Wind Project - REC Only</v>
      </c>
      <c r="B34" s="122" t="str">
        <f xml:space="preserve"> IF( 'Facility Detail'!D15 = "", "", 'Facility Detail'!D15 )</f>
        <v>Wind</v>
      </c>
      <c r="C34" s="123">
        <f>'Facility Detail'!D642</f>
        <v>0</v>
      </c>
      <c r="D34" s="123">
        <f>'Facility Detail'!E642</f>
        <v>0</v>
      </c>
      <c r="E34" s="123">
        <f>'Facility Detail'!F642</f>
        <v>0</v>
      </c>
      <c r="F34" s="123">
        <f>'Facility Detail'!G642</f>
        <v>0</v>
      </c>
      <c r="G34" s="123">
        <f>'Facility Detail'!H642</f>
        <v>0</v>
      </c>
      <c r="H34" s="123">
        <f>'Facility Detail'!I642</f>
        <v>2500</v>
      </c>
      <c r="I34" s="123">
        <f>'Facility Detail'!J642</f>
        <v>8225</v>
      </c>
      <c r="J34" s="123">
        <f>'Facility Detail'!K642</f>
        <v>0</v>
      </c>
      <c r="K34" s="127">
        <f>'Facility Detail'!M642</f>
        <v>0</v>
      </c>
      <c r="L34" s="127">
        <f>'Facility Detail'!N642</f>
        <v>0</v>
      </c>
      <c r="M34" s="127">
        <f>'Facility Detail'!O642</f>
        <v>0</v>
      </c>
      <c r="N34" s="127">
        <f>'Facility Detail'!P642</f>
        <v>0</v>
      </c>
    </row>
    <row r="35" spans="1:14" ht="15" hidden="1" outlineLevel="1">
      <c r="A35" s="122" t="str">
        <f>'Facility Detail'!B16</f>
        <v>Top of the World</v>
      </c>
      <c r="B35" s="122" t="str">
        <f xml:space="preserve"> IF( 'Facility Detail'!D16 = "", "", 'Facility Detail'!D16 )</f>
        <v>Wind</v>
      </c>
      <c r="C35" s="123">
        <f>'Facility Detail'!D686</f>
        <v>0</v>
      </c>
      <c r="D35" s="123">
        <f>'Facility Detail'!E686</f>
        <v>0</v>
      </c>
      <c r="E35" s="123">
        <f>'Facility Detail'!F686</f>
        <v>0</v>
      </c>
      <c r="F35" s="123">
        <f>'Facility Detail'!G686</f>
        <v>0</v>
      </c>
      <c r="G35" s="123">
        <f>'Facility Detail'!H686</f>
        <v>0</v>
      </c>
      <c r="H35" s="123">
        <f>'Facility Detail'!I686</f>
        <v>45911</v>
      </c>
      <c r="I35" s="123">
        <f>'Facility Detail'!J686</f>
        <v>102623</v>
      </c>
      <c r="J35" s="123">
        <f>'Facility Detail'!K686</f>
        <v>0</v>
      </c>
      <c r="K35" s="127">
        <f>'Facility Detail'!M686</f>
        <v>0</v>
      </c>
      <c r="L35" s="127">
        <f>'Facility Detail'!N686</f>
        <v>0</v>
      </c>
      <c r="M35" s="127">
        <f>'Facility Detail'!O686</f>
        <v>0</v>
      </c>
      <c r="N35" s="127">
        <f>'Facility Detail'!P686</f>
        <v>0</v>
      </c>
    </row>
    <row r="36" spans="1:14" ht="15" hidden="1" outlineLevel="1">
      <c r="A36" s="122" t="str">
        <f>'Facility Detail'!B17</f>
        <v>Dunlap I</v>
      </c>
      <c r="B36" s="122" t="str">
        <f xml:space="preserve"> IF( 'Facility Detail'!D17 = "", "", 'Facility Detail'!D17 )</f>
        <v>Wind</v>
      </c>
      <c r="C36" s="123">
        <f>'Facility Detail'!D730</f>
        <v>0</v>
      </c>
      <c r="D36" s="123">
        <f>'Facility Detail'!E730</f>
        <v>0</v>
      </c>
      <c r="E36" s="123">
        <f>'Facility Detail'!F730</f>
        <v>0</v>
      </c>
      <c r="F36" s="123">
        <f>'Facility Detail'!G730</f>
        <v>0</v>
      </c>
      <c r="G36" s="123">
        <f>'Facility Detail'!H730</f>
        <v>0</v>
      </c>
      <c r="H36" s="123">
        <f>'Facility Detail'!I730</f>
        <v>59100</v>
      </c>
      <c r="I36" s="123">
        <f>'Facility Detail'!J730</f>
        <v>899</v>
      </c>
      <c r="J36" s="123">
        <f>'Facility Detail'!K730</f>
        <v>0</v>
      </c>
      <c r="K36" s="127">
        <f>'Facility Detail'!M730</f>
        <v>0</v>
      </c>
      <c r="L36" s="127">
        <f>'Facility Detail'!N730</f>
        <v>0</v>
      </c>
      <c r="M36" s="127">
        <f>'Facility Detail'!O730</f>
        <v>0</v>
      </c>
      <c r="N36" s="127">
        <f>'Facility Detail'!P730</f>
        <v>0</v>
      </c>
    </row>
    <row r="37" spans="1:14" ht="15" hidden="1" outlineLevel="1">
      <c r="A37" s="122" t="str">
        <f>'Facility Detail'!B18</f>
        <v>Campbell Hill/Three Buttes</v>
      </c>
      <c r="B37" s="122" t="str">
        <f xml:space="preserve"> IF( 'Facility Detail'!D18 = "", "", 'Facility Detail'!D18 )</f>
        <v>Wind</v>
      </c>
      <c r="C37" s="123">
        <f>'Facility Detail'!D774</f>
        <v>0</v>
      </c>
      <c r="D37" s="123">
        <f>'Facility Detail'!E774</f>
        <v>0</v>
      </c>
      <c r="E37" s="123">
        <f>'Facility Detail'!F774</f>
        <v>0</v>
      </c>
      <c r="F37" s="123">
        <f>'Facility Detail'!G774</f>
        <v>0</v>
      </c>
      <c r="G37" s="123">
        <f>'Facility Detail'!H774</f>
        <v>0</v>
      </c>
      <c r="H37" s="123">
        <f>'Facility Detail'!I774</f>
        <v>50956</v>
      </c>
      <c r="I37" s="123">
        <f>'Facility Detail'!J774</f>
        <v>0</v>
      </c>
      <c r="J37" s="123">
        <f>'Facility Detail'!K774</f>
        <v>0</v>
      </c>
      <c r="K37" s="127">
        <f>'Facility Detail'!M774</f>
        <v>0</v>
      </c>
      <c r="L37" s="127">
        <f>'Facility Detail'!N774</f>
        <v>0</v>
      </c>
      <c r="M37" s="127">
        <f>'Facility Detail'!O774</f>
        <v>0</v>
      </c>
      <c r="N37" s="127">
        <f>'Facility Detail'!P774</f>
        <v>0</v>
      </c>
    </row>
    <row r="38" spans="1:14" ht="15" hidden="1" outlineLevel="1">
      <c r="A38" s="122" t="str">
        <f>'Facility Detail'!B19</f>
        <v>Glenrock Wind I</v>
      </c>
      <c r="B38" s="122" t="str">
        <f xml:space="preserve"> IF( 'Facility Detail'!D19 = "", "", 'Facility Detail'!D19 )</f>
        <v>Wind</v>
      </c>
      <c r="C38" s="123">
        <f>'Facility Detail'!D818</f>
        <v>0</v>
      </c>
      <c r="D38" s="123">
        <f>'Facility Detail'!E818</f>
        <v>0</v>
      </c>
      <c r="E38" s="123">
        <f>'Facility Detail'!F818</f>
        <v>0</v>
      </c>
      <c r="F38" s="123">
        <f>'Facility Detail'!G818</f>
        <v>0</v>
      </c>
      <c r="G38" s="123">
        <f>'Facility Detail'!H818</f>
        <v>0</v>
      </c>
      <c r="H38" s="123">
        <f>'Facility Detail'!I818</f>
        <v>34877</v>
      </c>
      <c r="I38" s="123">
        <f>'Facility Detail'!J818</f>
        <v>35572</v>
      </c>
      <c r="J38" s="123">
        <f>'Facility Detail'!K818</f>
        <v>0</v>
      </c>
      <c r="K38" s="127">
        <f>'Facility Detail'!M818</f>
        <v>0</v>
      </c>
      <c r="L38" s="127">
        <f>'Facility Detail'!N818</f>
        <v>0</v>
      </c>
      <c r="M38" s="127">
        <f>'Facility Detail'!O818</f>
        <v>0</v>
      </c>
      <c r="N38" s="127">
        <f>'Facility Detail'!P818</f>
        <v>0</v>
      </c>
    </row>
    <row r="39" spans="1:14" ht="15" hidden="1" outlineLevel="1">
      <c r="A39" s="122" t="str">
        <f>'Facility Detail'!B20</f>
        <v>Rolling Hills</v>
      </c>
      <c r="B39" s="122" t="str">
        <f xml:space="preserve"> IF( 'Facility Detail'!D20 = "", "", 'Facility Detail'!D20 )</f>
        <v>Wind</v>
      </c>
      <c r="C39" s="123">
        <f>'Facility Detail'!D860</f>
        <v>0</v>
      </c>
      <c r="D39" s="123">
        <f>'Facility Detail'!E860</f>
        <v>0</v>
      </c>
      <c r="E39" s="123">
        <f>'Facility Detail'!F860</f>
        <v>0</v>
      </c>
      <c r="F39" s="123">
        <f>'Facility Detail'!G860</f>
        <v>0</v>
      </c>
      <c r="G39" s="123">
        <f>'Facility Detail'!H860</f>
        <v>0</v>
      </c>
      <c r="H39" s="123">
        <f>'Facility Detail'!I860</f>
        <v>5468</v>
      </c>
      <c r="I39" s="123">
        <f>'Facility Detail'!J860</f>
        <v>0</v>
      </c>
      <c r="J39" s="123">
        <f>'Facility Detail'!K860</f>
        <v>0</v>
      </c>
      <c r="K39" s="127">
        <f>'Facility Detail'!M860</f>
        <v>0</v>
      </c>
      <c r="L39" s="127">
        <f>'Facility Detail'!N860</f>
        <v>0</v>
      </c>
      <c r="M39" s="127">
        <f>'Facility Detail'!O860</f>
        <v>0</v>
      </c>
      <c r="N39" s="127">
        <f>'Facility Detail'!P860</f>
        <v>0</v>
      </c>
    </row>
    <row r="40" spans="1:14" ht="15" hidden="1" outlineLevel="1">
      <c r="A40" s="122" t="str">
        <f>'Facility Detail'!B21</f>
        <v>SPI Aberdeen - REC Only</v>
      </c>
      <c r="B40" s="122" t="str">
        <f xml:space="preserve"> IF( 'Facility Detail'!D21 = "", "", 'Facility Detail'!D21 )</f>
        <v>Biomass</v>
      </c>
      <c r="C40" s="123">
        <f>'Facility Detail'!D900</f>
        <v>0</v>
      </c>
      <c r="D40" s="123">
        <f>'Facility Detail'!E900</f>
        <v>0</v>
      </c>
      <c r="E40" s="123">
        <f>'Facility Detail'!F900</f>
        <v>0</v>
      </c>
      <c r="F40" s="123">
        <f>'Facility Detail'!G900</f>
        <v>0</v>
      </c>
      <c r="G40" s="123">
        <f>'Facility Detail'!H900</f>
        <v>40000</v>
      </c>
      <c r="H40" s="123">
        <f>'Facility Detail'!I900</f>
        <v>0</v>
      </c>
      <c r="I40" s="123">
        <f>'Facility Detail'!J900</f>
        <v>0</v>
      </c>
      <c r="J40" s="123">
        <f>'Facility Detail'!K900</f>
        <v>0</v>
      </c>
      <c r="K40" s="127">
        <f>'Facility Detail'!M900</f>
        <v>0</v>
      </c>
      <c r="L40" s="127">
        <f>'Facility Detail'!N900</f>
        <v>0</v>
      </c>
      <c r="M40" s="127">
        <f>'Facility Detail'!O900</f>
        <v>0</v>
      </c>
      <c r="N40" s="127">
        <f>'Facility Detail'!P900</f>
        <v>0</v>
      </c>
    </row>
    <row r="41" spans="1:14" ht="15" hidden="1" outlineLevel="1">
      <c r="A41" s="122" t="str">
        <f>'Facility Detail'!B22</f>
        <v>Hidden Hollow - REC Only</v>
      </c>
      <c r="B41" s="122" t="str">
        <f xml:space="preserve"> IF( 'Facility Detail'!D22 = "", "", 'Facility Detail'!D22 )</f>
        <v>Landfill Gas</v>
      </c>
      <c r="C41" s="123">
        <f>'Facility Detail'!D942</f>
        <v>0</v>
      </c>
      <c r="D41" s="123">
        <f>'Facility Detail'!E942</f>
        <v>0</v>
      </c>
      <c r="E41" s="123">
        <f>'Facility Detail'!F942</f>
        <v>0</v>
      </c>
      <c r="F41" s="123">
        <f>'Facility Detail'!G942</f>
        <v>0</v>
      </c>
      <c r="G41" s="123">
        <f>'Facility Detail'!H942</f>
        <v>0</v>
      </c>
      <c r="H41" s="123">
        <f>'Facility Detail'!I942</f>
        <v>12501</v>
      </c>
      <c r="I41" s="123">
        <f>'Facility Detail'!J942</f>
        <v>3960</v>
      </c>
      <c r="J41" s="123">
        <f>'Facility Detail'!K942</f>
        <v>0</v>
      </c>
      <c r="K41" s="127">
        <f>'Facility Detail'!M942</f>
        <v>0</v>
      </c>
      <c r="L41" s="127">
        <f>'Facility Detail'!N942</f>
        <v>0</v>
      </c>
      <c r="M41" s="127">
        <f>'Facility Detail'!O942</f>
        <v>0</v>
      </c>
      <c r="N41" s="127">
        <f>'Facility Detail'!P942</f>
        <v>0</v>
      </c>
    </row>
    <row r="42" spans="1:14" ht="15" hidden="1" outlineLevel="1">
      <c r="A42" s="122" t="str">
        <f>'Facility Detail'!B23</f>
        <v>Fighting Creek - REC Only</v>
      </c>
      <c r="B42" s="122" t="str">
        <f xml:space="preserve"> IF( 'Facility Detail'!D23 = "", "", 'Facility Detail'!D23 )</f>
        <v>Landfill Gas</v>
      </c>
      <c r="C42" s="123">
        <f>'Facility Detail'!D984</f>
        <v>0</v>
      </c>
      <c r="D42" s="123">
        <f>'Facility Detail'!E984</f>
        <v>0</v>
      </c>
      <c r="E42" s="123">
        <f>'Facility Detail'!F984</f>
        <v>0</v>
      </c>
      <c r="F42" s="123">
        <f>'Facility Detail'!G984</f>
        <v>0</v>
      </c>
      <c r="G42" s="123">
        <f>'Facility Detail'!H984</f>
        <v>0</v>
      </c>
      <c r="H42" s="123">
        <f>'Facility Detail'!I984</f>
        <v>730</v>
      </c>
      <c r="I42" s="123">
        <f>'Facility Detail'!J984</f>
        <v>0</v>
      </c>
      <c r="J42" s="123">
        <f>'Facility Detail'!K984</f>
        <v>0</v>
      </c>
      <c r="K42" s="127">
        <f>'Facility Detail'!M984</f>
        <v>0</v>
      </c>
      <c r="L42" s="127">
        <f>'Facility Detail'!N984</f>
        <v>0</v>
      </c>
      <c r="M42" s="127">
        <f>'Facility Detail'!O984</f>
        <v>0</v>
      </c>
      <c r="N42" s="127">
        <f>'Facility Detail'!P984</f>
        <v>0</v>
      </c>
    </row>
    <row r="43" spans="1:14" ht="15" hidden="1" outlineLevel="1">
      <c r="A43" s="122" t="str">
        <f>'Facility Detail'!B24</f>
        <v>Lower Snake – Phalen Gulch - REC Only</v>
      </c>
      <c r="B43" s="122" t="str">
        <f xml:space="preserve"> IF( 'Facility Detail'!D24 = "", "", 'Facility Detail'!D24 )</f>
        <v>Wind</v>
      </c>
      <c r="C43" s="123">
        <f>'Facility Detail'!D1026</f>
        <v>0</v>
      </c>
      <c r="D43" s="123">
        <f>'Facility Detail'!E1026</f>
        <v>0</v>
      </c>
      <c r="E43" s="123">
        <f>'Facility Detail'!F1026</f>
        <v>0</v>
      </c>
      <c r="F43" s="123">
        <f>'Facility Detail'!G1026</f>
        <v>0</v>
      </c>
      <c r="G43" s="123">
        <f>'Facility Detail'!H1026</f>
        <v>0</v>
      </c>
      <c r="H43" s="123">
        <f>'Facility Detail'!I1026</f>
        <v>1300</v>
      </c>
      <c r="I43" s="123">
        <f>'Facility Detail'!J1026</f>
        <v>0</v>
      </c>
      <c r="J43" s="123">
        <f>'Facility Detail'!K1026</f>
        <v>0</v>
      </c>
      <c r="K43" s="127">
        <f>'Facility Detail'!M1026</f>
        <v>0</v>
      </c>
      <c r="L43" s="127">
        <f>'Facility Detail'!N1026</f>
        <v>0</v>
      </c>
      <c r="M43" s="127">
        <f>'Facility Detail'!O1026</f>
        <v>0</v>
      </c>
      <c r="N43" s="127">
        <f>'Facility Detail'!P1026</f>
        <v>0</v>
      </c>
    </row>
    <row r="44" spans="1:14" ht="15" hidden="1" outlineLevel="1">
      <c r="A44" s="122" t="str">
        <f>'Facility Detail'!B25</f>
        <v>Elkhorn Valley Wind - REC Only</v>
      </c>
      <c r="B44" s="122" t="str">
        <f xml:space="preserve"> IF( 'Facility Detail'!D25 = "", "", 'Facility Detail'!D25 )</f>
        <v>Wind</v>
      </c>
      <c r="C44" s="123">
        <f>'Facility Detail'!D1068</f>
        <v>0</v>
      </c>
      <c r="D44" s="123">
        <f>'Facility Detail'!E1068</f>
        <v>0</v>
      </c>
      <c r="E44" s="123">
        <f>'Facility Detail'!F1068</f>
        <v>0</v>
      </c>
      <c r="F44" s="123">
        <f>'Facility Detail'!G1068</f>
        <v>0</v>
      </c>
      <c r="G44" s="123">
        <f>'Facility Detail'!H1068</f>
        <v>0</v>
      </c>
      <c r="H44" s="123">
        <f>'Facility Detail'!I1068</f>
        <v>4468</v>
      </c>
      <c r="I44" s="123">
        <f>'Facility Detail'!J1068</f>
        <v>0</v>
      </c>
      <c r="J44" s="123">
        <f>'Facility Detail'!K1068</f>
        <v>0</v>
      </c>
      <c r="K44" s="127">
        <f>'Facility Detail'!M1068</f>
        <v>0</v>
      </c>
      <c r="L44" s="127">
        <f>'Facility Detail'!N1068</f>
        <v>0</v>
      </c>
      <c r="M44" s="127">
        <f>'Facility Detail'!O1068</f>
        <v>0</v>
      </c>
      <c r="N44" s="127">
        <f>'Facility Detail'!P1068</f>
        <v>0</v>
      </c>
    </row>
    <row r="45" spans="1:14" ht="15" hidden="1" outlineLevel="1">
      <c r="A45" s="122" t="str">
        <f>'Facility Detail'!B26</f>
        <v>Condon Wind Power Project - Condon Phase II - REC Only</v>
      </c>
      <c r="B45" s="122" t="str">
        <f xml:space="preserve"> IF( 'Facility Detail'!D26 = "", "", 'Facility Detail'!D26 )</f>
        <v>Wind</v>
      </c>
      <c r="C45" s="123">
        <f>'Facility Detail'!D1110</f>
        <v>0</v>
      </c>
      <c r="D45" s="123">
        <f>'Facility Detail'!E1110</f>
        <v>0</v>
      </c>
      <c r="E45" s="123">
        <f>'Facility Detail'!F1110</f>
        <v>0</v>
      </c>
      <c r="F45" s="123">
        <f>'Facility Detail'!G1110</f>
        <v>0</v>
      </c>
      <c r="G45" s="123">
        <f>'Facility Detail'!H1110</f>
        <v>0</v>
      </c>
      <c r="H45" s="123">
        <f>'Facility Detail'!I1110</f>
        <v>0</v>
      </c>
      <c r="I45" s="123">
        <f>'Facility Detail'!J1110</f>
        <v>7725</v>
      </c>
      <c r="J45" s="123">
        <f>'Facility Detail'!K1110</f>
        <v>0</v>
      </c>
      <c r="K45" s="127">
        <f>'Facility Detail'!M1110</f>
        <v>0</v>
      </c>
      <c r="L45" s="127">
        <f>'Facility Detail'!N1110</f>
        <v>0</v>
      </c>
      <c r="M45" s="127">
        <f>'Facility Detail'!O1110</f>
        <v>0</v>
      </c>
      <c r="N45" s="127">
        <f>'Facility Detail'!P1110</f>
        <v>0</v>
      </c>
    </row>
    <row r="46" spans="1:14" ht="15" hidden="1" outlineLevel="1">
      <c r="A46" s="122" t="str">
        <f>'Facility Detail'!B27</f>
        <v>Condon Wind Power Project - Condon Wind Power Project - REC Only</v>
      </c>
      <c r="B46" s="122" t="str">
        <f xml:space="preserve"> IF( 'Facility Detail'!D27 = "", "", 'Facility Detail'!D27 )</f>
        <v>Wind</v>
      </c>
      <c r="C46" s="123">
        <f>'Facility Detail'!D1152</f>
        <v>0</v>
      </c>
      <c r="D46" s="123">
        <f>'Facility Detail'!E1152</f>
        <v>0</v>
      </c>
      <c r="E46" s="123">
        <f>'Facility Detail'!F1152</f>
        <v>0</v>
      </c>
      <c r="F46" s="123">
        <f>'Facility Detail'!G1152</f>
        <v>0</v>
      </c>
      <c r="G46" s="123">
        <f>'Facility Detail'!H1152</f>
        <v>0</v>
      </c>
      <c r="H46" s="123">
        <f>'Facility Detail'!I1152</f>
        <v>0</v>
      </c>
      <c r="I46" s="123">
        <f>'Facility Detail'!J1152</f>
        <v>8286</v>
      </c>
      <c r="J46" s="123">
        <f>'Facility Detail'!K1152</f>
        <v>0</v>
      </c>
      <c r="K46" s="127">
        <f>'Facility Detail'!M1152</f>
        <v>0</v>
      </c>
      <c r="L46" s="127">
        <f>'Facility Detail'!N1152</f>
        <v>0</v>
      </c>
      <c r="M46" s="127">
        <f>'Facility Detail'!O1152</f>
        <v>0</v>
      </c>
      <c r="N46" s="127">
        <f>'Facility Detail'!P1152</f>
        <v>0</v>
      </c>
    </row>
    <row r="47" spans="1:14" ht="15" hidden="1" outlineLevel="1">
      <c r="A47" s="122" t="str">
        <f>'Facility Detail'!B28</f>
        <v>Klondike I - Klondike Wind Power LLC - REC Only</v>
      </c>
      <c r="B47" s="122" t="str">
        <f xml:space="preserve"> IF( 'Facility Detail'!D28 = "", "", 'Facility Detail'!D28 )</f>
        <v>Wind</v>
      </c>
      <c r="C47" s="123">
        <f>'Facility Detail'!D1194</f>
        <v>0</v>
      </c>
      <c r="D47" s="123">
        <f>'Facility Detail'!E1194</f>
        <v>0</v>
      </c>
      <c r="E47" s="123">
        <f>'Facility Detail'!F1194</f>
        <v>0</v>
      </c>
      <c r="F47" s="123">
        <f>'Facility Detail'!G1194</f>
        <v>0</v>
      </c>
      <c r="G47" s="123">
        <f>'Facility Detail'!H1194</f>
        <v>0</v>
      </c>
      <c r="H47" s="123">
        <f>'Facility Detail'!I1194</f>
        <v>0</v>
      </c>
      <c r="I47" s="123">
        <f>'Facility Detail'!J1194</f>
        <v>29719</v>
      </c>
      <c r="J47" s="123">
        <f>'Facility Detail'!K1194</f>
        <v>0</v>
      </c>
      <c r="K47" s="127">
        <f>'Facility Detail'!M1194</f>
        <v>0</v>
      </c>
      <c r="L47" s="127">
        <f>'Facility Detail'!N1194</f>
        <v>0</v>
      </c>
      <c r="M47" s="127">
        <f>'Facility Detail'!O1194</f>
        <v>0</v>
      </c>
      <c r="N47" s="127">
        <f>'Facility Detail'!P1194</f>
        <v>0</v>
      </c>
    </row>
    <row r="48" spans="1:14" ht="15" hidden="1" outlineLevel="1">
      <c r="A48" s="122" t="str">
        <f>'Facility Detail'!B29</f>
        <v>Meadow Creek Wind Farm - Five Pine Project - REC Only</v>
      </c>
      <c r="B48" s="122" t="str">
        <f xml:space="preserve"> IF( 'Facility Detail'!D29 = "", "", 'Facility Detail'!D29 )</f>
        <v>Wind</v>
      </c>
      <c r="C48" s="123">
        <f>'Facility Detail'!D1236</f>
        <v>0</v>
      </c>
      <c r="D48" s="123">
        <f>'Facility Detail'!E1236</f>
        <v>0</v>
      </c>
      <c r="E48" s="123">
        <f>'Facility Detail'!F1236</f>
        <v>0</v>
      </c>
      <c r="F48" s="123">
        <f>'Facility Detail'!G1236</f>
        <v>0</v>
      </c>
      <c r="G48" s="123">
        <f>'Facility Detail'!H1236</f>
        <v>0</v>
      </c>
      <c r="H48" s="123">
        <f>'Facility Detail'!I1236</f>
        <v>0</v>
      </c>
      <c r="I48" s="123">
        <f>'Facility Detail'!J1236</f>
        <v>8543</v>
      </c>
      <c r="J48" s="123">
        <f>'Facility Detail'!K1236</f>
        <v>0</v>
      </c>
      <c r="K48" s="127">
        <f>'Facility Detail'!M1236</f>
        <v>0</v>
      </c>
      <c r="L48" s="127">
        <f>'Facility Detail'!N1236</f>
        <v>0</v>
      </c>
      <c r="M48" s="127">
        <f>'Facility Detail'!O1236</f>
        <v>0</v>
      </c>
      <c r="N48" s="127">
        <f>'Facility Detail'!P1236</f>
        <v>0</v>
      </c>
    </row>
    <row r="49" spans="1:14" ht="15" hidden="1" outlineLevel="1">
      <c r="A49" s="122" t="str">
        <f>'Facility Detail'!B30</f>
        <v>Meadow Creek Wind Farm - North Point Wind Farm - REC Only</v>
      </c>
      <c r="B49" s="122" t="str">
        <f xml:space="preserve"> IF( 'Facility Detail'!D30 = "", "", 'Facility Detail'!D30 )</f>
        <v>Wind</v>
      </c>
      <c r="C49" s="123">
        <f>'Facility Detail'!D1319</f>
        <v>0</v>
      </c>
      <c r="D49" s="123">
        <f>'Facility Detail'!E1319</f>
        <v>0</v>
      </c>
      <c r="E49" s="123">
        <f>'Facility Detail'!F1319</f>
        <v>0</v>
      </c>
      <c r="F49" s="123">
        <f>'Facility Detail'!G1319</f>
        <v>0</v>
      </c>
      <c r="G49" s="123">
        <f>'Facility Detail'!H1319</f>
        <v>0</v>
      </c>
      <c r="H49" s="123">
        <f>'Facility Detail'!I1319</f>
        <v>0</v>
      </c>
      <c r="I49" s="123">
        <f>'Facility Detail'!J1319</f>
        <v>2644</v>
      </c>
      <c r="J49" s="123">
        <f>'Facility Detail'!K1319</f>
        <v>0</v>
      </c>
      <c r="K49" s="127">
        <f>'Facility Detail'!M1277</f>
        <v>0</v>
      </c>
      <c r="L49" s="127">
        <f>'Facility Detail'!N1277</f>
        <v>0</v>
      </c>
      <c r="M49" s="127">
        <f>'Facility Detail'!O1277</f>
        <v>0</v>
      </c>
      <c r="N49" s="127">
        <f>'Facility Detail'!P1277</f>
        <v>0</v>
      </c>
    </row>
    <row r="50" spans="1:14" ht="15" hidden="1" outlineLevel="1">
      <c r="A50" s="122" t="str">
        <f>'Facility Detail'!B31</f>
        <v>Nine Canyon Wind Project - Nine Canyon Phase 3 - REC Only</v>
      </c>
      <c r="B50" s="122" t="str">
        <f xml:space="preserve"> IF( 'Facility Detail'!D31 = "", "", 'Facility Detail'!D31 )</f>
        <v>Wind</v>
      </c>
      <c r="C50" s="123">
        <f>'Facility Detail'!D1360</f>
        <v>0</v>
      </c>
      <c r="D50" s="123">
        <f>'Facility Detail'!E1360</f>
        <v>0</v>
      </c>
      <c r="E50" s="123">
        <f>'Facility Detail'!F1360</f>
        <v>0</v>
      </c>
      <c r="F50" s="123">
        <f>'Facility Detail'!G1360</f>
        <v>0</v>
      </c>
      <c r="G50" s="123">
        <f>'Facility Detail'!H1360</f>
        <v>0</v>
      </c>
      <c r="H50" s="123">
        <f>'Facility Detail'!I1360</f>
        <v>0</v>
      </c>
      <c r="I50" s="123">
        <f>'Facility Detail'!J1360</f>
        <v>4668</v>
      </c>
      <c r="J50" s="123">
        <f>'Facility Detail'!K1360</f>
        <v>0</v>
      </c>
      <c r="K50" s="129">
        <f>'Facility Detail'!M1319</f>
        <v>0</v>
      </c>
      <c r="L50" s="129">
        <f>'Facility Detail'!N1319</f>
        <v>0</v>
      </c>
      <c r="M50" s="129">
        <f>'Facility Detail'!O1319</f>
        <v>0</v>
      </c>
      <c r="N50" s="129">
        <f>'Facility Detail'!P1319</f>
        <v>0</v>
      </c>
    </row>
    <row r="51" spans="1:14" ht="15" hidden="1" outlineLevel="1">
      <c r="A51" s="122" t="str">
        <f>'Facility Detail'!B32</f>
        <v>Stateline (WA) - FPL Energy Vansycle LLC - REC Only</v>
      </c>
      <c r="B51" s="122" t="str">
        <f xml:space="preserve"> IF( 'Facility Detail'!D32 = "", "", 'Facility Detail'!D32 )</f>
        <v>Wind</v>
      </c>
      <c r="C51" s="123">
        <f>'Facility Detail'!D1401</f>
        <v>0</v>
      </c>
      <c r="D51" s="123">
        <f>'Facility Detail'!E1401</f>
        <v>0</v>
      </c>
      <c r="E51" s="123">
        <f>'Facility Detail'!F1401</f>
        <v>0</v>
      </c>
      <c r="F51" s="123">
        <f>'Facility Detail'!G1401</f>
        <v>0</v>
      </c>
      <c r="G51" s="123">
        <f>'Facility Detail'!H1401</f>
        <v>0</v>
      </c>
      <c r="H51" s="123">
        <f>'Facility Detail'!I1401</f>
        <v>0</v>
      </c>
      <c r="I51" s="123">
        <f>'Facility Detail'!J1401</f>
        <v>12946</v>
      </c>
      <c r="J51" s="123">
        <f>'Facility Detail'!K1401</f>
        <v>0</v>
      </c>
    </row>
    <row r="52" spans="1:14" ht="15" hidden="1">
      <c r="A52" s="122" t="str">
        <f>'Facility Detail'!B33</f>
        <v>Adams Solar</v>
      </c>
      <c r="B52" s="122" t="str">
        <f xml:space="preserve"> IF( 'Facility Detail'!D33 = "", "", 'Facility Detail'!D33 )</f>
        <v>Solar</v>
      </c>
      <c r="C52" s="123">
        <f>'Facility Detail'!D1444</f>
        <v>0</v>
      </c>
      <c r="D52" s="123">
        <f>'Facility Detail'!E1444</f>
        <v>0</v>
      </c>
      <c r="E52" s="123">
        <f>'Facility Detail'!F1444</f>
        <v>0</v>
      </c>
      <c r="F52" s="123">
        <f>'Facility Detail'!G1444</f>
        <v>0</v>
      </c>
      <c r="G52" s="123">
        <f>'Facility Detail'!H1444</f>
        <v>0</v>
      </c>
      <c r="H52" s="123">
        <f>'Facility Detail'!I1444</f>
        <v>0</v>
      </c>
      <c r="I52" s="123">
        <f>'Facility Detail'!J1444</f>
        <v>0</v>
      </c>
      <c r="J52" s="123">
        <f>'Facility Detail'!K1444</f>
        <v>0</v>
      </c>
    </row>
    <row r="53" spans="1:14" ht="15" hidden="1">
      <c r="A53" s="122" t="str">
        <f>'Facility Detail'!B34</f>
        <v>Bear Creek Solar</v>
      </c>
      <c r="B53" s="122" t="str">
        <f xml:space="preserve"> IF( 'Facility Detail'!D34 = "", "", 'Facility Detail'!D34 )</f>
        <v>Solar</v>
      </c>
      <c r="C53" s="123">
        <f>'Facility Detail'!D1487</f>
        <v>0</v>
      </c>
      <c r="D53" s="123">
        <f>'Facility Detail'!E1487</f>
        <v>0</v>
      </c>
      <c r="E53" s="123">
        <f>'Facility Detail'!F1487</f>
        <v>0</v>
      </c>
      <c r="F53" s="123">
        <f>'Facility Detail'!G1487</f>
        <v>0</v>
      </c>
      <c r="G53" s="123">
        <f>'Facility Detail'!H1487</f>
        <v>0</v>
      </c>
      <c r="H53" s="123">
        <f>'Facility Detail'!I1487</f>
        <v>0</v>
      </c>
      <c r="I53" s="123">
        <f>'Facility Detail'!J1487</f>
        <v>0</v>
      </c>
      <c r="J53" s="123">
        <f>'Facility Detail'!K1487</f>
        <v>0</v>
      </c>
    </row>
    <row r="54" spans="1:14" ht="15" hidden="1">
      <c r="A54" s="122" t="str">
        <f>'Facility Detail'!B35</f>
        <v>Bly Solar</v>
      </c>
      <c r="B54" s="122" t="str">
        <f xml:space="preserve"> IF( 'Facility Detail'!D35 = "", "", 'Facility Detail'!D35 )</f>
        <v>Solar</v>
      </c>
      <c r="C54" s="123">
        <f>'Facility Detail'!D1530</f>
        <v>0</v>
      </c>
      <c r="D54" s="123">
        <f>'Facility Detail'!E1530</f>
        <v>0</v>
      </c>
      <c r="E54" s="123">
        <f>'Facility Detail'!F1530</f>
        <v>0</v>
      </c>
      <c r="F54" s="123">
        <f>'Facility Detail'!G1530</f>
        <v>0</v>
      </c>
      <c r="G54" s="123">
        <f>'Facility Detail'!H1530</f>
        <v>0</v>
      </c>
      <c r="H54" s="123">
        <f>'Facility Detail'!I1530</f>
        <v>0</v>
      </c>
      <c r="I54" s="123">
        <f>'Facility Detail'!J1530</f>
        <v>0</v>
      </c>
      <c r="J54" s="123">
        <f>'Facility Detail'!K1530</f>
        <v>0</v>
      </c>
    </row>
    <row r="55" spans="1:14" ht="15" hidden="1">
      <c r="A55" s="122" t="str">
        <f>'Facility Detail'!B36</f>
        <v>Elbe Solar</v>
      </c>
      <c r="B55" s="122" t="str">
        <f xml:space="preserve"> IF( 'Facility Detail'!D36 = "", "", 'Facility Detail'!D36 )</f>
        <v>Solar</v>
      </c>
      <c r="C55" s="123">
        <f>'Facility Detail'!D1572</f>
        <v>0</v>
      </c>
      <c r="D55" s="123">
        <f>'Facility Detail'!E1572</f>
        <v>0</v>
      </c>
      <c r="E55" s="123">
        <f>'Facility Detail'!F1572</f>
        <v>0</v>
      </c>
      <c r="F55" s="123">
        <f>'Facility Detail'!G1572</f>
        <v>0</v>
      </c>
      <c r="G55" s="123">
        <f>'Facility Detail'!H1572</f>
        <v>0</v>
      </c>
      <c r="H55" s="123">
        <f>'Facility Detail'!I1572</f>
        <v>0</v>
      </c>
      <c r="I55" s="123">
        <f>'Facility Detail'!J1572</f>
        <v>0</v>
      </c>
      <c r="J55" s="123">
        <f>'Facility Detail'!K1572</f>
        <v>0</v>
      </c>
    </row>
    <row r="56" spans="1:14" ht="15" hidden="1">
      <c r="A56" s="122" t="str">
        <f>'Facility Detail'!B37</f>
        <v>Enterprise Solar</v>
      </c>
      <c r="B56" s="122" t="str">
        <f xml:space="preserve"> IF( 'Facility Detail'!D37 = "", "", 'Facility Detail'!D37 )</f>
        <v>Solar</v>
      </c>
      <c r="C56" s="123">
        <f>'Facility Detail'!D1614</f>
        <v>0</v>
      </c>
      <c r="D56" s="123">
        <f>'Facility Detail'!E1614</f>
        <v>0</v>
      </c>
      <c r="E56" s="123">
        <f>'Facility Detail'!F1614</f>
        <v>0</v>
      </c>
      <c r="F56" s="123">
        <f>'Facility Detail'!G1614</f>
        <v>0</v>
      </c>
      <c r="G56" s="123">
        <f>'Facility Detail'!H1614</f>
        <v>0</v>
      </c>
      <c r="H56" s="123">
        <f>'Facility Detail'!I1614</f>
        <v>0</v>
      </c>
      <c r="I56" s="123">
        <f>'Facility Detail'!J1614</f>
        <v>19234.406696699145</v>
      </c>
      <c r="J56" s="123">
        <f>'Facility Detail'!K1614</f>
        <v>50456</v>
      </c>
    </row>
    <row r="57" spans="1:14" ht="15" hidden="1">
      <c r="A57" s="122" t="str">
        <f>'Facility Detail'!B38</f>
        <v>Pavant Solar</v>
      </c>
      <c r="B57" s="122" t="str">
        <f xml:space="preserve"> IF( 'Facility Detail'!D38 = "", "", 'Facility Detail'!D38 )</f>
        <v>Solar</v>
      </c>
      <c r="C57" s="123">
        <f>'Facility Detail'!D1656</f>
        <v>0</v>
      </c>
      <c r="D57" s="123">
        <f>'Facility Detail'!E1656</f>
        <v>0</v>
      </c>
      <c r="E57" s="123">
        <f>'Facility Detail'!F1656</f>
        <v>0</v>
      </c>
      <c r="F57" s="123">
        <f>'Facility Detail'!G1656</f>
        <v>0</v>
      </c>
      <c r="G57" s="123">
        <f>'Facility Detail'!H1656</f>
        <v>0</v>
      </c>
      <c r="H57" s="123">
        <f>'Facility Detail'!I1656</f>
        <v>316</v>
      </c>
      <c r="I57" s="123">
        <f>'Facility Detail'!J1656</f>
        <v>25003</v>
      </c>
      <c r="J57" s="123">
        <f>'Facility Detail'!K1656</f>
        <v>26549</v>
      </c>
    </row>
    <row r="58" spans="1:14" ht="15" hidden="1">
      <c r="A58" s="125" t="str">
        <f>'Facility Detail'!B39</f>
        <v>Element Markets - REC Only</v>
      </c>
      <c r="B58" s="122" t="str">
        <f xml:space="preserve"> IF( 'Facility Detail'!D39 = "", "", 'Facility Detail'!D39 )</f>
        <v>TBD</v>
      </c>
      <c r="C58" s="123">
        <f>'Facility Detail'!D121</f>
        <v>0</v>
      </c>
      <c r="D58" s="123">
        <f>'Facility Detail'!E121</f>
        <v>0</v>
      </c>
      <c r="E58" s="123">
        <f>'Facility Detail'!F121</f>
        <v>0</v>
      </c>
      <c r="F58" s="123">
        <f>'Facility Detail'!G121</f>
        <v>0</v>
      </c>
      <c r="G58" s="123">
        <f>'Facility Detail'!H121</f>
        <v>0</v>
      </c>
      <c r="H58" s="123">
        <f>'Facility Detail'!I121</f>
        <v>0</v>
      </c>
      <c r="I58" s="123">
        <f>'Facility Detail'!J121</f>
        <v>0</v>
      </c>
      <c r="J58" s="123">
        <f>'Facility Detail'!K121</f>
        <v>0</v>
      </c>
    </row>
    <row r="59" spans="1:14" hidden="1"/>
    <row r="60" spans="1:14" hidden="1"/>
    <row r="61" spans="1:14" hidden="1"/>
    <row r="62" spans="1:14" hidden="1"/>
    <row r="63" spans="1:14" hidden="1"/>
    <row r="64" spans="1:14" hidden="1"/>
    <row r="65" hidden="1"/>
  </sheetData>
  <printOptions horizontalCentered="1"/>
  <pageMargins left="0.7" right="0.7" top="0.75" bottom="0.75" header="0.3" footer="0.3"/>
  <pageSetup scale="59" fitToHeight="0" orientation="landscape" r:id="rId1"/>
  <headerFooter>
    <oddFooter>&amp;CCONFIDENTIAL PER WAC 480-07-160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Replacement Page</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2018-06-01T07:00:00+00:00</OpenedDate>
    <SignificantOrder xmlns="dc463f71-b30c-4ab2-9473-d307f9d35888">false</SignificantOrder>
    <Date1 xmlns="dc463f71-b30c-4ab2-9473-d307f9d35888">2018-07-05T07:00:00+00:00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180500</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A53EB17CCEB0E468223D5B17E75A359" ma:contentTypeVersion="68" ma:contentTypeDescription="" ma:contentTypeScope="" ma:versionID="8cee7fa404a36cb5496a72d1d66455dc">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5D0525-7E67-4D40-A05C-96F2D29F1C2F}"/>
</file>

<file path=customXml/itemProps2.xml><?xml version="1.0" encoding="utf-8"?>
<ds:datastoreItem xmlns:ds="http://schemas.openxmlformats.org/officeDocument/2006/customXml" ds:itemID="{6437868D-E510-41FA-A132-7BE83CEEEEFE}"/>
</file>

<file path=customXml/itemProps3.xml><?xml version="1.0" encoding="utf-8"?>
<ds:datastoreItem xmlns:ds="http://schemas.openxmlformats.org/officeDocument/2006/customXml" ds:itemID="{D848D8D6-CE8A-4FC7-93B9-AAF244481B3E}"/>
</file>

<file path=customXml/itemProps4.xml><?xml version="1.0" encoding="utf-8"?>
<ds:datastoreItem xmlns:ds="http://schemas.openxmlformats.org/officeDocument/2006/customXml" ds:itemID="{1C970ACB-1F9B-4968-8944-FDF35BBD341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Title Page</vt:lpstr>
      <vt:lpstr>Instructions</vt:lpstr>
      <vt:lpstr>Compliance Summary</vt:lpstr>
      <vt:lpstr>Facility Detail</vt:lpstr>
      <vt:lpstr>Generation Rollup</vt:lpstr>
      <vt:lpstr>Facility</vt:lpstr>
      <vt:lpstr>LaborBonus</vt:lpstr>
      <vt:lpstr>'Compliance Summary'!Print_Area</vt:lpstr>
      <vt:lpstr>'Facility Detail'!Print_Area</vt:lpstr>
      <vt:lpstr>'Generation Rollup'!Print_Area</vt:lpstr>
      <vt:lpstr>Instructions!Print_Area</vt:lpstr>
      <vt:lpstr>'Title Page'!Print_Area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2018-07-05T19:47:58Z</dcterms:created>
  <dcterms:modified xsi:type="dcterms:W3CDTF">2018-07-05T19:48:03Z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y fmtid="{D5CDD505-2E9C-101B-9397-08002B2CF9AE}" pid="3" name="ContentTypeId">
    <vt:lpwstr>0x0101006E56B4D1795A2E4DB2F0B01679ED314A004A53EB17CCEB0E468223D5B17E75A359</vt:lpwstr>
  </property>
  <property fmtid="{D5CDD505-2E9C-101B-9397-08002B2CF9AE}" pid="4" name="_docset_NoMedatataSyncRequired">
    <vt:lpwstr>False</vt:lpwstr>
  </property>
  <property fmtid="{D5CDD505-2E9C-101B-9397-08002B2CF9AE}" pid="5" name="IsEFSEC">
    <vt:bool>false</vt:bool>
  </property>
</Properties>
</file>