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2018\2018-2019 WA Biennial Conservation Plan (Nov 2017) UE-171091\For Filing (June 1)\For Filing\"/>
    </mc:Choice>
  </mc:AlternateContent>
  <bookViews>
    <workbookView xWindow="0" yWindow="0" windowWidth="14385" windowHeight="6255" tabRatio="719" activeTab="1"/>
  </bookViews>
  <sheets>
    <sheet name="Background" sheetId="21" r:id="rId1"/>
    <sheet name="Conservation Report" sheetId="18" r:id="rId2"/>
    <sheet name="Prior Report Data" sheetId="25" state="hidden" r:id="rId3"/>
    <sheet name="Data" sheetId="19" state="hidden" r:id="rId4"/>
    <sheet name="ESRI_MAPINFO_SHEET" sheetId="26" state="veryHidden" r:id="rId5"/>
  </sheets>
  <definedNames>
    <definedName name="CON_2016_Agriculture_Expend">'Conservation Report'!$D$23</definedName>
    <definedName name="CON_2016_Agriculture_MWH">'Conservation Report'!$C$23</definedName>
    <definedName name="CON_2016_Commercial_Expend">'Conservation Report'!$D$21</definedName>
    <definedName name="CON_2016_Commercial_MWH">'Conservation Report'!$C$21</definedName>
    <definedName name="CON_2016_Distribution_Expend">'Conservation Report'!$D$24</definedName>
    <definedName name="CON_2016_Distribution_MWH">'Conservation Report'!$C$24</definedName>
    <definedName name="CON_2016_Expenditures">'Conservation Report'!$D$32</definedName>
    <definedName name="CON_2016_Industrial_Expend">'Conservation Report'!$D$22</definedName>
    <definedName name="CON_2016_Industrial_MWH">'Conservation Report'!$C$22</definedName>
    <definedName name="CON_2016_MWH">'Conservation Report'!$C$32</definedName>
    <definedName name="CON_2016_NEEA_Expend">'Conservation Report'!$D$26</definedName>
    <definedName name="CON_2016_NEEA_MWH">'Conservation Report'!$C$26</definedName>
    <definedName name="CON_2016_OtherSector1_Expend">'Conservation Report'!$D$27</definedName>
    <definedName name="CON_2016_OtherSector1_MWH">'Conservation Report'!$C$27</definedName>
    <definedName name="CON_2016_OtherSector2_Expend">'Conservation Report'!$D$28</definedName>
    <definedName name="CON_2016_OtherSector2_MWH">'Conservation Report'!$C$28</definedName>
    <definedName name="CON_2016_Production_Expend">'Conservation Report'!$D$25</definedName>
    <definedName name="CON_2016_Production_MWH">'Conservation Report'!$C$25</definedName>
    <definedName name="CON_2016_Program1_Expend">'Conservation Report'!$D$30</definedName>
    <definedName name="CON_2016_Program2_Expend">'Conservation Report'!$D$31</definedName>
    <definedName name="CON_2016_Residential_Expend">'Conservation Report'!$D$20</definedName>
    <definedName name="CON_2016_Residential_MWH">'Conservation Report'!$C$20</definedName>
    <definedName name="CON_2017_Agriculture_Expend">'Conservation Report'!$G$23</definedName>
    <definedName name="CON_2017_Agriculture_MWH">'Conservation Report'!$F$23</definedName>
    <definedName name="CON_2017_Commercial_Expend">'Conservation Report'!$G$21</definedName>
    <definedName name="CON_2017_Commercial_MWH">'Conservation Report'!$F$21</definedName>
    <definedName name="CON_2017_Distribution_Expend">'Conservation Report'!$G$24</definedName>
    <definedName name="CON_2017_Distribution_MWH">'Conservation Report'!$F$24</definedName>
    <definedName name="CON_2017_Expenditures">'Conservation Report'!$G$32</definedName>
    <definedName name="CON_2017_Industrial_Expend">'Conservation Report'!$G$22</definedName>
    <definedName name="CON_2017_Industrial_MWH">'Conservation Report'!$F$22</definedName>
    <definedName name="CON_2017_MWH">'Conservation Report'!$F$32</definedName>
    <definedName name="CON_2017_NEEA_Expend">'Conservation Report'!$G$26</definedName>
    <definedName name="CON_2017_NEEA_MWH">'Conservation Report'!$F$26</definedName>
    <definedName name="CON_2017_OtherSector1_Expend">'Conservation Report'!$G$27</definedName>
    <definedName name="CON_2017_OtherSector1_MWH">'Conservation Report'!$F$27</definedName>
    <definedName name="CON_2017_OtherSector2_Expend">'Conservation Report'!$G$28</definedName>
    <definedName name="CON_2017_OtherSector2_MWH">'Conservation Report'!$F$28</definedName>
    <definedName name="CON_2017_Production_Expend">'Conservation Report'!$G$25</definedName>
    <definedName name="CON_2017_Production_MWH">'Conservation Report'!$F$25</definedName>
    <definedName name="CON_2017_Program1_Expend">'Conservation Report'!$G$30</definedName>
    <definedName name="CON_2017_Program2_Expend">'Conservation Report'!$G$31</definedName>
    <definedName name="CON_2017_Residential_Expend">'Conservation Report'!$G$20</definedName>
    <definedName name="CON_2017_Residential_MWH">'Conservation Report'!$F$20</definedName>
    <definedName name="CON_Contact_Name">'Conservation Report'!$B$7</definedName>
    <definedName name="CON_Email">'Conservation Report'!$B$9</definedName>
    <definedName name="CON_Excess_2012_13">'Conservation Report'!$G$10</definedName>
    <definedName name="CON_Excess_2014_15">'Conservation Report'!$G$11</definedName>
    <definedName name="CON_Phone">'Conservation Report'!$B$8</definedName>
    <definedName name="CON_Potential_2016_2025">'Conservation Report'!$A$15</definedName>
    <definedName name="CON_Potential_2018_2027">'Conservation Report'!$C$15</definedName>
    <definedName name="CON_Report_Date">'Conservation Report'!$B$6</definedName>
    <definedName name="CON_Target_2016_2017">'Conservation Report'!$B$15</definedName>
    <definedName name="CON_Target_2018_2019">'Conservation Report'!$D$15</definedName>
    <definedName name="CON_Utility_Name">'Conservation Report'!$B$5</definedName>
    <definedName name="_xlnm.Print_Area" localSheetId="1">'Conservation Report'!$A$1:$I$56</definedName>
    <definedName name="UtilityList">'Prior Report Data'!$A$4:$A$21</definedName>
  </definedNames>
  <calcPr calcId="152511"/>
</workbook>
</file>

<file path=xl/calcChain.xml><?xml version="1.0" encoding="utf-8"?>
<calcChain xmlns="http://schemas.openxmlformats.org/spreadsheetml/2006/main">
  <c r="C21" i="18" l="1"/>
  <c r="C20" i="18"/>
  <c r="F20" i="18"/>
  <c r="G11" i="18" l="1"/>
  <c r="F21" i="18" l="1"/>
  <c r="C24" i="18" l="1"/>
  <c r="F24" i="18"/>
  <c r="G30" i="18" l="1"/>
  <c r="G20" i="18"/>
  <c r="D30" i="18"/>
  <c r="D20" i="18"/>
  <c r="C25" i="18"/>
  <c r="A15" i="18" l="1"/>
  <c r="B15" i="18"/>
  <c r="BA2" i="19" l="1"/>
  <c r="AX2" i="19"/>
  <c r="A2" i="19" l="1"/>
  <c r="I8" i="18"/>
  <c r="G8" i="18"/>
  <c r="AS2" i="19" l="1"/>
  <c r="W2" i="19"/>
  <c r="E2" i="19"/>
  <c r="AZ2" i="19" l="1"/>
  <c r="AY2" i="19"/>
  <c r="AW2" i="19"/>
  <c r="AV2" i="19"/>
  <c r="AU2" i="19"/>
  <c r="AT2" i="19"/>
  <c r="AR2" i="19"/>
  <c r="AQ2" i="19"/>
  <c r="AP2" i="19"/>
  <c r="AO2" i="19"/>
  <c r="AN2" i="19"/>
  <c r="AM2" i="19"/>
  <c r="AL2" i="19"/>
  <c r="AK2" i="19"/>
  <c r="AJ2" i="19"/>
  <c r="AI2" i="19"/>
  <c r="AH2" i="19"/>
  <c r="AF2" i="19"/>
  <c r="AE2" i="19"/>
  <c r="AC2" i="19"/>
  <c r="AB2" i="19"/>
  <c r="AA2" i="19"/>
  <c r="Z2" i="19"/>
  <c r="Y2" i="19"/>
  <c r="X2" i="19"/>
  <c r="V2" i="19"/>
  <c r="U2" i="19"/>
  <c r="T2" i="19"/>
  <c r="S2" i="19"/>
  <c r="R2" i="19"/>
  <c r="Q2" i="19"/>
  <c r="P2" i="19"/>
  <c r="O2" i="19"/>
  <c r="N2" i="19"/>
  <c r="M2" i="19"/>
  <c r="L2" i="19"/>
  <c r="J2" i="19"/>
  <c r="I2" i="19"/>
  <c r="G2" i="19"/>
  <c r="F2" i="19"/>
  <c r="D2" i="19"/>
  <c r="C2" i="19"/>
  <c r="B2" i="19"/>
  <c r="G32" i="18" l="1"/>
  <c r="AD2" i="19" s="1"/>
  <c r="F32" i="18"/>
  <c r="AG2" i="19" s="1"/>
  <c r="N5" i="21" l="1"/>
  <c r="B35" i="18" l="1"/>
  <c r="D32" i="18" l="1"/>
  <c r="H2" i="19" s="1"/>
  <c r="C32" i="18"/>
  <c r="G9" i="18" s="1"/>
  <c r="G13" i="18" s="1"/>
  <c r="K2" i="19" l="1"/>
</calcChain>
</file>

<file path=xl/sharedStrings.xml><?xml version="1.0" encoding="utf-8"?>
<sst xmlns="http://schemas.openxmlformats.org/spreadsheetml/2006/main" count="144" uniqueCount="133">
  <si>
    <t>Phone</t>
  </si>
  <si>
    <t>Email</t>
  </si>
  <si>
    <t>Achievement</t>
  </si>
  <si>
    <t>Utility</t>
  </si>
  <si>
    <t xml:space="preserve"> NEEA</t>
  </si>
  <si>
    <t>Total</t>
  </si>
  <si>
    <t>MWh</t>
  </si>
  <si>
    <t>Utility Expenditures ($)</t>
  </si>
  <si>
    <t xml:space="preserve"> Residential </t>
  </si>
  <si>
    <t xml:space="preserve"> Commercial</t>
  </si>
  <si>
    <t xml:space="preserve"> Industrial</t>
  </si>
  <si>
    <t xml:space="preserve"> Agriculture</t>
  </si>
  <si>
    <t>Compliance Year</t>
  </si>
  <si>
    <t>Water</t>
  </si>
  <si>
    <t>Wind</t>
  </si>
  <si>
    <t>Landfill Gas</t>
  </si>
  <si>
    <t>Gas from Sewage Treatment</t>
  </si>
  <si>
    <t xml:space="preserve"> Distribution Efficiency</t>
  </si>
  <si>
    <t xml:space="preserve"> Production Efficiency</t>
  </si>
  <si>
    <t>Wave, Ocean, Tidal</t>
  </si>
  <si>
    <t>Conservation by Sector</t>
  </si>
  <si>
    <r>
      <t xml:space="preserve"> </t>
    </r>
    <r>
      <rPr>
        <b/>
        <sz val="10"/>
        <color theme="1"/>
        <rFont val="Arial"/>
        <family val="2"/>
      </rPr>
      <t>Planning</t>
    </r>
  </si>
  <si>
    <r>
      <t xml:space="preserve">Conservation expenditures </t>
    </r>
    <r>
      <rPr>
        <i/>
        <sz val="10"/>
        <color theme="1"/>
        <rFont val="Arial"/>
        <family val="2"/>
      </rPr>
      <t xml:space="preserve">NOT </t>
    </r>
    <r>
      <rPr>
        <sz val="10"/>
        <color theme="1"/>
        <rFont val="Arial"/>
        <family val="2"/>
      </rPr>
      <t>included in sector expenditures</t>
    </r>
  </si>
  <si>
    <t>Contact Name/Dept</t>
  </si>
  <si>
    <t>Report Date</t>
  </si>
  <si>
    <t>CON_Contact_Name</t>
  </si>
  <si>
    <t>CON_Email</t>
  </si>
  <si>
    <t>CON_Phone</t>
  </si>
  <si>
    <t>CON_Report_Date</t>
  </si>
  <si>
    <t>CON_Utility_Name</t>
  </si>
  <si>
    <r>
      <t>Submission:</t>
    </r>
    <r>
      <rPr>
        <sz val="11"/>
        <color rgb="FF000000"/>
        <rFont val="Arial"/>
        <family val="2"/>
      </rPr>
      <t xml:space="preserve"> Email this workbook and all supporting documentation to </t>
    </r>
    <r>
      <rPr>
        <b/>
        <sz val="11"/>
        <color rgb="FF993300"/>
        <rFont val="Arial"/>
        <family val="2"/>
      </rPr>
      <t xml:space="preserve">EIA@commerce.wa.gov </t>
    </r>
  </si>
  <si>
    <t>2016 - 2017 Planning</t>
  </si>
  <si>
    <t>2016-2025 Ten Year Potential (MWh)</t>
  </si>
  <si>
    <t>2016 - 2017 Target (MWh)</t>
  </si>
  <si>
    <t>CON_Potential_2016_2025</t>
  </si>
  <si>
    <t>CON_Target_2016_2017</t>
  </si>
  <si>
    <t>Biodiesel</t>
  </si>
  <si>
    <t>Solar</t>
  </si>
  <si>
    <t>Geothermal</t>
  </si>
  <si>
    <t>Biomass</t>
  </si>
  <si>
    <t>Qualified Biomass</t>
  </si>
  <si>
    <t>Notes, including a brief description of the methodology used to establish the utility's ten-year potential and biennial target to capture cost-effective conservation:</t>
  </si>
  <si>
    <t>Enter information in green-shaded fields.</t>
  </si>
  <si>
    <t>Do not modify blue-shaded fields.</t>
  </si>
  <si>
    <r>
      <t>Questions:</t>
    </r>
    <r>
      <rPr>
        <sz val="11"/>
        <color rgb="FF000000"/>
        <rFont val="Arial"/>
        <family val="2"/>
      </rPr>
      <t xml:space="preserve"> Glenn Blackmon, State Energy Office, (360) 725-3115, </t>
    </r>
    <r>
      <rPr>
        <b/>
        <sz val="11"/>
        <color theme="3"/>
        <rFont val="Arial"/>
        <family val="2"/>
      </rPr>
      <t>glenn.blackmon@commerce.wa.gov</t>
    </r>
  </si>
  <si>
    <r>
      <rPr>
        <sz val="12"/>
        <color theme="1"/>
        <rFont val="Arial"/>
        <family val="2"/>
      </rPr>
      <t xml:space="preserve">Energy Independence Act (I-937) </t>
    </r>
    <r>
      <rPr>
        <sz val="12"/>
        <color theme="1"/>
        <rFont val="Arial Black"/>
        <family val="2"/>
      </rPr>
      <t>Conservation Report 2017</t>
    </r>
  </si>
  <si>
    <t>2016 Achievement</t>
  </si>
  <si>
    <t>2017 Achievement</t>
  </si>
  <si>
    <t>Puget Sound Energy</t>
  </si>
  <si>
    <t>Seattle City Light</t>
  </si>
  <si>
    <t>Public Utility District No. 1 of Chelan County</t>
  </si>
  <si>
    <t>CON_2016_Agriculture_Expend</t>
  </si>
  <si>
    <t>CON_2016_Agriculture_MWH</t>
  </si>
  <si>
    <t>CON_2016_Commercial_Expend</t>
  </si>
  <si>
    <t>CON_2016_Commercial_MWH</t>
  </si>
  <si>
    <t>CON_2016_Distribution_Expend</t>
  </si>
  <si>
    <t>CON_2016_Distribution_MWH</t>
  </si>
  <si>
    <t>CON_2016_Expenditures</t>
  </si>
  <si>
    <t>CON_2016_Industrial_Expend</t>
  </si>
  <si>
    <t>CON_2016_Industrial_MWH</t>
  </si>
  <si>
    <t>CON_2016_MWH</t>
  </si>
  <si>
    <t>CON_2016_NEEA_Expend</t>
  </si>
  <si>
    <t>CON_2016_NEEA_MWH</t>
  </si>
  <si>
    <t>CON_2016_OtherSector1_Expend</t>
  </si>
  <si>
    <t>CON_2016_OtherSector1_MWH</t>
  </si>
  <si>
    <t>CON_2016_OtherSector2_Expend</t>
  </si>
  <si>
    <t>CON_2016_OtherSector2_MWH</t>
  </si>
  <si>
    <t>CON_2016_Production_Expend</t>
  </si>
  <si>
    <t>CON_2016_Production_MWH</t>
  </si>
  <si>
    <t>CON_2016_Program1_Expend</t>
  </si>
  <si>
    <t>CON_2016_Program2_Expend</t>
  </si>
  <si>
    <t>CON_2016_Residential_Expend</t>
  </si>
  <si>
    <t>CON_2016_Residential_MWH</t>
  </si>
  <si>
    <t>CON_2017_Agriculture_MWH</t>
  </si>
  <si>
    <t>CON_2017_Commercial_Expend</t>
  </si>
  <si>
    <t>CON_2017_Commercial_MWH</t>
  </si>
  <si>
    <t>CON_2017_Distribution_Expend</t>
  </si>
  <si>
    <t>CON_2017_Distribution_MWH</t>
  </si>
  <si>
    <t>CON_2017_Expenditures</t>
  </si>
  <si>
    <t>CON_2017_Industrial_Expend</t>
  </si>
  <si>
    <t>CON_2017_Industrial_MWH</t>
  </si>
  <si>
    <t>CON_2017_MWH</t>
  </si>
  <si>
    <t>CON_2017_NEEA_Expend</t>
  </si>
  <si>
    <t>CON_2017_NEEA_MWH</t>
  </si>
  <si>
    <t>CON_2017_OtherSector1_Expend</t>
  </si>
  <si>
    <t>CON_2017_OtherSector1_MWH</t>
  </si>
  <si>
    <t>CON_2017_OtherSector2_Expend</t>
  </si>
  <si>
    <t>CON_2017_OtherSector2_MWH</t>
  </si>
  <si>
    <t>CON_2017_Production_Expend</t>
  </si>
  <si>
    <t>CON_2017_Production_MWH</t>
  </si>
  <si>
    <t>CON_2017_Program1_Expend</t>
  </si>
  <si>
    <t>CON_2017_Program2_Expend</t>
  </si>
  <si>
    <t>CON_2017_Residential_Expend</t>
  </si>
  <si>
    <t>CON_2017_Residential_MWH</t>
  </si>
  <si>
    <t>CON_2017_Agriculture_Expend</t>
  </si>
  <si>
    <t>Avista</t>
  </si>
  <si>
    <t>Public Utility District No. 1 of Benton County</t>
  </si>
  <si>
    <t>PUD #1 of Clallam County</t>
  </si>
  <si>
    <t>Clark Public Utilities</t>
  </si>
  <si>
    <t>Cowlitz County PUD</t>
  </si>
  <si>
    <t>Public Utility District No. 2 of Grant County</t>
  </si>
  <si>
    <t>PUD #1 of Grays Harbor County</t>
  </si>
  <si>
    <t>Inland Power and Light Co.</t>
  </si>
  <si>
    <t>Lewis County PUD</t>
  </si>
  <si>
    <t>Mason County PUD No. 3</t>
  </si>
  <si>
    <t>Pacific Power &amp; Light Company</t>
  </si>
  <si>
    <t>Peninsula Light Company</t>
  </si>
  <si>
    <t>Snohomish County PUD</t>
  </si>
  <si>
    <t>Tacoma Power</t>
  </si>
  <si>
    <t>&lt;select from drop-down list&gt;</t>
  </si>
  <si>
    <t>2018 - 2019 Planning</t>
  </si>
  <si>
    <t>2018-2027 Ten Year Potential (MWh)</t>
  </si>
  <si>
    <t>2018 - 2019 Target (MWh)</t>
  </si>
  <si>
    <t>Summary of Achievement and Targets (MWh)</t>
  </si>
  <si>
    <t>2016-2017</t>
  </si>
  <si>
    <t>2018-2019</t>
  </si>
  <si>
    <t>Biennial</t>
  </si>
  <si>
    <t xml:space="preserve">Target </t>
  </si>
  <si>
    <t>Target</t>
  </si>
  <si>
    <t>Excess from 2012-13</t>
  </si>
  <si>
    <t>Excess from 2014-15</t>
  </si>
  <si>
    <r>
      <t>Deadline:</t>
    </r>
    <r>
      <rPr>
        <sz val="11"/>
        <color rgb="FF000000"/>
        <rFont val="Arial"/>
        <family val="2"/>
      </rPr>
      <t xml:space="preserve"> June 1, 2018</t>
    </r>
  </si>
  <si>
    <r>
      <t xml:space="preserve">Energy Independence Act (I-937) </t>
    </r>
    <r>
      <rPr>
        <sz val="11"/>
        <color rgb="FF000000"/>
        <rFont val="Arial Black"/>
        <family val="2"/>
      </rPr>
      <t>Conservation Report Workbook</t>
    </r>
  </si>
  <si>
    <t>CON_Potential_2018_2027</t>
  </si>
  <si>
    <t>CON_Target_2018_2019</t>
  </si>
  <si>
    <t>(Deductions)</t>
  </si>
  <si>
    <t>Published April 5, 2018</t>
  </si>
  <si>
    <t>Excess (Deficit)</t>
  </si>
  <si>
    <t>Mark Baker, Demand Side Management</t>
  </si>
  <si>
    <t>(509) 495-4864</t>
  </si>
  <si>
    <t>mark.baker@avistacorp.com</t>
  </si>
  <si>
    <t xml:space="preserve"> </t>
  </si>
  <si>
    <t>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</si>
</sst>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_);_(* \(#,##0.0\);_(* &quot;-&quot;??_);_(@_)"/>
    <numFmt numFmtId="165" formatCode="_(* #,##0_);_(* \(#,##0\);_(* &quot;-&quot;??_);_(@_)"/>
    <numFmt numFmtId="166" formatCode="[$-409]mmmm\ d\,\ yyyy;@"/>
    <numFmt numFmtId="167" formatCode="&quot;$&quot;#,##0"/>
  </numFmts>
  <fonts count="16" x14ac:knownFonts="1">
    <font>
      <sz val="11"/>
      <color theme="1"/>
      <name val="Calibri"/>
      <family val="2"/>
      <scheme val="minor"/>
    </font>
    <font>
      <sz val="10"/>
      <name val="Arial"/>
      <family val="2"/>
    </font>
    <font>
      <b/>
      <sz val="10"/>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i/>
      <sz val="10"/>
      <color theme="1"/>
      <name val="Arial"/>
      <family val="2"/>
    </font>
    <font>
      <b/>
      <sz val="9"/>
      <color theme="1"/>
      <name val="Arial"/>
      <family val="2"/>
    </font>
    <font>
      <sz val="12"/>
      <color theme="1"/>
      <name val="Arial Black"/>
      <family val="2"/>
    </font>
    <font>
      <sz val="12"/>
      <color theme="1"/>
      <name val="Arial"/>
      <family val="2"/>
    </font>
    <font>
      <sz val="11"/>
      <color rgb="FF000000"/>
      <name val="Arial Black"/>
      <family val="2"/>
    </font>
    <font>
      <sz val="11"/>
      <color rgb="FF000000"/>
      <name val="Arial"/>
      <family val="2"/>
    </font>
    <font>
      <b/>
      <sz val="11"/>
      <color rgb="FF000000"/>
      <name val="Arial"/>
      <family val="2"/>
    </font>
    <font>
      <b/>
      <sz val="11"/>
      <color rgb="FF993300"/>
      <name val="Arial"/>
      <family val="2"/>
    </font>
    <font>
      <b/>
      <sz val="11"/>
      <color theme="3"/>
      <name val="Arial"/>
      <family val="2"/>
    </font>
  </fonts>
  <fills count="8">
    <fill>
      <patternFill patternType="none"/>
    </fill>
    <fill>
      <patternFill patternType="gray125"/>
    </fill>
    <fill>
      <patternFill patternType="solid">
        <fgColor theme="0"/>
        <bgColor indexed="64"/>
      </patternFill>
    </fill>
    <fill>
      <patternFill patternType="darkGray">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25">
    <border>
      <left/>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thick">
        <color indexed="64"/>
      </top>
      <bottom/>
      <diagonal/>
    </border>
    <border>
      <left/>
      <right/>
      <top/>
      <bottom style="thin">
        <color indexed="64"/>
      </bottom>
      <diagonal/>
    </border>
    <border>
      <left/>
      <right style="thin">
        <color indexed="64"/>
      </right>
      <top/>
      <bottom/>
      <diagonal/>
    </border>
    <border>
      <left style="hair">
        <color indexed="64"/>
      </left>
      <right/>
      <top/>
      <bottom style="thin">
        <color indexed="64"/>
      </bottom>
      <diagonal/>
    </border>
    <border>
      <left/>
      <right/>
      <top style="thin">
        <color indexed="64"/>
      </top>
      <bottom style="medium">
        <color indexed="64"/>
      </bottom>
      <diagonal/>
    </border>
    <border>
      <left style="hair">
        <color indexed="64"/>
      </left>
      <right/>
      <top/>
      <bottom style="hair">
        <color indexed="64"/>
      </bottom>
      <diagonal/>
    </border>
    <border>
      <left/>
      <right/>
      <top/>
      <bottom style="medium">
        <color indexed="64"/>
      </bottom>
      <diagonal/>
    </border>
    <border>
      <left/>
      <right/>
      <top style="medium">
        <color indexed="64"/>
      </top>
      <bottom/>
      <diagonal/>
    </border>
    <border>
      <left/>
      <right/>
      <top style="hair">
        <color indexed="64"/>
      </top>
      <bottom style="medium">
        <color indexed="64"/>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ont="0" applyFill="0" applyBorder="0" applyAlignment="0" applyProtection="0">
      <alignment vertical="top"/>
      <protection locked="0"/>
    </xf>
  </cellStyleXfs>
  <cellXfs count="83">
    <xf numFmtId="0" fontId="0" fillId="0" borderId="0" xfId="0"/>
    <xf numFmtId="0" fontId="5" fillId="2" borderId="0" xfId="0" applyFont="1" applyFill="1"/>
    <xf numFmtId="0" fontId="5" fillId="2" borderId="0" xfId="0" applyFont="1" applyFill="1" applyAlignment="1">
      <alignment horizontal="right"/>
    </xf>
    <xf numFmtId="0" fontId="8" fillId="2" borderId="0" xfId="0" applyFont="1" applyFill="1" applyBorder="1" applyAlignment="1">
      <alignment horizontal="center" vertical="center" wrapText="1"/>
    </xf>
    <xf numFmtId="0" fontId="1" fillId="2" borderId="7" xfId="0" applyFont="1" applyFill="1" applyBorder="1" applyAlignment="1" applyProtection="1">
      <alignment horizontal="right"/>
    </xf>
    <xf numFmtId="0" fontId="0" fillId="0" borderId="0" xfId="0" applyNumberFormat="1"/>
    <xf numFmtId="0" fontId="13" fillId="4" borderId="0" xfId="0" applyFont="1" applyFill="1" applyBorder="1" applyAlignment="1">
      <alignment vertical="center" wrapText="1"/>
    </xf>
    <xf numFmtId="0" fontId="12" fillId="4" borderId="0" xfId="0" applyFont="1" applyFill="1" applyBorder="1" applyAlignment="1">
      <alignment vertical="center"/>
    </xf>
    <xf numFmtId="0" fontId="13" fillId="6" borderId="0" xfId="0" applyFont="1" applyFill="1" applyBorder="1" applyAlignment="1">
      <alignment horizontal="center" vertical="center" wrapText="1"/>
    </xf>
    <xf numFmtId="0" fontId="13" fillId="7" borderId="0" xfId="0" applyFont="1" applyFill="1" applyBorder="1" applyAlignment="1">
      <alignment horizontal="center" vertical="center" wrapText="1"/>
    </xf>
    <xf numFmtId="0" fontId="5" fillId="2" borderId="0" xfId="0" applyFont="1" applyFill="1" applyProtection="1">
      <protection locked="0"/>
    </xf>
    <xf numFmtId="167" fontId="5" fillId="6" borderId="13" xfId="1" applyNumberFormat="1" applyFont="1" applyFill="1" applyBorder="1" applyAlignment="1" applyProtection="1">
      <alignment horizontal="right"/>
      <protection locked="0"/>
    </xf>
    <xf numFmtId="165" fontId="5" fillId="6" borderId="4" xfId="0" applyNumberFormat="1" applyFont="1" applyFill="1" applyBorder="1" applyAlignment="1" applyProtection="1">
      <alignment horizontal="center"/>
      <protection locked="0"/>
    </xf>
    <xf numFmtId="0" fontId="6" fillId="6" borderId="7" xfId="0" applyFont="1" applyFill="1" applyBorder="1" applyProtection="1">
      <protection locked="0"/>
    </xf>
    <xf numFmtId="0" fontId="6" fillId="6" borderId="7" xfId="0" applyFont="1" applyFill="1" applyBorder="1" applyAlignment="1" applyProtection="1">
      <alignment vertical="center" wrapText="1"/>
      <protection locked="0"/>
    </xf>
    <xf numFmtId="0" fontId="5" fillId="2" borderId="0" xfId="0" applyFont="1" applyFill="1" applyProtection="1"/>
    <xf numFmtId="0" fontId="9" fillId="2" borderId="0" xfId="0" applyFont="1" applyFill="1" applyBorder="1" applyAlignment="1" applyProtection="1"/>
    <xf numFmtId="0" fontId="5" fillId="2" borderId="0" xfId="0" applyFont="1" applyFill="1" applyBorder="1" applyProtection="1"/>
    <xf numFmtId="0" fontId="6" fillId="2" borderId="0" xfId="0" applyFont="1" applyFill="1" applyBorder="1" applyAlignment="1" applyProtection="1"/>
    <xf numFmtId="0" fontId="6" fillId="2" borderId="0" xfId="0" applyFont="1" applyFill="1" applyBorder="1" applyAlignment="1" applyProtection="1">
      <alignment horizontal="right"/>
    </xf>
    <xf numFmtId="0" fontId="5" fillId="2" borderId="0" xfId="0" applyNumberFormat="1" applyFont="1" applyFill="1" applyProtection="1"/>
    <xf numFmtId="0" fontId="5" fillId="2" borderId="0" xfId="0" applyFont="1" applyFill="1" applyBorder="1" applyAlignment="1" applyProtection="1">
      <alignment horizontal="right"/>
    </xf>
    <xf numFmtId="0" fontId="7" fillId="2" borderId="0" xfId="0" applyFont="1" applyFill="1" applyBorder="1" applyProtection="1"/>
    <xf numFmtId="0" fontId="5" fillId="2" borderId="0" xfId="0" applyFont="1" applyFill="1" applyAlignment="1" applyProtection="1">
      <alignment horizontal="right"/>
    </xf>
    <xf numFmtId="0" fontId="5" fillId="2" borderId="0" xfId="0" applyFont="1" applyFill="1" applyAlignment="1" applyProtection="1">
      <alignment horizontal="left"/>
    </xf>
    <xf numFmtId="0" fontId="5" fillId="2" borderId="0" xfId="0" applyFont="1" applyFill="1" applyBorder="1" applyAlignment="1" applyProtection="1"/>
    <xf numFmtId="0" fontId="5" fillId="2" borderId="3" xfId="0" applyFont="1" applyFill="1" applyBorder="1" applyProtection="1"/>
    <xf numFmtId="0" fontId="6" fillId="2" borderId="4" xfId="0" applyFont="1" applyFill="1" applyBorder="1" applyAlignment="1" applyProtection="1">
      <alignment horizontal="right"/>
    </xf>
    <xf numFmtId="0" fontId="6" fillId="2" borderId="2" xfId="0" applyFont="1" applyFill="1" applyBorder="1" applyAlignment="1" applyProtection="1">
      <alignment horizontal="center" wrapText="1"/>
    </xf>
    <xf numFmtId="0" fontId="5" fillId="2" borderId="7" xfId="0" applyFont="1" applyFill="1" applyBorder="1" applyAlignment="1" applyProtection="1">
      <alignment horizontal="right"/>
    </xf>
    <xf numFmtId="167" fontId="5" fillId="2" borderId="0" xfId="0" applyNumberFormat="1" applyFont="1" applyFill="1" applyAlignment="1" applyProtection="1">
      <alignment horizontal="right"/>
    </xf>
    <xf numFmtId="164" fontId="5" fillId="3" borderId="14" xfId="0" applyNumberFormat="1" applyFont="1" applyFill="1" applyBorder="1" applyAlignment="1" applyProtection="1">
      <alignment horizontal="center"/>
    </xf>
    <xf numFmtId="164" fontId="5" fillId="3" borderId="15" xfId="0" applyNumberFormat="1" applyFont="1" applyFill="1" applyBorder="1" applyAlignment="1" applyProtection="1">
      <alignment horizontal="center"/>
    </xf>
    <xf numFmtId="0" fontId="6" fillId="2" borderId="8" xfId="0" applyFont="1" applyFill="1" applyBorder="1" applyProtection="1"/>
    <xf numFmtId="165" fontId="6" fillId="5" borderId="6" xfId="0" applyNumberFormat="1" applyFont="1" applyFill="1" applyBorder="1" applyAlignment="1" applyProtection="1">
      <alignment horizontal="center"/>
    </xf>
    <xf numFmtId="167" fontId="6" fillId="5" borderId="1" xfId="1" applyNumberFormat="1" applyFont="1" applyFill="1" applyBorder="1" applyAlignment="1" applyProtection="1">
      <alignment horizontal="right"/>
    </xf>
    <xf numFmtId="0" fontId="6" fillId="2" borderId="0" xfId="0" applyFont="1" applyFill="1" applyBorder="1" applyProtection="1"/>
    <xf numFmtId="165" fontId="6" fillId="2" borderId="0" xfId="0" applyNumberFormat="1" applyFont="1" applyFill="1" applyBorder="1" applyAlignment="1" applyProtection="1">
      <alignment horizontal="center"/>
    </xf>
    <xf numFmtId="165" fontId="6" fillId="2" borderId="0" xfId="1" applyNumberFormat="1" applyFont="1" applyFill="1" applyBorder="1" applyAlignment="1" applyProtection="1">
      <alignment horizontal="center"/>
    </xf>
    <xf numFmtId="0" fontId="6" fillId="2" borderId="0" xfId="0" applyFont="1" applyFill="1" applyAlignment="1" applyProtection="1">
      <alignment horizontal="right"/>
    </xf>
    <xf numFmtId="0" fontId="6" fillId="2" borderId="0" xfId="0" applyFont="1" applyFill="1" applyBorder="1" applyAlignment="1" applyProtection="1">
      <alignment horizontal="center"/>
    </xf>
    <xf numFmtId="0" fontId="0" fillId="0" borderId="0" xfId="0" applyAlignment="1">
      <alignment textRotation="90"/>
    </xf>
    <xf numFmtId="0" fontId="0" fillId="0" borderId="0" xfId="0" applyAlignment="1">
      <alignment horizontal="center" wrapText="1"/>
    </xf>
    <xf numFmtId="0" fontId="6" fillId="0" borderId="2" xfId="0" applyFont="1" applyFill="1" applyBorder="1" applyAlignment="1" applyProtection="1">
      <alignment horizontal="center" wrapText="1"/>
    </xf>
    <xf numFmtId="165" fontId="5" fillId="6" borderId="4" xfId="1" applyNumberFormat="1" applyFont="1" applyFill="1" applyBorder="1" applyAlignment="1" applyProtection="1">
      <alignment horizontal="center"/>
      <protection locked="0"/>
    </xf>
    <xf numFmtId="0" fontId="6" fillId="2" borderId="15" xfId="0" applyFont="1" applyFill="1" applyBorder="1" applyAlignment="1">
      <alignment horizontal="center" wrapText="1"/>
    </xf>
    <xf numFmtId="0" fontId="6" fillId="2" borderId="21" xfId="0" applyFont="1" applyFill="1" applyBorder="1" applyAlignment="1">
      <alignment horizontal="center" wrapText="1"/>
    </xf>
    <xf numFmtId="165" fontId="5" fillId="5" borderId="6" xfId="0" applyNumberFormat="1" applyFont="1" applyFill="1" applyBorder="1" applyAlignment="1">
      <alignment horizontal="center"/>
    </xf>
    <xf numFmtId="165" fontId="5" fillId="5" borderId="6" xfId="1" applyNumberFormat="1" applyFont="1" applyFill="1" applyBorder="1"/>
    <xf numFmtId="165" fontId="6" fillId="6" borderId="1" xfId="1" applyNumberFormat="1" applyFont="1" applyFill="1" applyBorder="1" applyAlignment="1">
      <alignment horizontal="right"/>
    </xf>
    <xf numFmtId="0" fontId="2" fillId="2" borderId="23" xfId="0" applyFont="1" applyFill="1" applyBorder="1" applyAlignment="1">
      <alignment horizontal="center"/>
    </xf>
    <xf numFmtId="0" fontId="5" fillId="0" borderId="23" xfId="0" applyFont="1" applyBorder="1" applyAlignment="1"/>
    <xf numFmtId="0" fontId="6" fillId="2" borderId="0" xfId="0" applyFont="1" applyFill="1" applyAlignment="1">
      <alignment horizontal="center"/>
    </xf>
    <xf numFmtId="0" fontId="1" fillId="2" borderId="0" xfId="0" applyFont="1" applyFill="1" applyAlignment="1">
      <alignment horizontal="right"/>
    </xf>
    <xf numFmtId="165" fontId="5" fillId="5" borderId="12" xfId="1" applyNumberFormat="1" applyFont="1" applyFill="1" applyBorder="1"/>
    <xf numFmtId="165" fontId="5" fillId="5" borderId="20" xfId="0" applyNumberFormat="1" applyFont="1" applyFill="1" applyBorder="1"/>
    <xf numFmtId="165" fontId="5" fillId="5" borderId="9" xfId="1" applyNumberFormat="1" applyFont="1" applyFill="1" applyBorder="1"/>
    <xf numFmtId="165" fontId="5" fillId="5" borderId="24" xfId="1" applyNumberFormat="1" applyFont="1" applyFill="1" applyBorder="1"/>
    <xf numFmtId="165" fontId="5" fillId="6" borderId="9" xfId="1" applyNumberFormat="1" applyFont="1" applyFill="1" applyBorder="1"/>
    <xf numFmtId="166" fontId="12" fillId="0" borderId="0" xfId="0" applyNumberFormat="1" applyFont="1" applyFill="1" applyBorder="1" applyAlignment="1">
      <alignment horizontal="left" vertical="center"/>
    </xf>
    <xf numFmtId="0" fontId="5" fillId="6" borderId="7" xfId="0" applyFont="1" applyFill="1" applyBorder="1" applyAlignment="1" applyProtection="1">
      <alignment horizontal="right" vertical="center" wrapText="1"/>
      <protection locked="0"/>
    </xf>
    <xf numFmtId="0" fontId="6" fillId="6" borderId="9" xfId="0" applyFont="1" applyFill="1" applyBorder="1" applyAlignment="1" applyProtection="1">
      <alignment horizontal="left"/>
      <protection locked="0"/>
    </xf>
    <xf numFmtId="0" fontId="5" fillId="6" borderId="9" xfId="0" applyFont="1" applyFill="1" applyBorder="1" applyAlignment="1" applyProtection="1">
      <alignment horizontal="left"/>
      <protection locked="0"/>
    </xf>
    <xf numFmtId="0" fontId="4" fillId="6" borderId="10" xfId="2" applyFill="1" applyBorder="1" applyAlignment="1" applyProtection="1">
      <alignment horizontal="left"/>
      <protection locked="0"/>
    </xf>
    <xf numFmtId="0" fontId="5" fillId="6" borderId="10" xfId="0" applyFont="1" applyFill="1" applyBorder="1" applyAlignment="1" applyProtection="1">
      <alignment horizontal="left"/>
      <protection locked="0"/>
    </xf>
    <xf numFmtId="0" fontId="5" fillId="2" borderId="20" xfId="0" applyFont="1" applyFill="1" applyBorder="1" applyAlignment="1">
      <alignment horizontal="center"/>
    </xf>
    <xf numFmtId="0" fontId="6" fillId="2" borderId="0" xfId="0" applyFont="1" applyFill="1" applyAlignment="1" applyProtection="1">
      <alignment horizontal="left" vertical="top" wrapText="1"/>
    </xf>
    <xf numFmtId="0" fontId="6" fillId="2" borderId="5" xfId="0" applyFont="1" applyFill="1" applyBorder="1" applyAlignment="1" applyProtection="1">
      <alignment horizontal="center"/>
    </xf>
    <xf numFmtId="0" fontId="5" fillId="2" borderId="0" xfId="0" applyFont="1" applyFill="1" applyAlignment="1" applyProtection="1">
      <alignment horizontal="left" vertical="top" wrapText="1"/>
      <protection locked="0"/>
    </xf>
    <xf numFmtId="0" fontId="13" fillId="6" borderId="0" xfId="0" applyFont="1" applyFill="1" applyBorder="1" applyAlignment="1" applyProtection="1">
      <alignment horizontal="center" vertical="center" wrapText="1"/>
    </xf>
    <xf numFmtId="0" fontId="13" fillId="7" borderId="0" xfId="0" applyFont="1" applyFill="1" applyBorder="1" applyAlignment="1" applyProtection="1">
      <alignment horizontal="center" vertical="center" wrapText="1"/>
    </xf>
    <xf numFmtId="0" fontId="6" fillId="5" borderId="11" xfId="0" applyFont="1" applyFill="1" applyBorder="1" applyAlignment="1" applyProtection="1">
      <alignment horizontal="center"/>
    </xf>
    <xf numFmtId="0" fontId="6" fillId="2" borderId="16" xfId="0" applyFont="1" applyFill="1" applyBorder="1" applyAlignment="1" applyProtection="1"/>
    <xf numFmtId="0" fontId="5" fillId="2" borderId="0" xfId="0" applyFont="1" applyFill="1" applyBorder="1" applyAlignment="1" applyProtection="1">
      <alignment horizontal="right" wrapText="1"/>
    </xf>
    <xf numFmtId="0" fontId="5" fillId="2" borderId="18" xfId="0" applyFont="1" applyFill="1" applyBorder="1" applyAlignment="1" applyProtection="1">
      <alignment horizontal="right" wrapText="1"/>
    </xf>
    <xf numFmtId="0" fontId="6" fillId="2" borderId="17" xfId="0" applyFont="1" applyFill="1" applyBorder="1" applyAlignment="1" applyProtection="1">
      <alignment horizontal="center"/>
    </xf>
    <xf numFmtId="0" fontId="6" fillId="0" borderId="17" xfId="0" applyFont="1" applyFill="1" applyBorder="1" applyAlignment="1" applyProtection="1">
      <alignment horizontal="center"/>
    </xf>
    <xf numFmtId="0" fontId="6" fillId="6" borderId="12" xfId="0" applyFont="1" applyFill="1" applyBorder="1" applyAlignment="1" applyProtection="1">
      <alignment horizontal="center"/>
      <protection locked="0"/>
    </xf>
    <xf numFmtId="0" fontId="6" fillId="2" borderId="17" xfId="0" applyFont="1" applyFill="1" applyBorder="1" applyAlignment="1">
      <alignment horizontal="center"/>
    </xf>
    <xf numFmtId="0" fontId="6" fillId="2" borderId="19" xfId="0" applyFont="1" applyFill="1" applyBorder="1" applyAlignment="1">
      <alignment horizontal="center"/>
    </xf>
    <xf numFmtId="0" fontId="6" fillId="2" borderId="22" xfId="0" applyFont="1" applyFill="1" applyBorder="1" applyAlignment="1">
      <alignment horizontal="center"/>
    </xf>
    <xf numFmtId="166" fontId="7" fillId="6" borderId="9" xfId="0" applyNumberFormat="1" applyFont="1" applyFill="1" applyBorder="1" applyAlignment="1" applyProtection="1">
      <alignment horizontal="left"/>
      <protection locked="0"/>
    </xf>
    <xf numFmtId="166" fontId="5" fillId="6" borderId="9" xfId="0" applyNumberFormat="1" applyFont="1" applyFill="1" applyBorder="1" applyAlignment="1" applyProtection="1">
      <alignment horizontal="left"/>
      <protection locked="0"/>
    </xf>
  </cellXfs>
  <cellStyles count="4">
    <cellStyle name="Comma" xfId="1" builtinId="3"/>
    <cellStyle name="Hyperlink" xfId="2" builtinId="8"/>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19050</xdr:rowOff>
    </xdr:from>
    <xdr:to>
      <xdr:col>0</xdr:col>
      <xdr:colOff>9001125</xdr:colOff>
      <xdr:row>41</xdr:row>
      <xdr:rowOff>19050</xdr:rowOff>
    </xdr:to>
    <xdr:sp macro="" textlink="">
      <xdr:nvSpPr>
        <xdr:cNvPr id="2" name="TextBox 1"/>
        <xdr:cNvSpPr txBox="1"/>
      </xdr:nvSpPr>
      <xdr:spPr>
        <a:xfrm>
          <a:off x="19050" y="2162175"/>
          <a:ext cx="8982075" cy="571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baseline="0">
              <a:effectLst/>
            </a:rPr>
            <a:t>     </a:t>
          </a:r>
          <a:r>
            <a:rPr lang="en-US">
              <a:effectLst/>
            </a:rPr>
            <a:t>(1) On or before June 1, 2012, and annually thereafter, each qualifying utility shall report to the department on its progress in the preceding year in meeting the targets established in RCW </a:t>
          </a:r>
          <a:r>
            <a:rPr lang="en-US">
              <a:effectLst/>
              <a:hlinkClick xmlns:r="http://schemas.openxmlformats.org/officeDocument/2006/relationships" r:id=""/>
            </a:rPr>
            <a:t>19.285.040</a:t>
          </a:r>
          <a:r>
            <a:rPr lang="en-US">
              <a:effectLst/>
            </a:rPr>
            <a:t>,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a:t>
          </a:r>
          <a:r>
            <a:rPr lang="en-US">
              <a:effectLst/>
              <a:hlinkClick xmlns:r="http://schemas.openxmlformats.org/officeDocument/2006/relationships" r:id=""/>
            </a:rPr>
            <a:t>19.285.040</a:t>
          </a:r>
          <a:r>
            <a:rPr lang="en-US">
              <a:effectLst/>
            </a:rPr>
            <a:t>(2) (d) or (i) or </a:t>
          </a:r>
          <a:r>
            <a:rPr lang="en-US">
              <a:effectLst/>
              <a:hlinkClick xmlns:r="http://schemas.openxmlformats.org/officeDocument/2006/relationships" r:id=""/>
            </a:rPr>
            <a:t>19.285.050</a:t>
          </a:r>
          <a:r>
            <a:rPr lang="en-US">
              <a:effectLst/>
            </a:rPr>
            <a:t>(1), it must include in its annual report relevant data to demonstrate that it met the criteria in that section. A qualifying utility may submit its report to the department in conjunction with its annual obligations in chapter </a:t>
          </a:r>
          <a:r>
            <a:rPr lang="en-US">
              <a:effectLst/>
              <a:hlinkClick xmlns:r="http://schemas.openxmlformats.org/officeDocument/2006/relationships" r:id=""/>
            </a:rPr>
            <a:t>19.29A</a:t>
          </a:r>
          <a:r>
            <a:rPr lang="en-US">
              <a:effectLst/>
            </a:rPr>
            <a:t> RCW.</a:t>
          </a:r>
        </a:p>
        <a:p>
          <a:r>
            <a:rPr lang="en-US">
              <a:effectLst/>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p>
        <a:p>
          <a:r>
            <a:rPr lang="en-US">
              <a:effectLst/>
            </a:rPr>
            <a:t>     (3) A qualifying utility shall also make reports required in this section available to its customers.</a:t>
          </a:r>
        </a:p>
        <a:p>
          <a:endParaRPr lang="en-US" b="1">
            <a:effectLst/>
          </a:endParaRPr>
        </a:p>
        <a:p>
          <a:r>
            <a:rPr lang="en-US" b="1">
              <a:effectLst/>
            </a:rPr>
            <a:t>WAC 194-37-060</a:t>
          </a:r>
        </a:p>
        <a:p>
          <a:r>
            <a:rPr lang="en-US" b="1">
              <a:effectLst/>
            </a:rPr>
            <a:t>Conservation reporting requirements.</a:t>
          </a:r>
        </a:p>
        <a:p>
          <a:r>
            <a:rPr lang="en-US">
              <a:effectLst/>
            </a:rPr>
            <a:t>     Each utility shall submit an annual conservation report to the department by June 1st using a form provided by the department. The conservation report must show the utility's progress in the preceding year in meeting the conservation targets established in RCW </a:t>
          </a:r>
          <a:r>
            <a:rPr lang="en-US">
              <a:effectLst/>
              <a:hlinkClick xmlns:r="http://schemas.openxmlformats.org/officeDocument/2006/relationships" r:id=""/>
            </a:rPr>
            <a:t>19.285.040</a:t>
          </a:r>
          <a:r>
            <a:rPr lang="en-US">
              <a:effectLst/>
            </a:rPr>
            <a:t> and must include the following:</a:t>
          </a:r>
        </a:p>
        <a:p>
          <a:r>
            <a:rPr lang="en-US">
              <a:effectLst/>
            </a:rPr>
            <a:t>     (1) The total electricity savings and expenditures for conservation by the following sectors: Residential, commercial, industrial, agricultural, distribution system, and production system. A utility may report results achieved through nonutility programs, as identified in WAC </a:t>
          </a:r>
          <a:r>
            <a:rPr lang="en-US">
              <a:effectLst/>
              <a:hlinkClick xmlns:r="http://schemas.openxmlformats.org/officeDocument/2006/relationships" r:id=""/>
            </a:rPr>
            <a:t>194-37-080</a:t>
          </a:r>
          <a:r>
            <a:rPr lang="en-US">
              <a:effectLst/>
            </a:rPr>
            <a:t>(5), by program, if the results are not included in the reported results by customer sector. Reports submitted in odd-numbered years must include an estimate of savings and expenditures in the prior year. Reports submitted in even-numbered years must include the amount of savings and expenditures in the prior two years. All savings must be documented pursuant to WAC </a:t>
          </a:r>
          <a:r>
            <a:rPr lang="en-US">
              <a:effectLst/>
              <a:hlinkClick xmlns:r="http://schemas.openxmlformats.org/officeDocument/2006/relationships" r:id=""/>
            </a:rPr>
            <a:t>194-37-080</a:t>
          </a:r>
          <a:r>
            <a:rPr lang="en-US">
              <a:effectLst/>
            </a:rPr>
            <a:t>.</a:t>
          </a:r>
        </a:p>
        <a:p>
          <a:r>
            <a:rPr lang="en-US">
              <a:effectLst/>
            </a:rPr>
            <a:t>     (2) A brief description of the methodology used to establish the utility's ten-year potential and biennial target to capture cost-effective conservation.</a:t>
          </a:r>
        </a:p>
        <a:p>
          <a:r>
            <a:rPr lang="en-US">
              <a:effectLst/>
            </a:rPr>
            <a:t>     (3) In even-numbered years the report must include the utility's ten-year conservation potential and biennial targets established pursuant to WAC </a:t>
          </a:r>
          <a:r>
            <a:rPr lang="en-US">
              <a:effectLst/>
              <a:hlinkClick xmlns:r="http://schemas.openxmlformats.org/officeDocument/2006/relationships" r:id=""/>
            </a:rPr>
            <a:t>194-37-070</a:t>
          </a:r>
          <a:r>
            <a:rPr lang="en-US">
              <a:effectLst/>
            </a:rPr>
            <a:t>.</a:t>
          </a:r>
        </a:p>
        <a:p>
          <a:endParaRPr lang="en-US" sz="1100"/>
        </a:p>
        <a:p>
          <a:r>
            <a:rPr lang="en-US" b="1">
              <a:effectLst/>
            </a:rPr>
            <a:t>WAC 194-37-110</a:t>
          </a:r>
        </a:p>
        <a:p>
          <a:r>
            <a:rPr lang="en-US" b="1">
              <a:effectLst/>
            </a:rPr>
            <a:t>Renewable resource energy reporting.</a:t>
          </a:r>
        </a:p>
        <a:p>
          <a:r>
            <a:rPr lang="en-US" sz="1100"/>
            <a:t>&lt;Separate worksheet used for renewable reporting.&gt;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247650</xdr:colOff>
      <xdr:row>18</xdr:row>
      <xdr:rowOff>361950</xdr:rowOff>
    </xdr:from>
    <xdr:to>
      <xdr:col>8</xdr:col>
      <xdr:colOff>552450</xdr:colOff>
      <xdr:row>25</xdr:row>
      <xdr:rowOff>133350</xdr:rowOff>
    </xdr:to>
    <xdr:sp macro="" textlink="">
      <xdr:nvSpPr>
        <xdr:cNvPr id="4" name="TextBox 3"/>
        <xdr:cNvSpPr txBox="1"/>
      </xdr:nvSpPr>
      <xdr:spPr>
        <a:xfrm>
          <a:off x="7172325" y="3676650"/>
          <a:ext cx="1123950"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Note: Expenditure</a:t>
          </a:r>
          <a:r>
            <a:rPr lang="en-US" sz="1100" i="1" baseline="0"/>
            <a:t> amounts do not include any customer or other non-utility costs.</a:t>
          </a:r>
          <a:endParaRPr lang="en-US" sz="1100" i="1"/>
        </a:p>
      </xdr:txBody>
    </xdr:sp>
    <xdr:clientData/>
  </xdr:twoCellAnchor>
  <xdr:twoCellAnchor>
    <xdr:from>
      <xdr:col>0</xdr:col>
      <xdr:colOff>45720</xdr:colOff>
      <xdr:row>38</xdr:row>
      <xdr:rowOff>40004</xdr:rowOff>
    </xdr:from>
    <xdr:to>
      <xdr:col>8</xdr:col>
      <xdr:colOff>702945</xdr:colOff>
      <xdr:row>55</xdr:row>
      <xdr:rowOff>123824</xdr:rowOff>
    </xdr:to>
    <xdr:sp macro="" textlink="">
      <xdr:nvSpPr>
        <xdr:cNvPr id="2" name="TextBox 1"/>
        <xdr:cNvSpPr txBox="1"/>
      </xdr:nvSpPr>
      <xdr:spPr>
        <a:xfrm>
          <a:off x="45720" y="7860029"/>
          <a:ext cx="8191500" cy="611314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Company’s energy efficiency acquisition targets for the 2016-2017 Biennium were based upon a Conservation Potential Assessment      (CPA) completed as part of Avista’s 2015 Electric Integrated Resource Plan (IRP) by a third-party consultant applying methodologies   consistent with the Northwest Power and Conservation Council’s (NWPCC) Sixth Power Plan. </a:t>
          </a:r>
          <a:endParaRPr lang="en-US">
            <a:effectLst/>
          </a:endParaRPr>
        </a:p>
        <a:p>
          <a:pPr eaLnBrk="1" fontAlgn="auto" latinLnBrk="0" hangingPunct="1"/>
          <a:r>
            <a:rPr lang="en-US" sz="1100">
              <a:solidFill>
                <a:schemeClr val="dk1"/>
              </a:solidFill>
              <a:effectLst/>
              <a:latin typeface="+mn-lt"/>
              <a:ea typeface="+mn-ea"/>
              <a:cs typeface="+mn-cs"/>
            </a:rPr>
            <a:t>- Avista's 2016-2017 targets were approved in Order No. 01, Docket No. UE-152076, by the Washington Utilities and Transportation Commission (UTC) on January 28, 2016.  </a:t>
          </a:r>
          <a:r>
            <a:rPr lang="en-US" sz="1100" u="sng">
              <a:solidFill>
                <a:schemeClr val="dk1"/>
              </a:solidFill>
              <a:effectLst/>
              <a:latin typeface="+mn-lt"/>
              <a:ea typeface="+mn-ea"/>
              <a:cs typeface="+mn-cs"/>
            </a:rPr>
            <a:t>http://www.utc.wa.gov/docs/Pages/DocketLookup.aspx?FilingID=152076</a:t>
          </a:r>
          <a:endParaRPr lang="en-US">
            <a:effectLst/>
          </a:endParaRPr>
        </a:p>
        <a:p>
          <a:pPr eaLnBrk="1" fontAlgn="auto" latinLnBrk="0" hangingPunct="1"/>
          <a:r>
            <a:rPr lang="en-US" sz="1100">
              <a:solidFill>
                <a:schemeClr val="dk1"/>
              </a:solidFill>
              <a:effectLst/>
              <a:latin typeface="+mn-lt"/>
              <a:ea typeface="+mn-ea"/>
              <a:cs typeface="+mn-cs"/>
            </a:rPr>
            <a:t>- General rate case settlement in</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2014 included a 5% </a:t>
          </a:r>
          <a:r>
            <a:rPr lang="en-US" sz="1100">
              <a:solidFill>
                <a:sysClr val="windowText" lastClr="000000"/>
              </a:solidFill>
              <a:effectLst/>
              <a:latin typeface="+mn-lt"/>
              <a:ea typeface="+mn-ea"/>
              <a:cs typeface="+mn-cs"/>
            </a:rPr>
            <a:t>decoupling i</a:t>
          </a:r>
          <a:r>
            <a:rPr lang="en-US" sz="1100">
              <a:solidFill>
                <a:schemeClr val="dk1"/>
              </a:solidFill>
              <a:effectLst/>
              <a:latin typeface="+mn-lt"/>
              <a:ea typeface="+mn-ea"/>
              <a:cs typeface="+mn-cs"/>
            </a:rPr>
            <a:t>ncrease in the 2016-17 Biennial Target</a:t>
          </a:r>
          <a:r>
            <a:rPr lang="en-US" sz="1100" baseline="0">
              <a:solidFill>
                <a:schemeClr val="dk1"/>
              </a:solidFill>
              <a:effectLst/>
              <a:latin typeface="+mn-lt"/>
              <a:ea typeface="+mn-ea"/>
              <a:cs typeface="+mn-cs"/>
            </a:rPr>
            <a:t> for local energy savings.</a:t>
          </a:r>
          <a:endParaRPr lang="en-US">
            <a:effectLst/>
          </a:endParaRPr>
        </a:p>
        <a:p>
          <a:pPr eaLnBrk="1" fontAlgn="auto" latinLnBrk="0" hangingPunct="1"/>
          <a:r>
            <a:rPr lang="en-US" sz="1100" baseline="0">
              <a:solidFill>
                <a:sysClr val="windowText" lastClr="000000"/>
              </a:solidFill>
              <a:effectLst/>
              <a:latin typeface="+mn-lt"/>
              <a:ea typeface="+mn-ea"/>
              <a:cs typeface="+mn-cs"/>
            </a:rPr>
            <a:t>72,626 MWh original target + 3,631 MWh (5% decoupling increase) = 76,257 MWh (local)</a:t>
          </a:r>
          <a:endParaRPr lang="en-US">
            <a:solidFill>
              <a:sysClr val="windowText" lastClr="000000"/>
            </a:solidFill>
            <a:effectLst/>
          </a:endParaRPr>
        </a:p>
        <a:p>
          <a:pPr eaLnBrk="1" fontAlgn="auto" latinLnBrk="0" hangingPunct="1"/>
          <a:r>
            <a:rPr lang="en-US" sz="1100" baseline="0">
              <a:solidFill>
                <a:sysClr val="windowText" lastClr="000000"/>
              </a:solidFill>
              <a:effectLst/>
              <a:latin typeface="+mn-lt"/>
              <a:ea typeface="+mn-ea"/>
              <a:cs typeface="+mn-cs"/>
            </a:rPr>
            <a:t>76,557 MWh (local) + 6,220 (</a:t>
          </a:r>
          <a:r>
            <a:rPr lang="en-US" sz="1100" b="0" i="0" baseline="0">
              <a:solidFill>
                <a:sysClr val="windowText" lastClr="000000"/>
              </a:solidFill>
              <a:effectLst/>
              <a:latin typeface="+mn-lt"/>
              <a:ea typeface="+mn-ea"/>
              <a:cs typeface="+mn-cs"/>
            </a:rPr>
            <a:t>Northwest Energy Efficiency Alliance (</a:t>
          </a:r>
          <a:r>
            <a:rPr lang="en-US" sz="1100" baseline="0">
              <a:solidFill>
                <a:sysClr val="windowText" lastClr="000000"/>
              </a:solidFill>
              <a:effectLst/>
              <a:latin typeface="+mn-lt"/>
              <a:ea typeface="+mn-ea"/>
              <a:cs typeface="+mn-cs"/>
            </a:rPr>
            <a:t>NEEA)) = 82,477 new 2016-17 Biennial Target</a:t>
          </a:r>
          <a:endParaRPr lang="en-US">
            <a:solidFill>
              <a:sysClr val="windowText" lastClr="000000"/>
            </a:solidFill>
            <a:effectLst/>
          </a:endParaRPr>
        </a:p>
        <a:p>
          <a:r>
            <a:rPr lang="en-US" sz="1100" b="0" i="0">
              <a:solidFill>
                <a:sysClr val="windowText" lastClr="000000"/>
              </a:solidFill>
              <a:effectLst/>
              <a:latin typeface="+mn-lt"/>
              <a:ea typeface="+mn-ea"/>
              <a:cs typeface="+mn-cs"/>
            </a:rPr>
            <a:t>- Savings numbers are for I-937 and include NEEA but do not include fuel switching</a:t>
          </a:r>
          <a:r>
            <a:rPr lang="en-US" sz="1100" b="0" i="0" baseline="0">
              <a:solidFill>
                <a:sysClr val="windowText" lastClr="000000"/>
              </a:solidFill>
              <a:effectLst/>
              <a:latin typeface="+mn-lt"/>
              <a:ea typeface="+mn-ea"/>
              <a:cs typeface="+mn-cs"/>
            </a:rPr>
            <a:t>.</a:t>
          </a:r>
          <a:endParaRPr lang="en-US">
            <a:solidFill>
              <a:sysClr val="windowText" lastClr="000000"/>
            </a:solidFill>
            <a:effectLst/>
          </a:endParaRPr>
        </a:p>
        <a:p>
          <a:r>
            <a:rPr lang="en-US" sz="1100" b="0" i="0">
              <a:solidFill>
                <a:sysClr val="windowText" lastClr="000000"/>
              </a:solidFill>
              <a:effectLst/>
              <a:latin typeface="+mn-lt"/>
              <a:ea typeface="+mn-ea"/>
              <a:cs typeface="+mn-cs"/>
            </a:rPr>
            <a:t>- Commercial and Industrial customers are not tracked separately and are therefore listed under "Commercial."</a:t>
          </a:r>
        </a:p>
        <a:p>
          <a:r>
            <a:rPr lang="en-US" sz="1100" b="0" i="0">
              <a:solidFill>
                <a:sysClr val="windowText" lastClr="000000"/>
              </a:solidFill>
              <a:effectLst/>
              <a:latin typeface="+mn-lt"/>
              <a:ea typeface="+mn-ea"/>
              <a:cs typeface="+mn-cs"/>
            </a:rPr>
            <a:t>- Low-income customers are included in the Residential</a:t>
          </a:r>
          <a:r>
            <a:rPr lang="en-US" sz="1100" b="0" i="0" baseline="0">
              <a:solidFill>
                <a:sysClr val="windowText" lastClr="000000"/>
              </a:solidFill>
              <a:effectLst/>
              <a:latin typeface="+mn-lt"/>
              <a:ea typeface="+mn-ea"/>
              <a:cs typeface="+mn-cs"/>
            </a:rPr>
            <a:t> sector.</a:t>
          </a:r>
          <a:endParaRPr 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mn-lt"/>
              <a:ea typeface="+mn-ea"/>
              <a:cs typeface="+mn-cs"/>
            </a:rPr>
            <a:t>-</a:t>
          </a:r>
          <a:r>
            <a:rPr lang="en-US" sz="110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Funding for</a:t>
          </a:r>
          <a:r>
            <a:rPr lang="en-US" sz="1100" baseline="0">
              <a:solidFill>
                <a:sysClr val="windowText" lastClr="000000"/>
              </a:solidFill>
              <a:effectLst/>
              <a:latin typeface="+mn-lt"/>
              <a:ea typeface="+mn-ea"/>
              <a:cs typeface="+mn-cs"/>
            </a:rPr>
            <a:t> distribution and generation efficiency measures is through Avista's general rate cases, per condition (9)(c) in Attachment A of Order 01 in Docket UE-152076.</a:t>
          </a:r>
        </a:p>
        <a:p>
          <a:r>
            <a:rPr lang="en-US" sz="1100" b="0" i="0">
              <a:solidFill>
                <a:schemeClr val="dk1"/>
              </a:solidFill>
              <a:effectLst/>
              <a:latin typeface="+mn-lt"/>
              <a:ea typeface="+mn-ea"/>
              <a:cs typeface="+mn-cs"/>
            </a:rPr>
            <a:t>-</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General expenditures are not applied to a specific sector. </a:t>
          </a:r>
          <a:endParaRPr lang="en-US">
            <a:effectLst/>
          </a:endParaRPr>
        </a:p>
        <a:p>
          <a:r>
            <a:rPr lang="en-US" sz="1100" b="0" i="0">
              <a:solidFill>
                <a:schemeClr val="dk1"/>
              </a:solidFill>
              <a:effectLst/>
              <a:latin typeface="+mn-lt"/>
              <a:ea typeface="+mn-ea"/>
              <a:cs typeface="+mn-cs"/>
            </a:rPr>
            <a:t>-</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Avista's evaluation,</a:t>
          </a:r>
          <a:r>
            <a:rPr lang="en-US" sz="1100" b="0" i="0" baseline="0">
              <a:solidFill>
                <a:schemeClr val="dk1"/>
              </a:solidFill>
              <a:effectLst/>
              <a:latin typeface="+mn-lt"/>
              <a:ea typeface="+mn-ea"/>
              <a:cs typeface="+mn-cs"/>
            </a:rPr>
            <a:t> measurement and verification (EM&amp;V) was performed by a contracted third party to calculate the verified energy savings in accordance with the Commission's Order.  The Company's 2017 DSM Annual Conservation Report (provided under a separate cover) provides more data regarding Avista's 2017 programs and results.  Electric EM&amp;V cost $471,799 in 2017. </a:t>
          </a:r>
          <a:endParaRPr lang="en-US">
            <a:effectLst/>
          </a:endParaRPr>
        </a:p>
        <a:p>
          <a:r>
            <a:rPr lang="en-US" sz="1100" b="0" i="0" baseline="0">
              <a:solidFill>
                <a:schemeClr val="dk1"/>
              </a:solidFill>
              <a:effectLst/>
              <a:latin typeface="+mn-lt"/>
              <a:ea typeface="+mn-ea"/>
              <a:cs typeface="+mn-cs"/>
            </a:rPr>
            <a:t>- The quantities submitted above include all areas of conservation effort and achievement, because the Commerce Conservation Report includes areas of conservation that are not used for target setting at the Utilities and Transportation Commission (UTC).</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rgbClr val="FF0000"/>
              </a:solidFill>
              <a:effectLst/>
              <a:latin typeface="+mn-lt"/>
              <a:ea typeface="+mn-ea"/>
              <a:cs typeface="+mn-cs"/>
            </a:rPr>
            <a:t> </a:t>
          </a:r>
          <a:r>
            <a:rPr lang="en-US" sz="1100" b="0" i="0" baseline="0">
              <a:solidFill>
                <a:sysClr val="windowText" lastClr="000000"/>
              </a:solidFill>
              <a:effectLst/>
              <a:latin typeface="+mn-lt"/>
              <a:ea typeface="+mn-ea"/>
              <a:cs typeface="+mn-cs"/>
            </a:rPr>
            <a:t>-</a:t>
          </a:r>
          <a:r>
            <a:rPr lang="en-US" sz="1100" baseline="0">
              <a:solidFill>
                <a:sysClr val="windowText" lastClr="000000"/>
              </a:solidFill>
              <a:effectLst/>
              <a:latin typeface="+mn-lt"/>
              <a:ea typeface="+mn-ea"/>
              <a:cs typeface="+mn-cs"/>
            </a:rPr>
            <a:t>"Excess Savings" indicated above disagrees slightly with Avista's 2016-2017 Biennial Electric Conservation Report, which represents "Excess Savings for Penalty" . The variance is due to UTC approved NEEA &amp; decoupling savings exclusions.</a:t>
          </a:r>
          <a:endParaRPr lang="en-US">
            <a:solidFill>
              <a:sysClr val="windowText" lastClr="000000"/>
            </a:solidFill>
            <a:effectLst/>
          </a:endParaRPr>
        </a:p>
        <a:p>
          <a:r>
            <a:rPr lang="en-US" sz="1100" b="0" i="0" baseline="0">
              <a:solidFill>
                <a:schemeClr val="dk1"/>
              </a:solidFill>
              <a:effectLst/>
              <a:latin typeface="+mn-lt"/>
              <a:ea typeface="+mn-ea"/>
              <a:cs typeface="+mn-cs"/>
            </a:rPr>
            <a:t>The 2016-2017 MWh target of 72,626  as approved in Docket UE-152076, does not include </a:t>
          </a:r>
          <a:r>
            <a:rPr lang="en-US" sz="1100" b="0" i="0" baseline="0">
              <a:solidFill>
                <a:sysClr val="windowText" lastClr="000000"/>
              </a:solidFill>
              <a:effectLst/>
              <a:latin typeface="+mn-lt"/>
              <a:ea typeface="+mn-ea"/>
              <a:cs typeface="+mn-cs"/>
            </a:rPr>
            <a:t>savings forecasted </a:t>
          </a:r>
          <a:r>
            <a:rPr lang="en-US" sz="1100" b="0" i="0" baseline="0">
              <a:solidFill>
                <a:schemeClr val="dk1"/>
              </a:solidFill>
              <a:effectLst/>
              <a:latin typeface="+mn-lt"/>
              <a:ea typeface="+mn-ea"/>
              <a:cs typeface="+mn-cs"/>
            </a:rPr>
            <a:t>by NEEA that was captured with in the Conservation Potential Assessment.</a:t>
          </a:r>
        </a:p>
        <a:p>
          <a:endParaRPr lang="en-US">
            <a:effectLst/>
          </a:endParaRPr>
        </a:p>
        <a:p>
          <a:r>
            <a:rPr lang="en-US" sz="1100" b="1" i="0" baseline="0">
              <a:solidFill>
                <a:schemeClr val="dk1"/>
              </a:solidFill>
              <a:effectLst/>
              <a:latin typeface="+mn-lt"/>
              <a:ea typeface="+mn-ea"/>
              <a:cs typeface="+mn-cs"/>
            </a:rPr>
            <a:t>2016-2017 Biennial UTC target		Docket and Order	Types and quantities of Savings withheld from target</a:t>
          </a:r>
          <a:endParaRPr lang="en-US">
            <a:effectLst/>
          </a:endParaRPr>
        </a:p>
        <a:p>
          <a:r>
            <a:rPr lang="en-US" sz="1100">
              <a:solidFill>
                <a:schemeClr val="dk1"/>
              </a:solidFill>
              <a:effectLst/>
              <a:latin typeface="+mn-lt"/>
              <a:ea typeface="+mn-ea"/>
              <a:cs typeface="+mn-cs"/>
            </a:rPr>
            <a:t>     72,626 MWH			UE-152076,</a:t>
          </a:r>
          <a:r>
            <a:rPr lang="en-US" sz="1100" baseline="0">
              <a:solidFill>
                <a:schemeClr val="dk1"/>
              </a:solidFill>
              <a:effectLst/>
              <a:latin typeface="+mn-lt"/>
              <a:ea typeface="+mn-ea"/>
              <a:cs typeface="+mn-cs"/>
            </a:rPr>
            <a:t> Order 01		NEEA (6,220 MWh)</a:t>
          </a:r>
          <a:endParaRPr lang="en-US">
            <a:effectLst/>
          </a:endParaRPr>
        </a:p>
        <a:p>
          <a:r>
            <a:rPr lang="en-US" sz="1100" b="1" i="0" baseline="0">
              <a:solidFill>
                <a:schemeClr val="dk1"/>
              </a:solidFill>
              <a:effectLst/>
              <a:latin typeface="+mn-lt"/>
              <a:ea typeface="+mn-ea"/>
              <a:cs typeface="+mn-cs"/>
            </a:rPr>
            <a:t>2016-2017 Decoupling Commitment	Docket and Order	2016-2017 Total Target Subject to Penalty</a:t>
          </a:r>
          <a:endParaRPr lang="en-US">
            <a:effectLst/>
          </a:endParaRPr>
        </a:p>
        <a:p>
          <a:r>
            <a:rPr lang="en-US" sz="1100">
              <a:solidFill>
                <a:schemeClr val="dk1"/>
              </a:solidFill>
              <a:effectLst/>
              <a:latin typeface="+mn-lt"/>
              <a:ea typeface="+mn-ea"/>
              <a:cs typeface="+mn-cs"/>
            </a:rPr>
            <a:t>     3,631 MWH			UE-140188,</a:t>
          </a:r>
          <a:r>
            <a:rPr lang="en-US" sz="1100" baseline="0">
              <a:solidFill>
                <a:schemeClr val="dk1"/>
              </a:solidFill>
              <a:effectLst/>
              <a:latin typeface="+mn-lt"/>
              <a:ea typeface="+mn-ea"/>
              <a:cs typeface="+mn-cs"/>
            </a:rPr>
            <a:t> Order 015		76,257 MWh</a:t>
          </a:r>
          <a:endParaRPr lang="en-US">
            <a:effectLst/>
          </a:endParaRPr>
        </a:p>
        <a:p>
          <a:r>
            <a:rPr lang="en-US" sz="1100">
              <a:solidFill>
                <a:schemeClr val="dk1"/>
              </a:solidFill>
              <a:effectLst/>
              <a:latin typeface="+mn-lt"/>
              <a:ea typeface="+mn-ea"/>
              <a:cs typeface="+mn-cs"/>
            </a:rPr>
            <a:t>Under UTC standard practice,</a:t>
          </a:r>
          <a:r>
            <a:rPr lang="en-US" sz="1100" baseline="0">
              <a:solidFill>
                <a:schemeClr val="dk1"/>
              </a:solidFill>
              <a:effectLst/>
              <a:latin typeface="+mn-lt"/>
              <a:ea typeface="+mn-ea"/>
              <a:cs typeface="+mn-cs"/>
            </a:rPr>
            <a:t> any type of conservation potential withheld from target setting is not counted as achievement to meet the target.</a:t>
          </a:r>
          <a:endParaRPr lang="en-US">
            <a:effectLst/>
          </a:endParaRPr>
        </a:p>
        <a:p>
          <a:r>
            <a:rPr lang="en-US" sz="1100" baseline="0">
              <a:solidFill>
                <a:schemeClr val="dk1"/>
              </a:solidFill>
              <a:effectLst/>
              <a:latin typeface="+mn-lt"/>
              <a:ea typeface="+mn-ea"/>
              <a:cs typeface="+mn-cs"/>
            </a:rPr>
            <a:t>		</a:t>
          </a:r>
          <a:r>
            <a:rPr lang="en-US" sz="1100" b="1" u="sng" baseline="0">
              <a:solidFill>
                <a:schemeClr val="dk1"/>
              </a:solidFill>
              <a:effectLst/>
              <a:latin typeface="+mn-lt"/>
              <a:ea typeface="+mn-ea"/>
              <a:cs typeface="+mn-cs"/>
            </a:rPr>
            <a:t>2016 Achievement</a:t>
          </a:r>
          <a:r>
            <a:rPr lang="en-US" sz="1100" b="1" baseline="0">
              <a:solidFill>
                <a:schemeClr val="dk1"/>
              </a:solidFill>
              <a:effectLst/>
              <a:latin typeface="+mn-lt"/>
              <a:ea typeface="+mn-ea"/>
              <a:cs typeface="+mn-cs"/>
            </a:rPr>
            <a:t>	</a:t>
          </a:r>
          <a:r>
            <a:rPr lang="en-US" sz="1100" b="1" u="sng" baseline="0">
              <a:solidFill>
                <a:schemeClr val="dk1"/>
              </a:solidFill>
              <a:effectLst/>
              <a:latin typeface="+mn-lt"/>
              <a:ea typeface="+mn-ea"/>
              <a:cs typeface="+mn-cs"/>
            </a:rPr>
            <a:t>2017 Achievement</a:t>
          </a:r>
          <a:r>
            <a:rPr lang="en-US" sz="1100" b="1" baseline="0">
              <a:solidFill>
                <a:schemeClr val="dk1"/>
              </a:solidFill>
              <a:effectLst/>
              <a:latin typeface="+mn-lt"/>
              <a:ea typeface="+mn-ea"/>
              <a:cs typeface="+mn-cs"/>
            </a:rPr>
            <a:t>	</a:t>
          </a:r>
          <a:r>
            <a:rPr lang="en-US" sz="1100" b="1" u="sng" baseline="0">
              <a:solidFill>
                <a:schemeClr val="dk1"/>
              </a:solidFill>
              <a:effectLst/>
              <a:latin typeface="+mn-lt"/>
              <a:ea typeface="+mn-ea"/>
              <a:cs typeface="+mn-cs"/>
            </a:rPr>
            <a:t>2016-2017 Biennial Achievement</a:t>
          </a:r>
          <a:endParaRPr lang="en-US">
            <a:effectLst/>
          </a:endParaRPr>
        </a:p>
        <a:p>
          <a:r>
            <a:rPr lang="en-US" sz="1100" b="1">
              <a:solidFill>
                <a:schemeClr val="dk1"/>
              </a:solidFill>
              <a:effectLst/>
              <a:latin typeface="+mn-lt"/>
              <a:ea typeface="+mn-ea"/>
              <a:cs typeface="+mn-cs"/>
            </a:rPr>
            <a:t>Achievement		</a:t>
          </a:r>
          <a:r>
            <a:rPr lang="en-US" sz="1100" b="1" baseline="0">
              <a:solidFill>
                <a:schemeClr val="dk1"/>
              </a:solidFill>
              <a:effectLst/>
              <a:latin typeface="+mn-lt"/>
              <a:ea typeface="+mn-ea"/>
              <a:cs typeface="+mn-cs"/>
            </a:rPr>
            <a:t>                   Utility	                   Utility	                              Utility</a:t>
          </a:r>
          <a:endParaRPr lang="en-US">
            <a:effectLst/>
          </a:endParaRPr>
        </a:p>
        <a:p>
          <a:r>
            <a:rPr lang="en-US" sz="1100" b="1">
              <a:solidFill>
                <a:schemeClr val="dk1"/>
              </a:solidFill>
              <a:effectLst/>
              <a:latin typeface="+mn-lt"/>
              <a:ea typeface="+mn-ea"/>
              <a:cs typeface="+mn-cs"/>
            </a:rPr>
            <a:t>Applicable</a:t>
          </a:r>
          <a:r>
            <a:rPr lang="en-US" sz="1100" b="1" baseline="0">
              <a:solidFill>
                <a:schemeClr val="dk1"/>
              </a:solidFill>
              <a:effectLst/>
              <a:latin typeface="+mn-lt"/>
              <a:ea typeface="+mn-ea"/>
              <a:cs typeface="+mn-cs"/>
            </a:rPr>
            <a:t> to		           Expenditures	           Expenditures	                      Expenditures</a:t>
          </a:r>
          <a:endParaRPr lang="en-US">
            <a:effectLst/>
          </a:endParaRPr>
        </a:p>
        <a:p>
          <a:r>
            <a:rPr lang="en-US" sz="1100" b="1" baseline="0">
              <a:solidFill>
                <a:schemeClr val="dk1"/>
              </a:solidFill>
              <a:effectLst/>
              <a:latin typeface="+mn-lt"/>
              <a:ea typeface="+mn-ea"/>
              <a:cs typeface="+mn-cs"/>
            </a:rPr>
            <a:t>UTC Target:		</a:t>
          </a:r>
          <a:r>
            <a:rPr lang="en-US" sz="1100" b="1" u="sng" baseline="0">
              <a:solidFill>
                <a:schemeClr val="dk1"/>
              </a:solidFill>
              <a:effectLst/>
              <a:latin typeface="+mn-lt"/>
              <a:ea typeface="+mn-ea"/>
              <a:cs typeface="+mn-cs"/>
            </a:rPr>
            <a:t>MWh</a:t>
          </a:r>
          <a:r>
            <a:rPr lang="en-US" sz="1100" b="1" baseline="0">
              <a:solidFill>
                <a:schemeClr val="dk1"/>
              </a:solidFill>
              <a:effectLst/>
              <a:latin typeface="+mn-lt"/>
              <a:ea typeface="+mn-ea"/>
              <a:cs typeface="+mn-cs"/>
            </a:rPr>
            <a:t>          </a:t>
          </a:r>
          <a:r>
            <a:rPr lang="en-US" sz="1100" b="1" u="sng" baseline="0">
              <a:solidFill>
                <a:schemeClr val="dk1"/>
              </a:solidFill>
              <a:effectLst/>
              <a:latin typeface="+mn-lt"/>
              <a:ea typeface="+mn-ea"/>
              <a:cs typeface="+mn-cs"/>
            </a:rPr>
            <a:t>($)</a:t>
          </a:r>
          <a:r>
            <a:rPr lang="en-US" sz="1100" b="1" baseline="0">
              <a:solidFill>
                <a:schemeClr val="dk1"/>
              </a:solidFill>
              <a:effectLst/>
              <a:latin typeface="+mn-lt"/>
              <a:ea typeface="+mn-ea"/>
              <a:cs typeface="+mn-cs"/>
            </a:rPr>
            <a:t>		</a:t>
          </a:r>
          <a:r>
            <a:rPr lang="en-US" sz="1100" b="1" u="sng" baseline="0">
              <a:solidFill>
                <a:schemeClr val="dk1"/>
              </a:solidFill>
              <a:effectLst/>
              <a:latin typeface="+mn-lt"/>
              <a:ea typeface="+mn-ea"/>
              <a:cs typeface="+mn-cs"/>
            </a:rPr>
            <a:t>MWh</a:t>
          </a:r>
          <a:r>
            <a:rPr lang="en-US" sz="1100" b="1" baseline="0">
              <a:solidFill>
                <a:schemeClr val="dk1"/>
              </a:solidFill>
              <a:effectLst/>
              <a:latin typeface="+mn-lt"/>
              <a:ea typeface="+mn-ea"/>
              <a:cs typeface="+mn-cs"/>
            </a:rPr>
            <a:t>          </a:t>
          </a:r>
          <a:r>
            <a:rPr lang="en-US" sz="1100" b="1" u="sng" baseline="0">
              <a:solidFill>
                <a:schemeClr val="dk1"/>
              </a:solidFill>
              <a:effectLst/>
              <a:latin typeface="+mn-lt"/>
              <a:ea typeface="+mn-ea"/>
              <a:cs typeface="+mn-cs"/>
            </a:rPr>
            <a:t>($)</a:t>
          </a:r>
          <a:r>
            <a:rPr lang="en-US" sz="1100" b="1" baseline="0">
              <a:solidFill>
                <a:schemeClr val="dk1"/>
              </a:solidFill>
              <a:effectLst/>
              <a:latin typeface="+mn-lt"/>
              <a:ea typeface="+mn-ea"/>
              <a:cs typeface="+mn-cs"/>
            </a:rPr>
            <a:t>		</a:t>
          </a:r>
          <a:r>
            <a:rPr lang="en-US" sz="1100" b="1" u="sng" baseline="0">
              <a:solidFill>
                <a:schemeClr val="dk1"/>
              </a:solidFill>
              <a:effectLst/>
              <a:latin typeface="+mn-lt"/>
              <a:ea typeface="+mn-ea"/>
              <a:cs typeface="+mn-cs"/>
            </a:rPr>
            <a:t>MWh</a:t>
          </a:r>
          <a:r>
            <a:rPr lang="en-US" sz="1100" b="1" baseline="0">
              <a:solidFill>
                <a:schemeClr val="dk1"/>
              </a:solidFill>
              <a:effectLst/>
              <a:latin typeface="+mn-lt"/>
              <a:ea typeface="+mn-ea"/>
              <a:cs typeface="+mn-cs"/>
            </a:rPr>
            <a:t>                     </a:t>
          </a:r>
          <a:r>
            <a:rPr lang="en-US" sz="1100" b="1" u="sng" baseline="0">
              <a:solidFill>
                <a:schemeClr val="dk1"/>
              </a:solidFill>
              <a:effectLst/>
              <a:latin typeface="+mn-lt"/>
              <a:ea typeface="+mn-ea"/>
              <a:cs typeface="+mn-cs"/>
            </a:rPr>
            <a:t>($)</a:t>
          </a:r>
          <a:endParaRPr lang="en-US">
            <a:effectLst/>
          </a:endParaRPr>
        </a:p>
        <a:p>
          <a:pPr algn="l"/>
          <a:r>
            <a:rPr lang="en-US" sz="1100" b="1">
              <a:solidFill>
                <a:schemeClr val="dk1"/>
              </a:solidFill>
              <a:effectLst/>
              <a:latin typeface="+mn-lt"/>
              <a:ea typeface="+mn-ea"/>
              <a:cs typeface="+mn-cs"/>
            </a:rPr>
            <a:t>		77,206      19,636,611	65</a:t>
          </a:r>
          <a:r>
            <a:rPr lang="en-US" sz="1100" b="1" baseline="0">
              <a:solidFill>
                <a:schemeClr val="dk1"/>
              </a:solidFill>
              <a:effectLst/>
              <a:latin typeface="+mn-lt"/>
              <a:ea typeface="+mn-ea"/>
              <a:cs typeface="+mn-cs"/>
            </a:rPr>
            <a:t>,509      </a:t>
          </a:r>
          <a:r>
            <a:rPr lang="en-US" sz="1100" b="1">
              <a:solidFill>
                <a:schemeClr val="dk1"/>
              </a:solidFill>
              <a:effectLst/>
              <a:latin typeface="+mn-lt"/>
              <a:ea typeface="+mn-ea"/>
              <a:cs typeface="+mn-cs"/>
            </a:rPr>
            <a:t>21,797,387	142,715	41,433,998</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9"/>
  <sheetViews>
    <sheetView workbookViewId="0"/>
  </sheetViews>
  <sheetFormatPr defaultRowHeight="15" x14ac:dyDescent="0.25"/>
  <cols>
    <col min="1" max="1" width="135.140625" customWidth="1"/>
    <col min="14" max="14" width="11.7109375" customWidth="1"/>
  </cols>
  <sheetData>
    <row r="1" spans="1:14" ht="18.75" x14ac:dyDescent="0.25">
      <c r="A1" s="7" t="s">
        <v>122</v>
      </c>
    </row>
    <row r="2" spans="1:14" x14ac:dyDescent="0.25">
      <c r="A2" s="59" t="s">
        <v>126</v>
      </c>
    </row>
    <row r="3" spans="1:14" x14ac:dyDescent="0.25">
      <c r="A3" s="7"/>
      <c r="N3" s="5"/>
    </row>
    <row r="4" spans="1:14" x14ac:dyDescent="0.25">
      <c r="A4" s="6" t="s">
        <v>121</v>
      </c>
    </row>
    <row r="5" spans="1:14" x14ac:dyDescent="0.25">
      <c r="A5" s="6" t="s">
        <v>30</v>
      </c>
      <c r="N5" t="e">
        <f>IF(REN_Load_2016+REN_Load_2015&gt;0,AVERAGE(REN_Load_2016,REN_Load_2015),0)</f>
        <v>#NAME?</v>
      </c>
    </row>
    <row r="6" spans="1:14" x14ac:dyDescent="0.25">
      <c r="A6" s="6" t="s">
        <v>44</v>
      </c>
    </row>
    <row r="8" spans="1:14" x14ac:dyDescent="0.25">
      <c r="A8" s="8" t="s">
        <v>42</v>
      </c>
    </row>
    <row r="9" spans="1:14" x14ac:dyDescent="0.25">
      <c r="A9" s="9" t="s">
        <v>43</v>
      </c>
    </row>
  </sheetData>
  <pageMargins left="0.7" right="0.7" top="0.75" bottom="0.75" header="0.3" footer="0.3"/>
  <pageSetup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pageSetUpPr fitToPage="1"/>
  </sheetPr>
  <dimension ref="A1:K58"/>
  <sheetViews>
    <sheetView tabSelected="1" zoomScaleNormal="100" workbookViewId="0">
      <selection activeCell="A34" sqref="A34"/>
    </sheetView>
  </sheetViews>
  <sheetFormatPr defaultColWidth="9.140625" defaultRowHeight="12.75" x14ac:dyDescent="0.2"/>
  <cols>
    <col min="1" max="2" width="16.7109375" style="15" customWidth="1"/>
    <col min="3" max="3" width="17.140625" style="15" customWidth="1"/>
    <col min="4" max="4" width="16" style="15" customWidth="1"/>
    <col min="5" max="5" width="4.42578125" style="15" customWidth="1"/>
    <col min="6" max="6" width="14.42578125" style="15" customWidth="1"/>
    <col min="7" max="7" width="15.28515625" style="15" customWidth="1"/>
    <col min="8" max="8" width="12.28515625" style="15" customWidth="1"/>
    <col min="9" max="9" width="11.140625" style="15" customWidth="1"/>
    <col min="10" max="10" width="9.140625" style="15"/>
    <col min="11" max="11" width="11.7109375" style="15" customWidth="1"/>
    <col min="12" max="16384" width="9.140625" style="15"/>
  </cols>
  <sheetData>
    <row r="1" spans="1:11" ht="15" x14ac:dyDescent="0.2">
      <c r="A1" s="69" t="s">
        <v>42</v>
      </c>
      <c r="B1" s="69"/>
      <c r="C1" s="69"/>
      <c r="D1" s="69"/>
      <c r="E1" s="69"/>
      <c r="F1" s="69"/>
      <c r="G1" s="69"/>
      <c r="H1" s="69"/>
      <c r="I1" s="69"/>
    </row>
    <row r="2" spans="1:11" ht="15" x14ac:dyDescent="0.2">
      <c r="A2" s="70" t="s">
        <v>43</v>
      </c>
      <c r="B2" s="70"/>
      <c r="C2" s="70"/>
      <c r="D2" s="70"/>
      <c r="E2" s="70"/>
      <c r="F2" s="70"/>
      <c r="G2" s="70"/>
      <c r="H2" s="70"/>
      <c r="I2" s="70"/>
    </row>
    <row r="3" spans="1:11" s="17" customFormat="1" ht="19.5" x14ac:dyDescent="0.4">
      <c r="A3" s="16" t="s">
        <v>45</v>
      </c>
    </row>
    <row r="4" spans="1:11" ht="15" customHeight="1" x14ac:dyDescent="0.2">
      <c r="A4" s="18"/>
    </row>
    <row r="5" spans="1:11" ht="14.25" customHeight="1" thickBot="1" x14ac:dyDescent="0.25">
      <c r="A5" s="19" t="s">
        <v>3</v>
      </c>
      <c r="B5" s="77" t="s">
        <v>95</v>
      </c>
      <c r="C5" s="77"/>
      <c r="D5" s="77"/>
      <c r="F5" s="80" t="s">
        <v>113</v>
      </c>
      <c r="G5" s="80"/>
      <c r="H5" s="80"/>
      <c r="I5" s="80"/>
      <c r="K5" s="20"/>
    </row>
    <row r="6" spans="1:11" ht="15" customHeight="1" x14ac:dyDescent="0.2">
      <c r="A6" s="21" t="s">
        <v>24</v>
      </c>
      <c r="B6" s="81"/>
      <c r="C6" s="82"/>
      <c r="D6" s="82"/>
      <c r="E6" s="22"/>
      <c r="F6" s="1"/>
      <c r="G6" s="50" t="s">
        <v>114</v>
      </c>
      <c r="H6" s="51"/>
      <c r="I6" s="50" t="s">
        <v>115</v>
      </c>
    </row>
    <row r="7" spans="1:11" ht="15" customHeight="1" x14ac:dyDescent="0.2">
      <c r="A7" s="23" t="s">
        <v>23</v>
      </c>
      <c r="B7" s="61" t="s">
        <v>128</v>
      </c>
      <c r="C7" s="62"/>
      <c r="D7" s="62"/>
      <c r="E7" s="17"/>
      <c r="F7" s="1"/>
      <c r="G7" s="52" t="s">
        <v>116</v>
      </c>
      <c r="H7" s="1"/>
      <c r="I7" s="52" t="s">
        <v>116</v>
      </c>
    </row>
    <row r="8" spans="1:11" ht="15" customHeight="1" thickBot="1" x14ac:dyDescent="0.25">
      <c r="A8" s="23" t="s">
        <v>0</v>
      </c>
      <c r="B8" s="62" t="s">
        <v>129</v>
      </c>
      <c r="C8" s="62"/>
      <c r="D8" s="62"/>
      <c r="E8" s="17"/>
      <c r="F8" s="53" t="s">
        <v>117</v>
      </c>
      <c r="G8" s="54">
        <f>CON_Target_2016_2017</f>
        <v>82477</v>
      </c>
      <c r="H8" s="53" t="s">
        <v>118</v>
      </c>
      <c r="I8" s="55">
        <f>CON_Target_2018_2019</f>
        <v>94260</v>
      </c>
    </row>
    <row r="9" spans="1:11" ht="15" customHeight="1" x14ac:dyDescent="0.2">
      <c r="A9" s="23" t="s">
        <v>1</v>
      </c>
      <c r="B9" s="63" t="s">
        <v>130</v>
      </c>
      <c r="C9" s="64"/>
      <c r="D9" s="64"/>
      <c r="E9" s="17"/>
      <c r="F9" s="53" t="s">
        <v>2</v>
      </c>
      <c r="G9" s="56">
        <f>CON_2016_MWH+CON_2017_MWH</f>
        <v>148601.31599999999</v>
      </c>
      <c r="H9" s="1"/>
      <c r="I9" s="1"/>
    </row>
    <row r="10" spans="1:11" ht="15" customHeight="1" x14ac:dyDescent="0.2">
      <c r="A10" s="23"/>
      <c r="B10" s="23"/>
      <c r="C10" s="23"/>
      <c r="D10" s="23"/>
      <c r="E10" s="17"/>
      <c r="F10" s="2" t="s">
        <v>119</v>
      </c>
      <c r="G10" s="58">
        <v>0</v>
      </c>
      <c r="H10" s="1"/>
      <c r="I10" s="1"/>
    </row>
    <row r="11" spans="1:11" ht="15" customHeight="1" x14ac:dyDescent="0.2">
      <c r="A11" s="23"/>
      <c r="B11" s="24"/>
      <c r="C11" s="17"/>
      <c r="D11" s="17"/>
      <c r="E11" s="17"/>
      <c r="F11" s="2" t="s">
        <v>120</v>
      </c>
      <c r="G11" s="58">
        <f>101090-79334</f>
        <v>21756</v>
      </c>
      <c r="H11" s="1"/>
      <c r="I11" s="1"/>
    </row>
    <row r="12" spans="1:11" s="17" customFormat="1" ht="13.5" thickBot="1" x14ac:dyDescent="0.25">
      <c r="A12" s="65" t="s">
        <v>21</v>
      </c>
      <c r="B12" s="65"/>
      <c r="C12" s="65"/>
      <c r="D12" s="65"/>
      <c r="E12" s="25"/>
      <c r="F12" s="21" t="s">
        <v>125</v>
      </c>
      <c r="G12" s="58">
        <v>0</v>
      </c>
      <c r="H12" s="1"/>
      <c r="I12" s="1"/>
    </row>
    <row r="13" spans="1:11" s="17" customFormat="1" ht="13.5" thickBot="1" x14ac:dyDescent="0.25">
      <c r="A13" s="78" t="s">
        <v>31</v>
      </c>
      <c r="B13" s="78"/>
      <c r="C13" s="79" t="s">
        <v>110</v>
      </c>
      <c r="D13" s="78"/>
      <c r="E13" s="25"/>
      <c r="F13" s="53" t="s">
        <v>127</v>
      </c>
      <c r="G13" s="57">
        <f>G9+G10+G11+G12-G8</f>
        <v>87880.315999999992</v>
      </c>
      <c r="H13" s="1"/>
      <c r="I13" s="1"/>
    </row>
    <row r="14" spans="1:11" s="17" customFormat="1" ht="39.75" customHeight="1" x14ac:dyDescent="0.2">
      <c r="A14" s="45" t="s">
        <v>32</v>
      </c>
      <c r="B14" s="46" t="s">
        <v>33</v>
      </c>
      <c r="C14" s="46" t="s">
        <v>111</v>
      </c>
      <c r="D14" s="46" t="s">
        <v>112</v>
      </c>
      <c r="E14" s="25"/>
      <c r="H14" s="15"/>
      <c r="I14" s="15"/>
    </row>
    <row r="15" spans="1:11" s="17" customFormat="1" x14ac:dyDescent="0.2">
      <c r="A15" s="47">
        <f>VLOOKUP(CON_Utility_Name,'Prior Report Data'!$A$5:$B$21,2,FALSE)</f>
        <v>383063</v>
      </c>
      <c r="B15" s="48">
        <f>VLOOKUP(CON_Utility_Name,'Prior Report Data'!$A$5:$C$21,3,FALSE)</f>
        <v>82477</v>
      </c>
      <c r="C15" s="49">
        <v>368000</v>
      </c>
      <c r="D15" s="49">
        <v>94260</v>
      </c>
      <c r="E15" s="25"/>
      <c r="F15" s="15"/>
      <c r="G15" s="15"/>
      <c r="H15" s="15"/>
      <c r="I15" s="15"/>
    </row>
    <row r="16" spans="1:11" s="17" customFormat="1" ht="13.5" thickBot="1" x14ac:dyDescent="0.25">
      <c r="E16" s="25"/>
      <c r="F16" s="15"/>
      <c r="G16" s="15"/>
      <c r="H16" s="15"/>
      <c r="I16" s="15"/>
    </row>
    <row r="17" spans="1:7" ht="13.5" thickTop="1" x14ac:dyDescent="0.2">
      <c r="A17" s="72" t="s">
        <v>2</v>
      </c>
      <c r="B17" s="72"/>
      <c r="C17" s="72"/>
      <c r="D17" s="72"/>
      <c r="E17" s="72"/>
      <c r="F17" s="72"/>
      <c r="G17" s="72"/>
    </row>
    <row r="18" spans="1:7" ht="15" customHeight="1" x14ac:dyDescent="0.2">
      <c r="A18" s="26"/>
      <c r="C18" s="75" t="s">
        <v>46</v>
      </c>
      <c r="D18" s="75"/>
      <c r="F18" s="76" t="s">
        <v>47</v>
      </c>
      <c r="G18" s="76"/>
    </row>
    <row r="19" spans="1:7" ht="30.75" customHeight="1" x14ac:dyDescent="0.2">
      <c r="B19" s="27" t="s">
        <v>20</v>
      </c>
      <c r="C19" s="28" t="s">
        <v>6</v>
      </c>
      <c r="D19" s="28" t="s">
        <v>7</v>
      </c>
      <c r="F19" s="43" t="s">
        <v>6</v>
      </c>
      <c r="G19" s="43" t="s">
        <v>7</v>
      </c>
    </row>
    <row r="20" spans="1:7" ht="15" customHeight="1" x14ac:dyDescent="0.2">
      <c r="B20" s="4" t="s">
        <v>8</v>
      </c>
      <c r="C20" s="44">
        <f>((59153563+396940)/1000)-CON_2017_Residential_MWH</f>
        <v>36219.845000000001</v>
      </c>
      <c r="D20" s="11">
        <f>4951429+887030</f>
        <v>5838459</v>
      </c>
      <c r="F20" s="44">
        <f>((23139201+191457)/1000)</f>
        <v>23330.657999999999</v>
      </c>
      <c r="G20" s="11">
        <f>6987742+916648</f>
        <v>7904390</v>
      </c>
    </row>
    <row r="21" spans="1:7" ht="15" customHeight="1" x14ac:dyDescent="0.2">
      <c r="B21" s="4" t="s">
        <v>9</v>
      </c>
      <c r="C21" s="44">
        <f>(80736243/1000)-CON_2017_Commercial_MWH</f>
        <v>39876.404999999999</v>
      </c>
      <c r="D21" s="11">
        <v>10339410</v>
      </c>
      <c r="F21" s="44">
        <f>(40859838/1000)</f>
        <v>40859.838000000003</v>
      </c>
      <c r="G21" s="11">
        <v>10147062</v>
      </c>
    </row>
    <row r="22" spans="1:7" ht="15" customHeight="1" x14ac:dyDescent="0.2">
      <c r="B22" s="4" t="s">
        <v>10</v>
      </c>
      <c r="C22" s="44"/>
      <c r="D22" s="11"/>
      <c r="F22" s="44"/>
      <c r="G22" s="11"/>
    </row>
    <row r="23" spans="1:7" ht="15" customHeight="1" x14ac:dyDescent="0.2">
      <c r="B23" s="4" t="s">
        <v>11</v>
      </c>
      <c r="C23" s="44"/>
      <c r="D23" s="11"/>
      <c r="F23" s="44"/>
      <c r="G23" s="11"/>
    </row>
    <row r="24" spans="1:7" ht="15" customHeight="1" x14ac:dyDescent="0.2">
      <c r="B24" s="4" t="s">
        <v>17</v>
      </c>
      <c r="C24" s="44">
        <f>183770/1000</f>
        <v>183.77</v>
      </c>
      <c r="D24" s="11"/>
      <c r="F24" s="44">
        <f>476000/1000</f>
        <v>476</v>
      </c>
      <c r="G24" s="11"/>
    </row>
    <row r="25" spans="1:7" ht="15" customHeight="1" x14ac:dyDescent="0.2">
      <c r="B25" s="29" t="s">
        <v>18</v>
      </c>
      <c r="C25" s="44">
        <f>384000/1000</f>
        <v>384</v>
      </c>
      <c r="D25" s="11"/>
      <c r="F25" s="44"/>
      <c r="G25" s="11"/>
    </row>
    <row r="26" spans="1:7" ht="15" customHeight="1" x14ac:dyDescent="0.2">
      <c r="B26" s="29" t="s">
        <v>4</v>
      </c>
      <c r="C26" s="12">
        <v>3679.2</v>
      </c>
      <c r="D26" s="11">
        <v>1384771</v>
      </c>
      <c r="F26" s="12">
        <v>3591.6</v>
      </c>
      <c r="G26" s="11">
        <v>1339420</v>
      </c>
    </row>
    <row r="27" spans="1:7" ht="15" customHeight="1" x14ac:dyDescent="0.2">
      <c r="B27" s="13"/>
      <c r="C27" s="12"/>
      <c r="D27" s="11"/>
      <c r="F27" s="12"/>
      <c r="G27" s="11"/>
    </row>
    <row r="28" spans="1:7" ht="15" customHeight="1" x14ac:dyDescent="0.2">
      <c r="B28" s="13"/>
      <c r="C28" s="12"/>
      <c r="D28" s="11"/>
      <c r="F28" s="12"/>
      <c r="G28" s="11"/>
    </row>
    <row r="29" spans="1:7" ht="30.75" customHeight="1" x14ac:dyDescent="0.2">
      <c r="A29" s="73" t="s">
        <v>22</v>
      </c>
      <c r="B29" s="74"/>
      <c r="D29" s="30"/>
      <c r="G29" s="30"/>
    </row>
    <row r="30" spans="1:7" ht="15" customHeight="1" x14ac:dyDescent="0.2">
      <c r="B30" s="60" t="s">
        <v>132</v>
      </c>
      <c r="C30" s="31"/>
      <c r="D30" s="11">
        <f>67819+2006152</f>
        <v>2073971</v>
      </c>
      <c r="F30" s="31"/>
      <c r="G30" s="11">
        <f>69229+2337285+1</f>
        <v>2406515</v>
      </c>
    </row>
    <row r="31" spans="1:7" ht="15" customHeight="1" x14ac:dyDescent="0.2">
      <c r="B31" s="14"/>
      <c r="C31" s="32"/>
      <c r="D31" s="11"/>
      <c r="F31" s="32"/>
      <c r="G31" s="11"/>
    </row>
    <row r="32" spans="1:7" ht="15" customHeight="1" x14ac:dyDescent="0.2">
      <c r="B32" s="33" t="s">
        <v>5</v>
      </c>
      <c r="C32" s="34">
        <f>SUM(C20:C28)</f>
        <v>80343.22</v>
      </c>
      <c r="D32" s="35">
        <f>SUM(D20:D31)</f>
        <v>19636611</v>
      </c>
      <c r="F32" s="34">
        <f>SUM(F20:F28)</f>
        <v>68258.096000000005</v>
      </c>
      <c r="G32" s="35">
        <f>SUM(G20:G31)</f>
        <v>21797387</v>
      </c>
    </row>
    <row r="33" spans="1:9" ht="15" customHeight="1" x14ac:dyDescent="0.2">
      <c r="B33" s="36"/>
      <c r="C33" s="36"/>
      <c r="D33" s="36"/>
    </row>
    <row r="34" spans="1:9" ht="15" customHeight="1" x14ac:dyDescent="0.2">
      <c r="A34" s="36"/>
      <c r="B34" s="37"/>
      <c r="C34" s="38"/>
      <c r="D34" s="37"/>
      <c r="E34" s="38"/>
    </row>
    <row r="35" spans="1:9" s="17" customFormat="1" ht="15" customHeight="1" x14ac:dyDescent="0.2">
      <c r="A35" s="19" t="s">
        <v>3</v>
      </c>
      <c r="B35" s="71" t="str">
        <f>CON_Utility_Name</f>
        <v>Avista</v>
      </c>
      <c r="C35" s="71"/>
      <c r="D35" s="71"/>
      <c r="E35" s="71"/>
      <c r="F35" s="15"/>
      <c r="G35" s="15"/>
    </row>
    <row r="36" spans="1:9" s="17" customFormat="1" x14ac:dyDescent="0.2">
      <c r="A36" s="39" t="s">
        <v>12</v>
      </c>
      <c r="B36" s="67">
        <v>2017</v>
      </c>
      <c r="C36" s="67"/>
      <c r="D36" s="67"/>
      <c r="E36" s="67"/>
    </row>
    <row r="37" spans="1:9" s="17" customFormat="1" x14ac:dyDescent="0.2">
      <c r="A37" s="39"/>
      <c r="B37" s="40"/>
      <c r="C37" s="40"/>
      <c r="D37" s="40"/>
      <c r="E37" s="40"/>
    </row>
    <row r="38" spans="1:9" ht="28.5" customHeight="1" x14ac:dyDescent="0.2">
      <c r="A38" s="66" t="s">
        <v>41</v>
      </c>
      <c r="B38" s="66"/>
      <c r="C38" s="66"/>
      <c r="D38" s="66"/>
      <c r="E38" s="66"/>
      <c r="F38" s="66"/>
      <c r="G38" s="66"/>
      <c r="H38" s="66"/>
      <c r="I38" s="66"/>
    </row>
    <row r="39" spans="1:9" s="10" customFormat="1" ht="270.75" customHeight="1" x14ac:dyDescent="0.2">
      <c r="A39" s="68"/>
      <c r="B39" s="68"/>
      <c r="C39" s="68"/>
      <c r="D39" s="68"/>
      <c r="E39" s="68"/>
      <c r="F39" s="68"/>
      <c r="G39" s="68"/>
      <c r="H39" s="68"/>
      <c r="I39" s="68"/>
    </row>
    <row r="40" spans="1:9" s="10" customFormat="1" x14ac:dyDescent="0.2"/>
    <row r="41" spans="1:9" s="10" customFormat="1" x14ac:dyDescent="0.2"/>
    <row r="42" spans="1:9" s="10" customFormat="1" x14ac:dyDescent="0.2"/>
    <row r="43" spans="1:9" s="10" customFormat="1" x14ac:dyDescent="0.2"/>
    <row r="44" spans="1:9" s="10" customFormat="1" x14ac:dyDescent="0.2"/>
    <row r="45" spans="1:9" s="10" customFormat="1" x14ac:dyDescent="0.2"/>
    <row r="46" spans="1:9" s="10" customFormat="1" x14ac:dyDescent="0.2"/>
    <row r="47" spans="1:9" s="10" customFormat="1" x14ac:dyDescent="0.2"/>
    <row r="48" spans="1:9" s="10" customFormat="1" x14ac:dyDescent="0.2"/>
    <row r="49" spans="4:6" s="10" customFormat="1" x14ac:dyDescent="0.2"/>
    <row r="50" spans="4:6" s="10" customFormat="1" x14ac:dyDescent="0.2"/>
    <row r="51" spans="4:6" s="10" customFormat="1" x14ac:dyDescent="0.2"/>
    <row r="52" spans="4:6" s="10" customFormat="1" x14ac:dyDescent="0.2"/>
    <row r="53" spans="4:6" s="10" customFormat="1" x14ac:dyDescent="0.2"/>
    <row r="54" spans="4:6" s="10" customFormat="1" x14ac:dyDescent="0.2">
      <c r="D54" s="10" t="s">
        <v>131</v>
      </c>
      <c r="F54" s="10" t="s">
        <v>131</v>
      </c>
    </row>
    <row r="55" spans="4:6" s="10" customFormat="1" x14ac:dyDescent="0.2"/>
    <row r="56" spans="4:6" s="10" customFormat="1" x14ac:dyDescent="0.2"/>
    <row r="57" spans="4:6" s="10" customFormat="1" x14ac:dyDescent="0.2"/>
    <row r="58" spans="4:6" s="10" customFormat="1" x14ac:dyDescent="0.2"/>
  </sheetData>
  <mergeCells count="20">
    <mergeCell ref="A39:I39"/>
    <mergeCell ref="A1:I1"/>
    <mergeCell ref="A2:I2"/>
    <mergeCell ref="B35:E35"/>
    <mergeCell ref="F17:G17"/>
    <mergeCell ref="A17:E17"/>
    <mergeCell ref="A29:B29"/>
    <mergeCell ref="C18:D18"/>
    <mergeCell ref="F18:G18"/>
    <mergeCell ref="B5:D5"/>
    <mergeCell ref="A13:B13"/>
    <mergeCell ref="C13:D13"/>
    <mergeCell ref="F5:I5"/>
    <mergeCell ref="B6:D6"/>
    <mergeCell ref="B7:D7"/>
    <mergeCell ref="B8:D8"/>
    <mergeCell ref="B9:D9"/>
    <mergeCell ref="A12:D12"/>
    <mergeCell ref="A38:I38"/>
    <mergeCell ref="B36:E36"/>
  </mergeCells>
  <dataValidations count="6">
    <dataValidation type="list" allowBlank="1" showInputMessage="1" showErrorMessage="1" sqref="B5:D5">
      <formula1>UtilityList</formula1>
    </dataValidation>
    <dataValidation allowBlank="1" showInputMessage="1" showErrorMessage="1" prompt="Achievement in 2017 will be included in the 2018 report." sqref="F20:G32"/>
    <dataValidation type="decimal" operator="greaterThanOrEqual" allowBlank="1" showInputMessage="1" showErrorMessage="1" promptTitle="Excess from 2014-2015" prompt="Not to exceed (a) 20 percent of the target for 2016-2017 or (b) the actual excess achieved and reported for 2014-2015. An additional 5 percent of the target may be met using excess savings from a single large facility._x000a__x000a_Reference: RCW 19.285.040(1)(c)(i)." sqref="G11">
      <formula1>0</formula1>
    </dataValidation>
    <dataValidation type="decimal" operator="greaterThanOrEqual" allowBlank="1" showInputMessage="1" showErrorMessage="1" promptTitle="Excess from 2012-2013" prompt="Only Cowlitz PUD is eligible to count excess conservation from 2012-2013 toward its conservation target. _x000a__x000a_Reference: RCW 19.285.040(1)(c)(iii)." sqref="G10">
      <formula1>0</formula1>
    </dataValidation>
    <dataValidation allowBlank="1" showInputMessage="1" showErrorMessage="1" promptTitle="2016 Potential and Target" prompt="These values are transferred from the 2017 report. Any revisions should be noted and explained in the Notes section below." sqref="A15:B15"/>
    <dataValidation type="decimal" operator="lessThanOrEqual" allowBlank="1" showInputMessage="1" showErrorMessage="1" promptTitle="Deductions" prompt="Negative value to remove conservation achievement that will be used to meet requirements outside the Energy Independence Act. Example: Investor-owned utility merger commitment to exceed EIA conservation targets. Explain in the notes section." sqref="G12">
      <formula1>0</formula1>
    </dataValidation>
  </dataValidations>
  <pageMargins left="0.7" right="0.7" top="0.55000000000000004" bottom="0.55000000000000004" header="0.3" footer="0.3"/>
  <pageSetup scale="93" fitToHeight="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3:E21"/>
  <sheetViews>
    <sheetView workbookViewId="0">
      <selection activeCell="G10" sqref="G10"/>
    </sheetView>
  </sheetViews>
  <sheetFormatPr defaultRowHeight="15" x14ac:dyDescent="0.25"/>
  <cols>
    <col min="1" max="1" width="40.85546875" bestFit="1" customWidth="1"/>
    <col min="2" max="2" width="13" customWidth="1"/>
    <col min="3" max="3" width="12.7109375" customWidth="1"/>
  </cols>
  <sheetData>
    <row r="3" spans="1:5" ht="30" x14ac:dyDescent="0.25">
      <c r="B3" s="42" t="s">
        <v>34</v>
      </c>
      <c r="C3" s="42" t="s">
        <v>35</v>
      </c>
      <c r="D3" s="42"/>
      <c r="E3" s="42"/>
    </row>
    <row r="4" spans="1:5" x14ac:dyDescent="0.25">
      <c r="A4" t="s">
        <v>109</v>
      </c>
      <c r="B4" s="42"/>
      <c r="C4" s="42"/>
    </row>
    <row r="5" spans="1:5" x14ac:dyDescent="0.25">
      <c r="A5" t="s">
        <v>95</v>
      </c>
      <c r="B5">
        <v>383063</v>
      </c>
      <c r="C5">
        <v>82477</v>
      </c>
    </row>
    <row r="6" spans="1:5" x14ac:dyDescent="0.25">
      <c r="A6" t="s">
        <v>98</v>
      </c>
      <c r="B6">
        <v>342866</v>
      </c>
      <c r="C6">
        <v>67802</v>
      </c>
    </row>
    <row r="7" spans="1:5" x14ac:dyDescent="0.25">
      <c r="A7" t="s">
        <v>99</v>
      </c>
      <c r="B7">
        <v>208225.19999999998</v>
      </c>
      <c r="C7">
        <v>41259.599999999999</v>
      </c>
    </row>
    <row r="8" spans="1:5" x14ac:dyDescent="0.25">
      <c r="A8" t="s">
        <v>102</v>
      </c>
      <c r="B8">
        <v>40471.200000000004</v>
      </c>
      <c r="C8">
        <v>6657.6</v>
      </c>
    </row>
    <row r="9" spans="1:5" x14ac:dyDescent="0.25">
      <c r="A9" t="s">
        <v>103</v>
      </c>
      <c r="B9">
        <v>29872</v>
      </c>
      <c r="C9">
        <v>5519</v>
      </c>
    </row>
    <row r="10" spans="1:5" x14ac:dyDescent="0.25">
      <c r="A10" t="s">
        <v>104</v>
      </c>
      <c r="B10">
        <v>18294</v>
      </c>
      <c r="C10">
        <v>3428</v>
      </c>
    </row>
    <row r="11" spans="1:5" x14ac:dyDescent="0.25">
      <c r="A11" t="s">
        <v>105</v>
      </c>
      <c r="B11">
        <v>457530</v>
      </c>
      <c r="C11">
        <v>93059</v>
      </c>
    </row>
    <row r="12" spans="1:5" x14ac:dyDescent="0.25">
      <c r="A12" t="s">
        <v>106</v>
      </c>
      <c r="B12">
        <v>23835.083999999999</v>
      </c>
      <c r="C12">
        <v>4767</v>
      </c>
    </row>
    <row r="13" spans="1:5" x14ac:dyDescent="0.25">
      <c r="A13" t="s">
        <v>96</v>
      </c>
      <c r="B13">
        <v>96360</v>
      </c>
      <c r="C13">
        <v>17257</v>
      </c>
    </row>
    <row r="14" spans="1:5" x14ac:dyDescent="0.25">
      <c r="A14" t="s">
        <v>50</v>
      </c>
      <c r="B14">
        <v>79628.399999999994</v>
      </c>
      <c r="C14">
        <v>14541.599999999999</v>
      </c>
    </row>
    <row r="15" spans="1:5" x14ac:dyDescent="0.25">
      <c r="A15" t="s">
        <v>100</v>
      </c>
      <c r="B15">
        <v>175550</v>
      </c>
      <c r="C15">
        <v>26718</v>
      </c>
    </row>
    <row r="16" spans="1:5" x14ac:dyDescent="0.25">
      <c r="A16" t="s">
        <v>97</v>
      </c>
      <c r="B16">
        <v>35478</v>
      </c>
      <c r="C16">
        <v>7008</v>
      </c>
    </row>
    <row r="17" spans="1:3" x14ac:dyDescent="0.25">
      <c r="A17" t="s">
        <v>101</v>
      </c>
      <c r="B17">
        <v>36529.199999999997</v>
      </c>
      <c r="C17">
        <v>6482.4</v>
      </c>
    </row>
    <row r="18" spans="1:3" x14ac:dyDescent="0.25">
      <c r="A18" t="s">
        <v>48</v>
      </c>
      <c r="B18">
        <v>2770663</v>
      </c>
      <c r="C18">
        <v>605194</v>
      </c>
    </row>
    <row r="19" spans="1:3" x14ac:dyDescent="0.25">
      <c r="A19" t="s">
        <v>49</v>
      </c>
      <c r="B19">
        <v>1122156</v>
      </c>
      <c r="C19">
        <v>224431</v>
      </c>
    </row>
    <row r="20" spans="1:3" x14ac:dyDescent="0.25">
      <c r="A20" t="s">
        <v>107</v>
      </c>
      <c r="B20">
        <v>623449</v>
      </c>
      <c r="C20">
        <v>122990</v>
      </c>
    </row>
    <row r="21" spans="1:3" x14ac:dyDescent="0.25">
      <c r="A21" t="s">
        <v>108</v>
      </c>
      <c r="B21">
        <v>409968</v>
      </c>
      <c r="C21">
        <v>81993</v>
      </c>
    </row>
  </sheetData>
  <sortState ref="A4:C20">
    <sortCondition ref="A4:A2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5"/>
  <sheetViews>
    <sheetView workbookViewId="0">
      <selection activeCell="A2" sqref="A2"/>
    </sheetView>
  </sheetViews>
  <sheetFormatPr defaultRowHeight="15" x14ac:dyDescent="0.25"/>
  <cols>
    <col min="1" max="1" width="36.140625" bestFit="1" customWidth="1"/>
    <col min="3" max="3" width="10.5703125" customWidth="1"/>
    <col min="12" max="12" width="10.5703125" customWidth="1"/>
  </cols>
  <sheetData>
    <row r="1" spans="1:84" ht="162.75" x14ac:dyDescent="0.25">
      <c r="A1" s="41" t="s">
        <v>29</v>
      </c>
      <c r="B1" s="41" t="s">
        <v>51</v>
      </c>
      <c r="C1" s="41" t="s">
        <v>52</v>
      </c>
      <c r="D1" s="41" t="s">
        <v>53</v>
      </c>
      <c r="E1" s="41" t="s">
        <v>54</v>
      </c>
      <c r="F1" s="41" t="s">
        <v>55</v>
      </c>
      <c r="G1" s="41" t="s">
        <v>56</v>
      </c>
      <c r="H1" s="41" t="s">
        <v>57</v>
      </c>
      <c r="I1" s="41" t="s">
        <v>58</v>
      </c>
      <c r="J1" s="41" t="s">
        <v>59</v>
      </c>
      <c r="K1" s="41" t="s">
        <v>60</v>
      </c>
      <c r="L1" s="41" t="s">
        <v>61</v>
      </c>
      <c r="M1" s="41" t="s">
        <v>62</v>
      </c>
      <c r="N1" s="41" t="s">
        <v>63</v>
      </c>
      <c r="O1" s="41" t="s">
        <v>64</v>
      </c>
      <c r="P1" s="41" t="s">
        <v>65</v>
      </c>
      <c r="Q1" s="41" t="s">
        <v>66</v>
      </c>
      <c r="R1" s="41" t="s">
        <v>67</v>
      </c>
      <c r="S1" s="41" t="s">
        <v>68</v>
      </c>
      <c r="T1" s="41" t="s">
        <v>69</v>
      </c>
      <c r="U1" s="41" t="s">
        <v>70</v>
      </c>
      <c r="V1" s="41" t="s">
        <v>71</v>
      </c>
      <c r="W1" s="41" t="s">
        <v>72</v>
      </c>
      <c r="X1" s="41" t="s">
        <v>94</v>
      </c>
      <c r="Y1" s="41" t="s">
        <v>73</v>
      </c>
      <c r="Z1" s="41" t="s">
        <v>74</v>
      </c>
      <c r="AA1" s="41" t="s">
        <v>75</v>
      </c>
      <c r="AB1" s="41" t="s">
        <v>76</v>
      </c>
      <c r="AC1" s="41" t="s">
        <v>77</v>
      </c>
      <c r="AD1" s="41" t="s">
        <v>78</v>
      </c>
      <c r="AE1" s="41" t="s">
        <v>79</v>
      </c>
      <c r="AF1" s="41" t="s">
        <v>80</v>
      </c>
      <c r="AG1" s="41" t="s">
        <v>81</v>
      </c>
      <c r="AH1" s="41" t="s">
        <v>82</v>
      </c>
      <c r="AI1" s="41" t="s">
        <v>83</v>
      </c>
      <c r="AJ1" s="41" t="s">
        <v>84</v>
      </c>
      <c r="AK1" s="41" t="s">
        <v>85</v>
      </c>
      <c r="AL1" s="41" t="s">
        <v>86</v>
      </c>
      <c r="AM1" s="41" t="s">
        <v>87</v>
      </c>
      <c r="AN1" s="41" t="s">
        <v>88</v>
      </c>
      <c r="AO1" s="41" t="s">
        <v>89</v>
      </c>
      <c r="AP1" s="41" t="s">
        <v>90</v>
      </c>
      <c r="AQ1" s="41" t="s">
        <v>91</v>
      </c>
      <c r="AR1" s="41" t="s">
        <v>92</v>
      </c>
      <c r="AS1" s="41" t="s">
        <v>93</v>
      </c>
      <c r="AT1" s="41" t="s">
        <v>25</v>
      </c>
      <c r="AU1" s="41" t="s">
        <v>26</v>
      </c>
      <c r="AV1" s="41" t="s">
        <v>27</v>
      </c>
      <c r="AW1" s="41" t="s">
        <v>34</v>
      </c>
      <c r="AX1" s="41" t="s">
        <v>123</v>
      </c>
      <c r="AY1" s="41" t="s">
        <v>28</v>
      </c>
      <c r="AZ1" s="41" t="s">
        <v>35</v>
      </c>
      <c r="BA1" s="41" t="s">
        <v>124</v>
      </c>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row>
    <row r="2" spans="1:84" x14ac:dyDescent="0.25">
      <c r="A2" t="str">
        <f>CON_Utility_Name</f>
        <v>Avista</v>
      </c>
      <c r="B2">
        <f>+CON_2016_Agriculture_Expend</f>
        <v>0</v>
      </c>
      <c r="C2">
        <f>+CON_2016_Agriculture_MWH</f>
        <v>0</v>
      </c>
      <c r="D2">
        <f>+CON_2016_Commercial_Expend</f>
        <v>10339410</v>
      </c>
      <c r="E2">
        <f>+CON_2016_Commercial_MWH</f>
        <v>39876.404999999999</v>
      </c>
      <c r="F2">
        <f>+CON_2016_Distribution_Expend</f>
        <v>0</v>
      </c>
      <c r="G2">
        <f>+CON_2016_Distribution_MWH</f>
        <v>183.77</v>
      </c>
      <c r="H2">
        <f>+CON_2016_Expenditures</f>
        <v>19636611</v>
      </c>
      <c r="I2">
        <f>+CON_2016_Industrial_Expend</f>
        <v>0</v>
      </c>
      <c r="J2">
        <f>+CON_2016_Industrial_MWH</f>
        <v>0</v>
      </c>
      <c r="K2">
        <f>+CON_2016_MWH</f>
        <v>80343.22</v>
      </c>
      <c r="L2">
        <f>+CON_2016_NEEA_Expend</f>
        <v>1384771</v>
      </c>
      <c r="M2">
        <f>+CON_2016_NEEA_MWH</f>
        <v>3679.2</v>
      </c>
      <c r="N2">
        <f>+CON_2016_OtherSector1_Expend</f>
        <v>0</v>
      </c>
      <c r="O2">
        <f>+CON_2016_OtherSector1_MWH</f>
        <v>0</v>
      </c>
      <c r="P2">
        <f>+CON_2016_OtherSector2_Expend</f>
        <v>0</v>
      </c>
      <c r="Q2">
        <f>+CON_2016_OtherSector2_MWH</f>
        <v>0</v>
      </c>
      <c r="R2">
        <f>+CON_2016_Production_Expend</f>
        <v>0</v>
      </c>
      <c r="S2">
        <f>+CON_2016_Production_MWH</f>
        <v>384</v>
      </c>
      <c r="T2">
        <f>+CON_2016_Program1_Expend</f>
        <v>2073971</v>
      </c>
      <c r="U2">
        <f>+CON_2016_Program2_Expend</f>
        <v>0</v>
      </c>
      <c r="V2">
        <f>+CON_2016_Residential_Expend</f>
        <v>5838459</v>
      </c>
      <c r="W2">
        <f>+CON_2016_Residential_MWH</f>
        <v>36219.845000000001</v>
      </c>
      <c r="X2">
        <f>+CON_2017_Agriculture_Expend</f>
        <v>0</v>
      </c>
      <c r="Y2">
        <f>+CON_2017_Agriculture_MWH</f>
        <v>0</v>
      </c>
      <c r="Z2">
        <f>+CON_2017_Commercial_Expend</f>
        <v>10147062</v>
      </c>
      <c r="AA2">
        <f>+CON_2017_Commercial_MWH</f>
        <v>40859.838000000003</v>
      </c>
      <c r="AB2">
        <f>+CON_2017_Distribution_Expend</f>
        <v>0</v>
      </c>
      <c r="AC2">
        <f>+CON_2017_Distribution_MWH</f>
        <v>476</v>
      </c>
      <c r="AD2">
        <f>+CON_2017_Expenditures</f>
        <v>21797387</v>
      </c>
      <c r="AE2">
        <f>+CON_2017_Industrial_Expend</f>
        <v>0</v>
      </c>
      <c r="AF2">
        <f>+CON_2017_Industrial_MWH</f>
        <v>0</v>
      </c>
      <c r="AG2">
        <f>+CON_2017_MWH</f>
        <v>68258.096000000005</v>
      </c>
      <c r="AH2">
        <f>+CON_2017_NEEA_Expend</f>
        <v>1339420</v>
      </c>
      <c r="AI2">
        <f>+CON_2017_NEEA_MWH</f>
        <v>3591.6</v>
      </c>
      <c r="AJ2">
        <f>+CON_2017_OtherSector1_Expend</f>
        <v>0</v>
      </c>
      <c r="AK2">
        <f>+CON_2017_OtherSector1_MWH</f>
        <v>0</v>
      </c>
      <c r="AL2">
        <f>+CON_2017_OtherSector2_Expend</f>
        <v>0</v>
      </c>
      <c r="AM2">
        <f>+CON_2017_OtherSector2_MWH</f>
        <v>0</v>
      </c>
      <c r="AN2">
        <f>+CON_2017_Production_Expend</f>
        <v>0</v>
      </c>
      <c r="AO2">
        <f>+CON_2017_Production_MWH</f>
        <v>0</v>
      </c>
      <c r="AP2">
        <f>+CON_2017_Program1_Expend</f>
        <v>2406515</v>
      </c>
      <c r="AQ2">
        <f>+CON_2017_Program2_Expend</f>
        <v>0</v>
      </c>
      <c r="AR2">
        <f>+CON_2017_Residential_Expend</f>
        <v>7904390</v>
      </c>
      <c r="AS2">
        <f>+CON_2017_Residential_MWH</f>
        <v>23330.657999999999</v>
      </c>
      <c r="AT2" t="str">
        <f>+CON_Contact_Name</f>
        <v>Mark Baker, Demand Side Management</v>
      </c>
      <c r="AU2" t="str">
        <f>+CON_Email</f>
        <v>mark.baker@avistacorp.com</v>
      </c>
      <c r="AV2" t="str">
        <f>+CON_Phone</f>
        <v>(509) 495-4864</v>
      </c>
      <c r="AW2">
        <f>+CON_Potential_2016_2025</f>
        <v>383063</v>
      </c>
      <c r="AX2">
        <f>CON_Potential_2018_2027</f>
        <v>368000</v>
      </c>
      <c r="AY2">
        <f>+CON_Report_Date</f>
        <v>0</v>
      </c>
      <c r="AZ2">
        <f>+CON_Target_2016_2017</f>
        <v>82477</v>
      </c>
      <c r="BA2">
        <f>+CON_Target_2018_2019</f>
        <v>94260</v>
      </c>
    </row>
    <row r="6" spans="1:84" x14ac:dyDescent="0.25">
      <c r="A6" s="3" t="s">
        <v>13</v>
      </c>
    </row>
    <row r="7" spans="1:84" x14ac:dyDescent="0.25">
      <c r="A7" s="3" t="s">
        <v>14</v>
      </c>
    </row>
    <row r="8" spans="1:84" x14ac:dyDescent="0.25">
      <c r="A8" s="3" t="s">
        <v>37</v>
      </c>
    </row>
    <row r="9" spans="1:84" x14ac:dyDescent="0.25">
      <c r="A9" s="3" t="s">
        <v>39</v>
      </c>
    </row>
    <row r="10" spans="1:84" x14ac:dyDescent="0.25">
      <c r="A10" s="3" t="s">
        <v>40</v>
      </c>
    </row>
    <row r="11" spans="1:84" x14ac:dyDescent="0.25">
      <c r="A11" s="3" t="s">
        <v>38</v>
      </c>
    </row>
    <row r="12" spans="1:84" x14ac:dyDescent="0.25">
      <c r="A12" s="3" t="s">
        <v>15</v>
      </c>
    </row>
    <row r="13" spans="1:84" x14ac:dyDescent="0.25">
      <c r="A13" s="3" t="s">
        <v>19</v>
      </c>
    </row>
    <row r="14" spans="1:84" x14ac:dyDescent="0.25">
      <c r="A14" s="3" t="s">
        <v>16</v>
      </c>
    </row>
    <row r="15" spans="1:84" x14ac:dyDescent="0.25">
      <c r="A15" s="3" t="s">
        <v>36</v>
      </c>
    </row>
  </sheetData>
  <dataValidations count="1">
    <dataValidation type="list" allowBlank="1" showInputMessage="1" showErrorMessage="1" sqref="D8">
      <formula1>$A$6:$A$15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2015-10-30T07:00:00+00:00</OpenedDate>
    <SignificantOrder xmlns="dc463f71-b30c-4ab2-9473-d307f9d35888">false</SignificantOrder>
    <Date1 xmlns="dc463f71-b30c-4ab2-9473-d307f9d35888">2018-06-01T07:00:00+00:00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152077</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D3D0A0B9F972B45AD2955E8D6E00C06" ma:contentTypeVersion="119" ma:contentTypeDescription="" ma:contentTypeScope="" ma:versionID="18953f80926cb542a36a8ee485ddab5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1BDDD2-CCEE-43C9-AB2D-C3B90963C63B}"/>
</file>

<file path=customXml/itemProps2.xml><?xml version="1.0" encoding="utf-8"?>
<ds:datastoreItem xmlns:ds="http://schemas.openxmlformats.org/officeDocument/2006/customXml" ds:itemID="{2F4EF345-C7A3-4312-A2DA-7A75ECC155C4}">
  <ds:schemaRefs>
    <ds:schemaRef ds:uri="http://schemas.microsoft.com/sharepoint/v3/contenttype/forms"/>
  </ds:schemaRefs>
</ds:datastoreItem>
</file>

<file path=customXml/itemProps3.xml><?xml version="1.0" encoding="utf-8"?>
<ds:datastoreItem xmlns:ds="http://schemas.openxmlformats.org/officeDocument/2006/customXml" ds:itemID="{B5134EF7-F04D-4218-953F-7A835D8EE7C1}">
  <ds:schemaRefs>
    <ds:schemaRef ds:uri="http://purl.org/dc/dcmitype/"/>
    <ds:schemaRef ds:uri="http://purl.org/dc/elements/1.1/"/>
    <ds:schemaRef ds:uri="http://schemas.microsoft.com/sharepoint/v3"/>
    <ds:schemaRef ds:uri="http://schemas.openxmlformats.org/package/2006/metadata/core-properties"/>
    <ds:schemaRef ds:uri="http://schemas.microsoft.com/office/2006/documentManagement/types"/>
    <ds:schemaRef ds:uri="http://purl.org/dc/terms/"/>
    <ds:schemaRef ds:uri="http://schemas.microsoft.com/office/2006/metadata/properties"/>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DD99824D-AB8C-4B43-BB0D-9E055A3E6A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57</vt:i4>
      </vt:variant>
    </vt:vector>
  </HeadingPairs>
  <TitlesOfParts>
    <vt:vector size="61" baseType="lpstr">
      <vt:lpstr>Background</vt:lpstr>
      <vt:lpstr>Conservation Report</vt:lpstr>
      <vt:lpstr>Prior Report Data</vt:lpstr>
      <vt:lpstr>Data</vt:lpstr>
      <vt:lpstr>CON_2016_Agriculture_Expend</vt:lpstr>
      <vt:lpstr>CON_2016_Agriculture_MWH</vt:lpstr>
      <vt:lpstr>CON_2016_Commercial_Expend</vt:lpstr>
      <vt:lpstr>CON_2016_Commercial_MWH</vt:lpstr>
      <vt:lpstr>CON_2016_Distribution_Expend</vt:lpstr>
      <vt:lpstr>CON_2016_Distribution_MWH</vt:lpstr>
      <vt:lpstr>CON_2016_Expenditures</vt:lpstr>
      <vt:lpstr>CON_2016_Industrial_Expend</vt:lpstr>
      <vt:lpstr>CON_2016_Industrial_MWH</vt:lpstr>
      <vt:lpstr>CON_2016_MWH</vt:lpstr>
      <vt:lpstr>CON_2016_NEEA_Expend</vt:lpstr>
      <vt:lpstr>CON_2016_NEEA_MWH</vt:lpstr>
      <vt:lpstr>CON_2016_OtherSector1_Expend</vt:lpstr>
      <vt:lpstr>CON_2016_OtherSector1_MWH</vt:lpstr>
      <vt:lpstr>CON_2016_OtherSector2_Expend</vt:lpstr>
      <vt:lpstr>CON_2016_OtherSector2_MWH</vt:lpstr>
      <vt:lpstr>CON_2016_Production_Expend</vt:lpstr>
      <vt:lpstr>CON_2016_Production_MWH</vt:lpstr>
      <vt:lpstr>CON_2016_Program1_Expend</vt:lpstr>
      <vt:lpstr>CON_2016_Program2_Expend</vt:lpstr>
      <vt:lpstr>CON_2016_Residential_Expend</vt:lpstr>
      <vt:lpstr>CON_2016_Residential_MWH</vt:lpstr>
      <vt:lpstr>CON_2017_Agriculture_Expend</vt:lpstr>
      <vt:lpstr>CON_2017_Agriculture_MWH</vt:lpstr>
      <vt:lpstr>CON_2017_Commercial_Expend</vt:lpstr>
      <vt:lpstr>CON_2017_Commercial_MWH</vt:lpstr>
      <vt:lpstr>CON_2017_Distribution_Expend</vt:lpstr>
      <vt:lpstr>CON_2017_Distribution_MWH</vt:lpstr>
      <vt:lpstr>CON_2017_Expenditures</vt:lpstr>
      <vt:lpstr>CON_2017_Industrial_Expend</vt:lpstr>
      <vt:lpstr>CON_2017_Industrial_MWH</vt:lpstr>
      <vt:lpstr>CON_2017_MWH</vt:lpstr>
      <vt:lpstr>CON_2017_NEEA_Expend</vt:lpstr>
      <vt:lpstr>CON_2017_NEEA_MWH</vt:lpstr>
      <vt:lpstr>CON_2017_OtherSector1_Expend</vt:lpstr>
      <vt:lpstr>CON_2017_OtherSector1_MWH</vt:lpstr>
      <vt:lpstr>CON_2017_OtherSector2_Expend</vt:lpstr>
      <vt:lpstr>CON_2017_OtherSector2_MWH</vt:lpstr>
      <vt:lpstr>CON_2017_Production_Expend</vt:lpstr>
      <vt:lpstr>CON_2017_Production_MWH</vt:lpstr>
      <vt:lpstr>CON_2017_Program1_Expend</vt:lpstr>
      <vt:lpstr>CON_2017_Program2_Expend</vt:lpstr>
      <vt:lpstr>CON_2017_Residential_Expend</vt:lpstr>
      <vt:lpstr>CON_2017_Residential_MWH</vt:lpstr>
      <vt:lpstr>CON_Contact_Name</vt:lpstr>
      <vt:lpstr>CON_Email</vt:lpstr>
      <vt:lpstr>CON_Excess_2012_13</vt:lpstr>
      <vt:lpstr>CON_Excess_2014_15</vt:lpstr>
      <vt:lpstr>CON_Phone</vt:lpstr>
      <vt:lpstr>CON_Potential_2016_2025</vt:lpstr>
      <vt:lpstr>CON_Potential_2018_2027</vt:lpstr>
      <vt:lpstr>CON_Report_Date</vt:lpstr>
      <vt:lpstr>CON_Target_2016_2017</vt:lpstr>
      <vt:lpstr>CON_Target_2018_2019</vt:lpstr>
      <vt:lpstr>CON_Utility_Name</vt:lpstr>
      <vt:lpstr>'Conservation Report'!Print_Area</vt:lpstr>
      <vt:lpstr>UtilityList</vt:lpstr>
    </vt:vector>
  </TitlesOfParts>
  <Company>CTED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2016 Report Workbook for Utilities</dc:title>
  <dc:creator>Glenn Blackmon</dc:creator>
  <cp:keywords/>
  <cp:lastModifiedBy>Linda Gervais</cp:lastModifiedBy>
  <cp:lastPrinted>2018-05-24T20:47:24Z</cp:lastPrinted>
  <dcterms:created xsi:type="dcterms:W3CDTF">2012-03-20T21:01:26Z</dcterms:created>
  <dcterms:modified xsi:type="dcterms:W3CDTF">2018-05-31T21:41:39Z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0x0101006E56B4D1795A2E4DB2F0B01679ED314A000D3D0A0B9F972B45AD2955E8D6E00C06</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ESRI_WORKBOOK_ID">
    <vt:lpwstr>5222036afc3d443894e62b93452d3a8e</vt:lpwstr>
  </property>
  <property fmtid="{D5CDD505-2E9C-101B-9397-08002B2CF9AE}" pid="9" name="_docset_NoMedatataSyncRequired">
    <vt:lpwstr>False</vt:lpwstr>
  </property>
  <property fmtid="{D5CDD505-2E9C-101B-9397-08002B2CF9AE}" pid="10" name="IsEFSEC">
    <vt:bool>false</vt:bool>
  </property>
</Properties>
</file>