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firstSheet="3" activeTab="3"/>
  </bookViews>
  <sheets>
    <sheet name="PPXLSaveData0" sheetId="1" state="veryHidden" r:id="rId1"/>
    <sheet name="PPXLFunctions" sheetId="2" state="veryHidden" r:id="rId2"/>
    <sheet name="PPXLOpen" sheetId="3" state="veryHidden" r:id="rId3"/>
    <sheet name="3.06 Adjs to SAP" sheetId="4" r:id="rId4"/>
    <sheet name="Tax Accounts Revised" sheetId="5" r:id="rId5"/>
    <sheet name="NOL Allocation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D" localSheetId="4" hidden="1">#REF!</definedName>
    <definedName name="__123Graph_D" hidden="1">#REF!</definedName>
    <definedName name="__123Graph_ECURRENT" hidden="1">'[2]ConsolidatingPL'!#REF!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09">" BS!$AI$7:$AI$1643"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'Tax Accounts Revised'!$A$1:$Y$61</definedName>
    <definedName name="_xlnm.Print_Titles" localSheetId="3">'3.06 Adjs to SAP'!$1:$8</definedName>
    <definedName name="qqq" localSheetId="3" hidden="1">{#N/A,#N/A,FALSE,"schA"}</definedName>
    <definedName name="qqq" hidden="1">{#N/A,#N/A,FALSE,"schA"}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3" hidden="1">{#N/A,#N/A,FALSE,"CRPT";#N/A,#N/A,FALSE,"TREND";#N/A,#N/A,FALSE,"%Curve"}</definedName>
    <definedName name="six6" hidden="1">{#N/A,#N/A,FALSE,"CRPT";#N/A,#N/A,FALSE,"TREND";#N/A,#N/A,FALSE,"%Curve"}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3" hidden="1">{#N/A,#N/A,FALSE,"schA"}</definedName>
    <definedName name="www" hidden="1">{#N/A,#N/A,FALSE,"schA"}</definedName>
    <definedName name="www1" localSheetId="3" hidden="1">{#N/A,#N/A,FALSE,"schA"}</definedName>
    <definedName name="www1" hidden="1">{#N/A,#N/A,FALSE,"schA"}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<sst xmlns="http://schemas.openxmlformats.org/spreadsheetml/2006/main" count="230" uniqueCount="170">
  <si>
    <t>subtotal</t>
  </si>
  <si>
    <t>NOL Carryforward</t>
  </si>
  <si>
    <t>AMA (December 10)</t>
  </si>
  <si>
    <t>As of December 31, 2010</t>
  </si>
  <si>
    <t>Extract from December 2010 Rate Base File</t>
  </si>
  <si>
    <t>Electric RB</t>
  </si>
  <si>
    <t>Gas RB</t>
  </si>
  <si>
    <t>Non-Oper.</t>
  </si>
  <si>
    <t>-</t>
  </si>
  <si>
    <t>Net Difference</t>
  </si>
  <si>
    <t>Actual SAP Balances</t>
  </si>
  <si>
    <t>Federal Income Taxes Payable</t>
  </si>
  <si>
    <t>DFIT - Gas Plant</t>
  </si>
  <si>
    <t>DFIT - Electric Plant</t>
  </si>
  <si>
    <t>STEP 1:  Extract the NOL C/F from the Tax Payable/Receivable Account and Restate Both Balances</t>
  </si>
  <si>
    <t>Reconstruct the Tax Payable Balance for 2010</t>
  </si>
  <si>
    <t>Federal Income Taxes Payable ORIGINAL</t>
  </si>
  <si>
    <t>Federal Income Taxes Payable REVISED</t>
  </si>
  <si>
    <t>Difference is activity to the NOL in 2010</t>
  </si>
  <si>
    <t>NOL Carryforward ORIGINAL</t>
  </si>
  <si>
    <t>Difference from the Taxes Payable</t>
  </si>
  <si>
    <t>NOL Carryforward REVISED</t>
  </si>
  <si>
    <t>STEP 2:  Adjust NOL Carryforward to Remove Repairs/Reirement Method Changes</t>
  </si>
  <si>
    <t>Remove Repairs</t>
  </si>
  <si>
    <t>Remove Retirements</t>
  </si>
  <si>
    <t>Total Repairs/Retirements Removed</t>
  </si>
  <si>
    <t>STEP 3:  Adjust Taxes Payable Balance to Remove Repirs/Retirements Method Changes</t>
  </si>
  <si>
    <t>Federal Income Taxes (from above)</t>
  </si>
  <si>
    <t>STEP 4:  Remove Repairs/Retirement Changes from Electric Deferred Tax Balance</t>
  </si>
  <si>
    <t>Remove Repairs - Electric</t>
  </si>
  <si>
    <t>Remove Retirements - Electric</t>
  </si>
  <si>
    <t>STEP 5:  Remove Repairs/Retirement Changes from Gas Deferred Tax Balance</t>
  </si>
  <si>
    <t>Remove Repairs - Gas</t>
  </si>
  <si>
    <t>Remove Retirements - Gas</t>
  </si>
  <si>
    <t>Revised Balances</t>
  </si>
  <si>
    <t>Allocator</t>
  </si>
  <si>
    <t>Analysis of Tax Net Operating Losses</t>
  </si>
  <si>
    <t>2011 GRC</t>
  </si>
  <si>
    <t>Gross</t>
  </si>
  <si>
    <t>Tax Effected</t>
  </si>
  <si>
    <t>2009 NOL</t>
  </si>
  <si>
    <t>2010 NOL</t>
  </si>
  <si>
    <t>Total NOL</t>
  </si>
  <si>
    <t>2009 Bonus Depreciation</t>
  </si>
  <si>
    <t>2010 Bonus Depr (est)</t>
  </si>
  <si>
    <t>2009 Annalysis</t>
  </si>
  <si>
    <t xml:space="preserve"> 2009 Taxable Loss</t>
  </si>
  <si>
    <t xml:space="preserve"> 2009 NOL</t>
  </si>
  <si>
    <t xml:space="preserve"> Bonus Depr</t>
  </si>
  <si>
    <t>2010 Annalysis</t>
  </si>
  <si>
    <t xml:space="preserve"> 2010 Taxable Loss</t>
  </si>
  <si>
    <t xml:space="preserve"> 2010 NOL</t>
  </si>
  <si>
    <t>Total 2009 + 2010</t>
  </si>
  <si>
    <t>Allocation to electric production</t>
  </si>
  <si>
    <t>%</t>
  </si>
  <si>
    <t>Amount Gross</t>
  </si>
  <si>
    <t>Production for 2009</t>
  </si>
  <si>
    <t>Production for 2010</t>
  </si>
  <si>
    <t>Total NOL alloc to production</t>
  </si>
  <si>
    <t>Oper Invest</t>
  </si>
  <si>
    <t>Oper. Invest.</t>
  </si>
  <si>
    <t>Revised</t>
  </si>
  <si>
    <t>19000433.1</t>
  </si>
  <si>
    <t>NOL Carryforward Repairs/Retirement</t>
  </si>
  <si>
    <t>Federal Income Taxes Repairs/Retiremnt</t>
  </si>
  <si>
    <t>28200002.1</t>
  </si>
  <si>
    <t>DFIT - Gas Plant Repairs/Retirement</t>
  </si>
  <si>
    <t>28200121.1</t>
  </si>
  <si>
    <t>DFIT - Electric Plant Repairs/Retirement</t>
  </si>
  <si>
    <t>ERB</t>
  </si>
  <si>
    <t>GRB</t>
  </si>
  <si>
    <t>CWC</t>
  </si>
  <si>
    <t>Footnotes:</t>
  </si>
  <si>
    <t>W/C</t>
  </si>
  <si>
    <t>Docket Nos. UE-11____ and UG-11____</t>
  </si>
  <si>
    <t>Exhibit Nos. ____ (JHS-3 and MJS-3)</t>
  </si>
  <si>
    <t>Overview of Reallocation of SAP Balance Sheet Accounts</t>
  </si>
  <si>
    <t>Rate-</t>
  </si>
  <si>
    <t>End of Period</t>
  </si>
  <si>
    <t>Average of the Monthly Averages</t>
  </si>
  <si>
    <t>Correction</t>
  </si>
  <si>
    <t>Making</t>
  </si>
  <si>
    <t>SAP</t>
  </si>
  <si>
    <t>Corrected SAP</t>
  </si>
  <si>
    <t>Explanation</t>
  </si>
  <si>
    <t>Number</t>
  </si>
  <si>
    <t>Account Title</t>
  </si>
  <si>
    <t>Treatment</t>
  </si>
  <si>
    <t>Balance</t>
  </si>
  <si>
    <t>Corrections</t>
  </si>
  <si>
    <t>(See page 2)</t>
  </si>
  <si>
    <t>NOL Carryforward - Bonus Depreciation</t>
  </si>
  <si>
    <r>
      <t>E&amp;GRB</t>
    </r>
    <r>
      <rPr>
        <vertAlign val="superscript"/>
        <sz val="11"/>
        <color indexed="8"/>
        <rFont val="Calibri"/>
        <family val="2"/>
      </rPr>
      <t xml:space="preserve">(Note </t>
    </r>
    <r>
      <rPr>
        <vertAlign val="superscript"/>
        <sz val="9.7"/>
        <color indexed="8"/>
        <rFont val="Calibri"/>
        <family val="2"/>
      </rPr>
      <t>1)</t>
    </r>
  </si>
  <si>
    <t>(a)</t>
  </si>
  <si>
    <t>Op not RB</t>
  </si>
  <si>
    <t>(b)</t>
  </si>
  <si>
    <t>(a), (b), (c)</t>
  </si>
  <si>
    <t>(c)</t>
  </si>
  <si>
    <r>
      <t xml:space="preserve">DFIT - Gas Plant </t>
    </r>
    <r>
      <rPr>
        <vertAlign val="superscript"/>
        <sz val="9.7"/>
        <color indexed="8"/>
        <rFont val="Calibri"/>
        <family val="2"/>
      </rPr>
      <t>(Note 2)</t>
    </r>
  </si>
  <si>
    <t>(d)</t>
  </si>
  <si>
    <r>
      <t xml:space="preserve">DFIT - Electric Plant </t>
    </r>
    <r>
      <rPr>
        <vertAlign val="superscript"/>
        <sz val="9.7"/>
        <color indexed="8"/>
        <rFont val="Calibri"/>
        <family val="2"/>
      </rPr>
      <t>(Note 2)</t>
    </r>
  </si>
  <si>
    <t>(e)</t>
  </si>
  <si>
    <t>Combined Balances</t>
  </si>
  <si>
    <t>Impact on Financial Statement Exhibits</t>
  </si>
  <si>
    <t>Page 2 of 4 Line "190 Current Deferred Taxes"</t>
  </si>
  <si>
    <t>Line 13 + Line 14</t>
  </si>
  <si>
    <t>Page 3 of 4 Line "236 Taxes Accrued"</t>
  </si>
  <si>
    <t>Line 15 + Line 16</t>
  </si>
  <si>
    <t>Page 3 of 4 Line "282 Accum. Def. Income Taxes - Other Prop."</t>
  </si>
  <si>
    <t>Sum Line 17 through Line 20</t>
  </si>
  <si>
    <t>Overall Impact on Balance Sheet</t>
  </si>
  <si>
    <t>Page 1 of 2 Line 33 "28200121 DFIT Electric Plant"</t>
  </si>
  <si>
    <t>Line 19</t>
  </si>
  <si>
    <t>Page 1 of 2 Line 35a2 "19000433 NOL Carryforward"</t>
  </si>
  <si>
    <t>Line 13 x 55.6653% (Note 1)</t>
  </si>
  <si>
    <t>Subtotal Electric Ratebase before Working Capital</t>
  </si>
  <si>
    <t>Allocation of Overall Impact on Working Capital to Electric</t>
  </si>
  <si>
    <t>Line 48</t>
  </si>
  <si>
    <t>Overall Impact on Electric Ratebase</t>
  </si>
  <si>
    <t>Page 1 of 1 Line 10 "Accumulated Deferred FIT"</t>
  </si>
  <si>
    <t>Line 17</t>
  </si>
  <si>
    <t>Page 1 of 1 Line 11 "NOL Carryforward"</t>
  </si>
  <si>
    <t>Line 13 x 44.3347% (Note 1)</t>
  </si>
  <si>
    <t>Subtotal Gas Ratebase before Working Capital</t>
  </si>
  <si>
    <t>Allocation of Overall Impact on Working Capital to Gas</t>
  </si>
  <si>
    <t>Line 49</t>
  </si>
  <si>
    <t>Overall Impact on Gas Ratebase</t>
  </si>
  <si>
    <t>Page 1 of 2 Line 28 "Comon Deferred Tax - Allocation to Electric"</t>
  </si>
  <si>
    <t>(Line 14 + Line 16) x 55.6653% (Note 1)</t>
  </si>
  <si>
    <t>Page 1 of 2 Line 29 "NOL Carryforward"</t>
  </si>
  <si>
    <t>Page 1 of 2 Line 43 " Common Deferred Tax - Allocation to Gas"</t>
  </si>
  <si>
    <t>(Line 14 + Line 16) x 44.3347% (Note 1)</t>
  </si>
  <si>
    <t>Page 1 of 2 Line 45 "NOL Carryforward"</t>
  </si>
  <si>
    <t>Page 2 of 2 Line 48 "Total Electric &amp; Gas Operating Investment"</t>
  </si>
  <si>
    <t>Allocation of Working Capital:</t>
  </si>
  <si>
    <t>Page 2 of 2 Line 90 "Electric Working Capital"</t>
  </si>
  <si>
    <t>Page 2 of 2 Line 92 "Gas Working Capital"</t>
  </si>
  <si>
    <t>Page 2 of 2 Line 105 "Non Operating Working Capital"</t>
  </si>
  <si>
    <t>Page 2 of 2 Line 76 "Total Investor Supplied Working Capital"</t>
  </si>
  <si>
    <t>Footnotes and Explanations of Corrections</t>
  </si>
  <si>
    <r>
      <t xml:space="preserve">(Note </t>
    </r>
    <r>
      <rPr>
        <sz val="11"/>
        <color indexed="8"/>
        <rFont val="Calibri"/>
        <family val="2"/>
      </rPr>
      <t>1)</t>
    </r>
    <r>
      <rPr>
        <sz val="11"/>
        <rFont val="Calibri"/>
        <family val="2"/>
      </rPr>
      <t xml:space="preserve"> Allocated 55.67% to Electric and 44.33% to Gas based on an analysis of the causes for the Net Operating Losses.</t>
    </r>
  </si>
  <si>
    <t>(Note 2) Already includes Depreciation related deferred taxes against which the depreciation related NOL is being offset.</t>
  </si>
  <si>
    <t>Explanation of Corrections</t>
  </si>
  <si>
    <t>(a)  Reclass 2009/2010 NOL related to Bonus Depreciation from working capital to ratebase.</t>
  </si>
  <si>
    <t>(b)  Reclass 2009/2010 NOL related to Repairs and Retirements from working capital to operating not in ratebase.</t>
  </si>
  <si>
    <t>(c)  Reclass current FIT payable for Repairs and Retirements from working capital to operating not in ratebase.</t>
  </si>
  <si>
    <t>(d)  Reclass gas DFIT related to Repairs and Retirements from gas ratebase to operating not in ratebase.</t>
  </si>
  <si>
    <t>(e)  Reclass electric DFIT related to Repairs and Retirements from electric ratebase to operating not in ratebase.</t>
  </si>
  <si>
    <t>39</t>
  </si>
  <si>
    <t>Total</t>
  </si>
  <si>
    <t>Working Capital</t>
  </si>
  <si>
    <t>Line</t>
  </si>
  <si>
    <t>28</t>
  </si>
  <si>
    <t>Federal Income Taxes</t>
  </si>
  <si>
    <t>Account</t>
  </si>
  <si>
    <t>No.</t>
  </si>
  <si>
    <t>10a</t>
  </si>
  <si>
    <t xml:space="preserve"> </t>
  </si>
  <si>
    <t>W/C Line No.</t>
  </si>
  <si>
    <t>Account Description</t>
  </si>
  <si>
    <t>Puget Sound Energy</t>
  </si>
  <si>
    <t>35a</t>
  </si>
  <si>
    <t>Gas</t>
  </si>
  <si>
    <t>Electric</t>
  </si>
  <si>
    <t>Rate Base Line No.</t>
  </si>
  <si>
    <t>Page 3.06</t>
  </si>
  <si>
    <r>
      <t xml:space="preserve">Impact on </t>
    </r>
    <r>
      <rPr>
        <b/>
        <sz val="11"/>
        <color indexed="8"/>
        <rFont val="Calibri"/>
        <family val="2"/>
      </rPr>
      <t>JHS-3 Page 3.08</t>
    </r>
    <r>
      <rPr>
        <sz val="11"/>
        <color indexed="8"/>
        <rFont val="Calibri"/>
        <family val="2"/>
      </rPr>
      <t xml:space="preserve"> Electric Ratebase:</t>
    </r>
  </si>
  <si>
    <r>
      <t xml:space="preserve">Impact on </t>
    </r>
    <r>
      <rPr>
        <b/>
        <sz val="11"/>
        <color indexed="8"/>
        <rFont val="Calibri"/>
        <family val="2"/>
      </rPr>
      <t>MJS-3 Page 3.08</t>
    </r>
    <r>
      <rPr>
        <sz val="11"/>
        <color indexed="8"/>
        <rFont val="Calibri"/>
        <family val="2"/>
      </rPr>
      <t xml:space="preserve"> Gas Ratebase:</t>
    </r>
  </si>
  <si>
    <r>
      <t xml:space="preserve">Impact on </t>
    </r>
    <r>
      <rPr>
        <b/>
        <sz val="11"/>
        <color indexed="8"/>
        <rFont val="Calibri"/>
        <family val="2"/>
      </rPr>
      <t>JHS-3 and MJS-3 Page 3.09</t>
    </r>
    <r>
      <rPr>
        <sz val="11"/>
        <color indexed="8"/>
        <rFont val="Calibri"/>
        <family val="2"/>
      </rPr>
      <t xml:space="preserve"> Combined Working Capital:</t>
    </r>
  </si>
  <si>
    <r>
      <t xml:space="preserve">Impact on </t>
    </r>
    <r>
      <rPr>
        <b/>
        <sz val="11"/>
        <color indexed="8"/>
        <rFont val="Calibri"/>
        <family val="2"/>
      </rPr>
      <t>JHS-3 and MJS-3 Page 3.07</t>
    </r>
    <r>
      <rPr>
        <sz val="11"/>
        <color indexed="8"/>
        <rFont val="Calibri"/>
        <family val="2"/>
      </rPr>
      <t xml:space="preserve"> Combined Balance Sheet: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</si>
</sst>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.7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190" fontId="17" fillId="0" borderId="0">
      <alignment horizontal="left"/>
      <protection/>
    </xf>
    <xf numFmtId="191" fontId="18" fillId="0" borderId="0">
      <alignment horizontal="left"/>
      <protection/>
    </xf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18" fillId="0" borderId="0" applyFont="0" applyFill="0" applyBorder="0" applyAlignment="0" applyProtection="0"/>
    <xf numFmtId="198" fontId="27" fillId="0" borderId="0" applyFill="0" applyBorder="0" applyAlignment="0">
      <protection/>
    </xf>
    <xf numFmtId="0" fontId="66" fillId="27" borderId="1" applyNumberFormat="0" applyAlignment="0" applyProtection="0"/>
    <xf numFmtId="0" fontId="67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99" fontId="30" fillId="0" borderId="0">
      <alignment/>
      <protection locked="0"/>
    </xf>
    <xf numFmtId="0" fontId="29" fillId="0" borderId="0">
      <alignment/>
      <protection/>
    </xf>
    <xf numFmtId="0" fontId="31" fillId="0" borderId="0" applyNumberFormat="0" applyAlignment="0">
      <protection/>
    </xf>
    <xf numFmtId="0" fontId="32" fillId="0" borderId="0" applyNumberFormat="0" applyAlignment="0"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0" fillId="0" borderId="0">
      <alignment/>
      <protection/>
    </xf>
    <xf numFmtId="20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192" fontId="19" fillId="0" borderId="0" applyNumberFormat="0" applyFill="0" applyBorder="0" applyProtection="0">
      <alignment horizontal="right"/>
    </xf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14" fontId="2" fillId="31" borderId="5">
      <alignment horizontal="center" vertical="center" wrapText="1"/>
      <protection/>
    </xf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1" applyNumberFormat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41" fontId="33" fillId="34" borderId="10">
      <alignment horizontal="left"/>
      <protection locked="0"/>
    </xf>
    <xf numFmtId="10" fontId="33" fillId="34" borderId="10">
      <alignment horizontal="right"/>
      <protection locked="0"/>
    </xf>
    <xf numFmtId="41" fontId="33" fillId="34" borderId="10">
      <alignment horizontal="left"/>
      <protection locked="0"/>
    </xf>
    <xf numFmtId="0" fontId="4" fillId="29" borderId="0">
      <alignment/>
      <protection/>
    </xf>
    <xf numFmtId="3" fontId="34" fillId="0" borderId="0" applyFill="0" applyBorder="0" applyAlignment="0" applyProtection="0"/>
    <xf numFmtId="0" fontId="76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0" fontId="77" fillId="35" borderId="0" applyNumberFormat="0" applyBorder="0" applyAlignment="0" applyProtection="0"/>
    <xf numFmtId="37" fontId="20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4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37" fontId="0" fillId="0" borderId="0">
      <alignment/>
      <protection/>
    </xf>
    <xf numFmtId="0" fontId="0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78" fillId="27" borderId="15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37" borderId="1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1" fillId="0" borderId="5">
      <alignment horizontal="center"/>
      <protection/>
    </xf>
    <xf numFmtId="3" fontId="5" fillId="0" borderId="0" applyFont="0" applyFill="0" applyBorder="0" applyAlignment="0" applyProtection="0"/>
    <xf numFmtId="0" fontId="5" fillId="38" borderId="0" applyNumberFormat="0" applyFont="0" applyBorder="0" applyAlignment="0" applyProtection="0"/>
    <xf numFmtId="0" fontId="29" fillId="0" borderId="0">
      <alignment/>
      <protection/>
    </xf>
    <xf numFmtId="3" fontId="35" fillId="0" borderId="0" applyFill="0" applyBorder="0" applyAlignment="0" applyProtection="0"/>
    <xf numFmtId="0" fontId="36" fillId="0" borderId="0">
      <alignment/>
      <protection/>
    </xf>
    <xf numFmtId="3" fontId="35" fillId="0" borderId="0" applyFill="0" applyBorder="0" applyAlignment="0" applyProtection="0"/>
    <xf numFmtId="42" fontId="0" fillId="33" borderId="0">
      <alignment/>
      <protection/>
    </xf>
    <xf numFmtId="42" fontId="0" fillId="33" borderId="16">
      <alignment vertical="center"/>
      <protection/>
    </xf>
    <xf numFmtId="0" fontId="2" fillId="33" borderId="17" applyNumberFormat="0">
      <alignment horizontal="center" vertical="center" wrapText="1"/>
      <protection/>
    </xf>
    <xf numFmtId="10" fontId="0" fillId="33" borderId="0">
      <alignment/>
      <protection/>
    </xf>
    <xf numFmtId="201" fontId="0" fillId="33" borderId="0">
      <alignment/>
      <protection/>
    </xf>
    <xf numFmtId="166" fontId="3" fillId="0" borderId="0" applyBorder="0" applyAlignment="0">
      <protection/>
    </xf>
    <xf numFmtId="42" fontId="0" fillId="33" borderId="18">
      <alignment horizontal="left"/>
      <protection/>
    </xf>
    <xf numFmtId="201" fontId="37" fillId="33" borderId="18">
      <alignment horizontal="left"/>
      <protection/>
    </xf>
    <xf numFmtId="166" fontId="3" fillId="0" borderId="0" applyBorder="0" applyAlignment="0">
      <protection/>
    </xf>
    <xf numFmtId="14" fontId="14" fillId="0" borderId="0" applyNumberFormat="0" applyFill="0" applyBorder="0" applyAlignment="0" applyProtection="0"/>
    <xf numFmtId="202" fontId="0" fillId="0" borderId="0" applyFont="0" applyFill="0" applyAlignment="0">
      <protection/>
    </xf>
    <xf numFmtId="4" fontId="9" fillId="34" borderId="19" applyNumberFormat="0" applyProtection="0">
      <alignment vertical="center"/>
    </xf>
    <xf numFmtId="4" fontId="22" fillId="34" borderId="19" applyNumberFormat="0" applyProtection="0">
      <alignment vertical="center"/>
    </xf>
    <xf numFmtId="4" fontId="9" fillId="34" borderId="19" applyNumberFormat="0" applyProtection="0">
      <alignment horizontal="left" vertical="center" indent="1"/>
    </xf>
    <xf numFmtId="0" fontId="9" fillId="34" borderId="19" applyNumberFormat="0" applyProtection="0">
      <alignment horizontal="left" vertical="top" indent="1"/>
    </xf>
    <xf numFmtId="4" fontId="9" fillId="39" borderId="0" applyNumberFormat="0" applyProtection="0">
      <alignment horizontal="left" vertical="center" indent="1"/>
    </xf>
    <xf numFmtId="0" fontId="0" fillId="40" borderId="0" applyNumberFormat="0" applyProtection="0">
      <alignment horizontal="left" vertical="center" indent="1"/>
    </xf>
    <xf numFmtId="4" fontId="8" fillId="41" borderId="19" applyNumberFormat="0" applyProtection="0">
      <alignment horizontal="right" vertical="center"/>
    </xf>
    <xf numFmtId="4" fontId="8" fillId="42" borderId="19" applyNumberFormat="0" applyProtection="0">
      <alignment horizontal="right" vertical="center"/>
    </xf>
    <xf numFmtId="4" fontId="8" fillId="43" borderId="19" applyNumberFormat="0" applyProtection="0">
      <alignment horizontal="right" vertical="center"/>
    </xf>
    <xf numFmtId="4" fontId="8" fillId="44" borderId="19" applyNumberFormat="0" applyProtection="0">
      <alignment horizontal="right" vertical="center"/>
    </xf>
    <xf numFmtId="4" fontId="8" fillId="45" borderId="19" applyNumberFormat="0" applyProtection="0">
      <alignment horizontal="right" vertical="center"/>
    </xf>
    <xf numFmtId="4" fontId="8" fillId="46" borderId="19" applyNumberFormat="0" applyProtection="0">
      <alignment horizontal="right" vertical="center"/>
    </xf>
    <xf numFmtId="4" fontId="8" fillId="47" borderId="19" applyNumberFormat="0" applyProtection="0">
      <alignment horizontal="right" vertical="center"/>
    </xf>
    <xf numFmtId="4" fontId="8" fillId="48" borderId="19" applyNumberFormat="0" applyProtection="0">
      <alignment horizontal="right" vertical="center"/>
    </xf>
    <xf numFmtId="4" fontId="8" fillId="49" borderId="19" applyNumberFormat="0" applyProtection="0">
      <alignment horizontal="right" vertical="center"/>
    </xf>
    <xf numFmtId="4" fontId="9" fillId="50" borderId="2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23" fillId="51" borderId="0" applyNumberFormat="0" applyProtection="0">
      <alignment horizontal="left" vertical="center" indent="1"/>
    </xf>
    <xf numFmtId="4" fontId="8" fillId="39" borderId="19" applyNumberFormat="0" applyProtection="0">
      <alignment horizontal="right" vertical="center"/>
    </xf>
    <xf numFmtId="4" fontId="8" fillId="37" borderId="0" applyNumberFormat="0" applyProtection="0">
      <alignment horizontal="left" vertical="center" indent="1"/>
    </xf>
    <xf numFmtId="4" fontId="8" fillId="39" borderId="0" applyNumberFormat="0" applyProtection="0">
      <alignment horizontal="left" vertical="center" indent="1"/>
    </xf>
    <xf numFmtId="0" fontId="0" fillId="51" borderId="19" applyNumberFormat="0" applyProtection="0">
      <alignment horizontal="left" vertical="center" indent="1"/>
    </xf>
    <xf numFmtId="0" fontId="0" fillId="51" borderId="19" applyNumberFormat="0" applyProtection="0">
      <alignment horizontal="left" vertical="top" indent="1"/>
    </xf>
    <xf numFmtId="0" fontId="0" fillId="39" borderId="19" applyNumberFormat="0" applyProtection="0">
      <alignment horizontal="left" vertical="center" indent="1"/>
    </xf>
    <xf numFmtId="0" fontId="0" fillId="39" borderId="19" applyNumberFormat="0" applyProtection="0">
      <alignment horizontal="left" vertical="top" indent="1"/>
    </xf>
    <xf numFmtId="0" fontId="0" fillId="52" borderId="19" applyNumberFormat="0" applyProtection="0">
      <alignment horizontal="left" vertical="center" indent="1"/>
    </xf>
    <xf numFmtId="0" fontId="0" fillId="52" borderId="19" applyNumberFormat="0" applyProtection="0">
      <alignment horizontal="left" vertical="top" indent="1"/>
    </xf>
    <xf numFmtId="0" fontId="0" fillId="37" borderId="19" applyNumberFormat="0" applyProtection="0">
      <alignment horizontal="left" vertical="center" indent="1"/>
    </xf>
    <xf numFmtId="0" fontId="0" fillId="37" borderId="19" applyNumberFormat="0" applyProtection="0">
      <alignment horizontal="left" vertical="top" indent="1"/>
    </xf>
    <xf numFmtId="0" fontId="0" fillId="0" borderId="0">
      <alignment/>
      <protection/>
    </xf>
    <xf numFmtId="4" fontId="8" fillId="53" borderId="19" applyNumberFormat="0" applyProtection="0">
      <alignment vertical="center"/>
    </xf>
    <xf numFmtId="4" fontId="24" fillId="53" borderId="19" applyNumberFormat="0" applyProtection="0">
      <alignment vertical="center"/>
    </xf>
    <xf numFmtId="4" fontId="8" fillId="53" borderId="19" applyNumberFormat="0" applyProtection="0">
      <alignment horizontal="left" vertical="center" indent="1"/>
    </xf>
    <xf numFmtId="0" fontId="8" fillId="53" borderId="19" applyNumberFormat="0" applyProtection="0">
      <alignment horizontal="left" vertical="top" indent="1"/>
    </xf>
    <xf numFmtId="4" fontId="8" fillId="37" borderId="19" applyNumberFormat="0" applyProtection="0">
      <alignment horizontal="right" vertical="center"/>
    </xf>
    <xf numFmtId="4" fontId="24" fillId="37" borderId="19" applyNumberFormat="0" applyProtection="0">
      <alignment horizontal="right" vertical="center"/>
    </xf>
    <xf numFmtId="4" fontId="8" fillId="39" borderId="19" applyNumberFormat="0" applyProtection="0">
      <alignment horizontal="left" vertical="center" indent="1"/>
    </xf>
    <xf numFmtId="0" fontId="8" fillId="39" borderId="19" applyNumberFormat="0" applyProtection="0">
      <alignment horizontal="left" vertical="top" indent="1"/>
    </xf>
    <xf numFmtId="4" fontId="25" fillId="54" borderId="0" applyNumberFormat="0" applyProtection="0">
      <alignment horizontal="left" vertical="center" indent="1"/>
    </xf>
    <xf numFmtId="4" fontId="10" fillId="37" borderId="19" applyNumberFormat="0" applyProtection="0">
      <alignment horizontal="right" vertical="center"/>
    </xf>
    <xf numFmtId="39" fontId="0" fillId="55" borderId="0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3" fillId="0" borderId="18">
      <alignment/>
      <protection/>
    </xf>
    <xf numFmtId="39" fontId="14" fillId="56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38" fillId="0" borderId="0" applyBorder="0">
      <alignment horizontal="right"/>
      <protection/>
    </xf>
    <xf numFmtId="41" fontId="11" fillId="33" borderId="0">
      <alignment horizontal="left"/>
      <protection/>
    </xf>
    <xf numFmtId="0" fontId="26" fillId="0" borderId="0">
      <alignment/>
      <protection/>
    </xf>
    <xf numFmtId="0" fontId="16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203" fontId="39" fillId="33" borderId="0">
      <alignment horizontal="left" vertical="center"/>
      <protection/>
    </xf>
    <xf numFmtId="0" fontId="2" fillId="33" borderId="0">
      <alignment horizontal="left" wrapText="1"/>
      <protection/>
    </xf>
    <xf numFmtId="0" fontId="40" fillId="0" borderId="0">
      <alignment horizontal="left" vertical="center"/>
      <protection/>
    </xf>
    <xf numFmtId="0" fontId="80" fillId="0" borderId="22" applyNumberFormat="0" applyFill="0" applyAlignment="0" applyProtection="0"/>
    <xf numFmtId="0" fontId="29" fillId="0" borderId="23">
      <alignment/>
      <protection/>
    </xf>
    <xf numFmtId="0" fontId="8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9" fontId="2" fillId="0" borderId="9" xfId="372" applyNumberFormat="1" applyFont="1" applyFill="1" applyBorder="1" applyAlignment="1">
      <alignment/>
      <protection/>
    </xf>
    <xf numFmtId="0" fontId="2" fillId="0" borderId="9" xfId="372" applyNumberFormat="1" applyFont="1" applyFill="1" applyBorder="1" applyAlignment="1">
      <alignment horizontal="center"/>
      <protection/>
    </xf>
    <xf numFmtId="17" fontId="2" fillId="0" borderId="4" xfId="372" applyNumberFormat="1" applyFont="1" applyFill="1" applyBorder="1" applyAlignment="1">
      <alignment horizontal="center"/>
      <protection/>
    </xf>
    <xf numFmtId="49" fontId="2" fillId="0" borderId="9" xfId="372" applyNumberFormat="1" applyFont="1" applyFill="1" applyBorder="1" applyAlignment="1">
      <alignment horizontal="center" wrapText="1"/>
      <protection/>
    </xf>
    <xf numFmtId="49" fontId="2" fillId="0" borderId="24" xfId="372" applyNumberFormat="1" applyFont="1" applyFill="1" applyBorder="1" applyAlignment="1">
      <alignment horizontal="center" wrapText="1"/>
      <protection/>
    </xf>
    <xf numFmtId="166" fontId="2" fillId="0" borderId="24" xfId="243" applyNumberFormat="1" applyFont="1" applyFill="1" applyBorder="1" applyAlignment="1">
      <alignment horizontal="center"/>
    </xf>
    <xf numFmtId="166" fontId="2" fillId="0" borderId="25" xfId="243" applyNumberFormat="1" applyFont="1" applyFill="1" applyBorder="1" applyAlignment="1">
      <alignment horizontal="center"/>
    </xf>
    <xf numFmtId="49" fontId="15" fillId="0" borderId="0" xfId="372" applyNumberFormat="1" applyFont="1" applyFill="1" applyBorder="1" applyAlignment="1">
      <alignment/>
      <protection/>
    </xf>
    <xf numFmtId="0" fontId="2" fillId="0" borderId="0" xfId="372" applyNumberFormat="1" applyFont="1" applyFill="1" applyBorder="1" applyAlignment="1">
      <alignment horizontal="center"/>
      <protection/>
    </xf>
    <xf numFmtId="17" fontId="2" fillId="0" borderId="0" xfId="372" applyNumberFormat="1" applyFont="1" applyFill="1" applyBorder="1" applyAlignment="1">
      <alignment horizontal="center"/>
      <protection/>
    </xf>
    <xf numFmtId="49" fontId="2" fillId="0" borderId="25" xfId="372" applyNumberFormat="1" applyFont="1" applyFill="1" applyBorder="1" applyAlignment="1">
      <alignment horizontal="center" wrapText="1"/>
      <protection/>
    </xf>
    <xf numFmtId="166" fontId="2" fillId="0" borderId="0" xfId="243" applyNumberFormat="1" applyFont="1" applyFill="1" applyBorder="1" applyAlignment="1">
      <alignment horizontal="center"/>
    </xf>
    <xf numFmtId="166" fontId="2" fillId="0" borderId="18" xfId="243" applyNumberFormat="1" applyFont="1" applyFill="1" applyBorder="1" applyAlignment="1">
      <alignment horizontal="center"/>
    </xf>
    <xf numFmtId="41" fontId="2" fillId="0" borderId="18" xfId="372" applyNumberFormat="1" applyFont="1" applyFill="1" applyBorder="1" applyAlignment="1">
      <alignment/>
      <protection/>
    </xf>
    <xf numFmtId="49" fontId="0" fillId="0" borderId="0" xfId="363" applyNumberFormat="1" applyFont="1" applyFill="1" applyAlignment="1">
      <alignment horizontal="left"/>
      <protection/>
    </xf>
    <xf numFmtId="0" fontId="0" fillId="0" borderId="0" xfId="363" applyFont="1" applyFill="1">
      <alignment/>
      <protection/>
    </xf>
    <xf numFmtId="43" fontId="0" fillId="0" borderId="0" xfId="257" applyNumberFormat="1" applyFont="1" applyFill="1" applyAlignment="1">
      <alignment/>
    </xf>
    <xf numFmtId="41" fontId="0" fillId="0" borderId="0" xfId="257" applyNumberFormat="1" applyFont="1" applyFill="1" applyAlignment="1">
      <alignment/>
    </xf>
    <xf numFmtId="166" fontId="0" fillId="0" borderId="0" xfId="257" applyNumberFormat="1" applyFont="1" applyFill="1" applyBorder="1" applyAlignment="1">
      <alignment/>
    </xf>
    <xf numFmtId="49" fontId="0" fillId="0" borderId="9" xfId="344" applyNumberFormat="1" applyFont="1" applyFill="1" applyBorder="1" applyAlignment="1">
      <alignment horizontal="center"/>
      <protection/>
    </xf>
    <xf numFmtId="49" fontId="0" fillId="0" borderId="25" xfId="344" applyNumberFormat="1" applyFont="1" applyFill="1" applyBorder="1" applyAlignment="1">
      <alignment horizontal="center"/>
      <protection/>
    </xf>
    <xf numFmtId="49" fontId="0" fillId="0" borderId="0" xfId="375" applyNumberFormat="1" applyFont="1" applyFill="1" applyBorder="1" applyAlignment="1">
      <alignment horizontal="center"/>
      <protection/>
    </xf>
    <xf numFmtId="49" fontId="0" fillId="0" borderId="0" xfId="375" applyNumberFormat="1" applyFont="1" applyFill="1" applyAlignment="1">
      <alignment horizontal="left"/>
      <protection/>
    </xf>
    <xf numFmtId="0" fontId="0" fillId="0" borderId="0" xfId="375" applyFont="1" applyFill="1">
      <alignment/>
      <protection/>
    </xf>
    <xf numFmtId="41" fontId="0" fillId="0" borderId="0" xfId="243" applyNumberFormat="1" applyFont="1" applyFill="1" applyAlignment="1">
      <alignment/>
    </xf>
    <xf numFmtId="41" fontId="0" fillId="0" borderId="0" xfId="243" applyNumberFormat="1" applyFont="1" applyFill="1" applyBorder="1" applyAlignment="1">
      <alignment/>
    </xf>
    <xf numFmtId="166" fontId="0" fillId="0" borderId="26" xfId="243" applyNumberFormat="1" applyFont="1" applyFill="1" applyBorder="1" applyAlignment="1">
      <alignment/>
    </xf>
    <xf numFmtId="166" fontId="0" fillId="0" borderId="0" xfId="243" applyNumberFormat="1" applyFont="1" applyFill="1" applyBorder="1" applyAlignment="1">
      <alignment/>
    </xf>
    <xf numFmtId="41" fontId="0" fillId="0" borderId="0" xfId="243" applyNumberFormat="1" applyFont="1" applyFill="1" applyBorder="1" applyAlignment="1">
      <alignment horizontal="center"/>
    </xf>
    <xf numFmtId="0" fontId="8" fillId="0" borderId="0" xfId="344" applyFont="1" applyFill="1" applyAlignment="1">
      <alignment horizontal="left"/>
      <protection/>
    </xf>
    <xf numFmtId="0" fontId="8" fillId="0" borderId="0" xfId="344" applyFont="1" applyFill="1">
      <alignment/>
      <protection/>
    </xf>
    <xf numFmtId="0" fontId="8" fillId="0" borderId="0" xfId="344" applyFont="1" applyFill="1" applyBorder="1">
      <alignment/>
      <protection/>
    </xf>
    <xf numFmtId="37" fontId="8" fillId="0" borderId="0" xfId="344" applyNumberFormat="1" applyFont="1" applyFill="1">
      <alignment/>
      <protection/>
    </xf>
    <xf numFmtId="43" fontId="0" fillId="0" borderId="0" xfId="243" applyNumberFormat="1" applyFont="1" applyFill="1" applyAlignment="1">
      <alignment/>
    </xf>
    <xf numFmtId="0" fontId="8" fillId="0" borderId="0" xfId="344" applyFont="1" applyFill="1" applyBorder="1" applyAlignment="1">
      <alignment horizontal="left"/>
      <protection/>
    </xf>
    <xf numFmtId="0" fontId="0" fillId="0" borderId="0" xfId="344" applyFont="1" applyFill="1">
      <alignment/>
      <protection/>
    </xf>
    <xf numFmtId="49" fontId="0" fillId="0" borderId="0" xfId="344" applyNumberFormat="1" applyFont="1" applyFill="1" applyAlignment="1">
      <alignment horizontal="left"/>
      <protection/>
    </xf>
    <xf numFmtId="41" fontId="0" fillId="0" borderId="18" xfId="243" applyNumberFormat="1" applyFont="1" applyFill="1" applyBorder="1" applyAlignment="1">
      <alignment/>
    </xf>
    <xf numFmtId="41" fontId="0" fillId="0" borderId="27" xfId="243" applyNumberFormat="1" applyFont="1" applyFill="1" applyBorder="1" applyAlignment="1">
      <alignment/>
    </xf>
    <xf numFmtId="0" fontId="9" fillId="0" borderId="0" xfId="344" applyFont="1" applyFill="1" applyBorder="1">
      <alignment/>
      <protection/>
    </xf>
    <xf numFmtId="41" fontId="8" fillId="0" borderId="0" xfId="344" applyNumberFormat="1" applyFont="1" applyFill="1" applyBorder="1">
      <alignment/>
      <protection/>
    </xf>
    <xf numFmtId="41" fontId="8" fillId="0" borderId="18" xfId="344" applyNumberFormat="1" applyFont="1" applyFill="1" applyBorder="1">
      <alignment/>
      <protection/>
    </xf>
    <xf numFmtId="49" fontId="0" fillId="0" borderId="0" xfId="375" applyNumberFormat="1" applyFont="1" applyFill="1" applyBorder="1" applyAlignment="1">
      <alignment horizontal="left"/>
      <protection/>
    </xf>
    <xf numFmtId="0" fontId="0" fillId="0" borderId="0" xfId="375" applyFont="1" applyFill="1" applyBorder="1">
      <alignment/>
      <protection/>
    </xf>
    <xf numFmtId="37" fontId="8" fillId="0" borderId="18" xfId="344" applyNumberFormat="1" applyFont="1" applyFill="1" applyBorder="1">
      <alignment/>
      <protection/>
    </xf>
    <xf numFmtId="43" fontId="0" fillId="0" borderId="0" xfId="243" applyNumberFormat="1" applyFont="1" applyFill="1" applyAlignment="1">
      <alignment/>
    </xf>
    <xf numFmtId="0" fontId="8" fillId="0" borderId="28" xfId="344" applyFont="1" applyFill="1" applyBorder="1">
      <alignment/>
      <protection/>
    </xf>
    <xf numFmtId="0" fontId="8" fillId="0" borderId="29" xfId="344" applyFont="1" applyFill="1" applyBorder="1">
      <alignment/>
      <protection/>
    </xf>
    <xf numFmtId="10" fontId="2" fillId="0" borderId="30" xfId="243" applyNumberFormat="1" applyFont="1" applyFill="1" applyBorder="1" applyAlignment="1">
      <alignment horizontal="center"/>
    </xf>
    <xf numFmtId="10" fontId="2" fillId="0" borderId="31" xfId="243" applyNumberFormat="1" applyFont="1" applyFill="1" applyBorder="1" applyAlignment="1">
      <alignment horizontal="center"/>
    </xf>
    <xf numFmtId="37" fontId="0" fillId="0" borderId="0" xfId="351" applyFont="1" applyAlignment="1">
      <alignment horizontal="center"/>
      <protection/>
    </xf>
    <xf numFmtId="37" fontId="0" fillId="0" borderId="0" xfId="351" applyFont="1">
      <alignment/>
      <protection/>
    </xf>
    <xf numFmtId="37" fontId="0" fillId="0" borderId="17" xfId="351" applyFont="1" applyBorder="1" applyAlignment="1">
      <alignment horizontal="center"/>
      <protection/>
    </xf>
    <xf numFmtId="37" fontId="0" fillId="0" borderId="18" xfId="351" applyFont="1" applyBorder="1">
      <alignment/>
      <protection/>
    </xf>
    <xf numFmtId="37" fontId="0" fillId="0" borderId="24" xfId="351" applyFont="1" applyBorder="1">
      <alignment/>
      <protection/>
    </xf>
    <xf numFmtId="37" fontId="0" fillId="0" borderId="4" xfId="351" applyFont="1" applyBorder="1" applyAlignment="1">
      <alignment horizontal="center"/>
      <protection/>
    </xf>
    <xf numFmtId="37" fontId="0" fillId="0" borderId="4" xfId="351" applyFont="1" applyBorder="1">
      <alignment/>
      <protection/>
    </xf>
    <xf numFmtId="37" fontId="0" fillId="0" borderId="25" xfId="351" applyFont="1" applyBorder="1">
      <alignment/>
      <protection/>
    </xf>
    <xf numFmtId="37" fontId="0" fillId="0" borderId="32" xfId="351" applyFont="1" applyBorder="1" applyAlignment="1">
      <alignment horizontal="center"/>
      <protection/>
    </xf>
    <xf numFmtId="37" fontId="0" fillId="0" borderId="0" xfId="351" applyFont="1" quotePrefix="1">
      <alignment/>
      <protection/>
    </xf>
    <xf numFmtId="37" fontId="0" fillId="0" borderId="33" xfId="351" applyFont="1" applyBorder="1">
      <alignment/>
      <protection/>
    </xf>
    <xf numFmtId="37" fontId="0" fillId="0" borderId="16" xfId="351" applyFont="1" applyBorder="1">
      <alignment/>
      <protection/>
    </xf>
    <xf numFmtId="37" fontId="0" fillId="0" borderId="34" xfId="351" applyFont="1" applyBorder="1">
      <alignment/>
      <protection/>
    </xf>
    <xf numFmtId="37" fontId="0" fillId="0" borderId="0" xfId="351" applyFont="1" applyBorder="1">
      <alignment/>
      <protection/>
    </xf>
    <xf numFmtId="37" fontId="2" fillId="0" borderId="16" xfId="351" applyFont="1" applyBorder="1">
      <alignment/>
      <protection/>
    </xf>
    <xf numFmtId="10" fontId="2" fillId="0" borderId="16" xfId="351" applyNumberFormat="1" applyFont="1" applyBorder="1">
      <alignment/>
      <protection/>
    </xf>
    <xf numFmtId="9" fontId="0" fillId="0" borderId="17" xfId="402" applyFont="1" applyBorder="1" applyAlignment="1">
      <alignment horizontal="center"/>
    </xf>
    <xf numFmtId="10" fontId="0" fillId="0" borderId="0" xfId="402" applyNumberFormat="1" applyFont="1" applyAlignment="1">
      <alignment/>
    </xf>
    <xf numFmtId="17" fontId="2" fillId="0" borderId="24" xfId="372" applyNumberFormat="1" applyFont="1" applyFill="1" applyBorder="1" applyAlignment="1">
      <alignment horizontal="center"/>
      <protection/>
    </xf>
    <xf numFmtId="17" fontId="2" fillId="0" borderId="25" xfId="372" applyNumberFormat="1" applyFont="1" applyFill="1" applyBorder="1" applyAlignment="1">
      <alignment horizontal="center"/>
      <protection/>
    </xf>
    <xf numFmtId="166" fontId="2" fillId="0" borderId="4" xfId="243" applyNumberFormat="1" applyFont="1" applyFill="1" applyBorder="1" applyAlignment="1">
      <alignment horizontal="center"/>
    </xf>
    <xf numFmtId="49" fontId="2" fillId="0" borderId="4" xfId="372" applyNumberFormat="1" applyFont="1" applyFill="1" applyBorder="1" applyAlignment="1">
      <alignment horizontal="center" wrapText="1"/>
      <protection/>
    </xf>
    <xf numFmtId="166" fontId="0" fillId="0" borderId="26" xfId="257" applyNumberFormat="1" applyFont="1" applyFill="1" applyBorder="1" applyAlignment="1">
      <alignment/>
    </xf>
    <xf numFmtId="166" fontId="0" fillId="0" borderId="18" xfId="257" applyNumberFormat="1" applyFont="1" applyFill="1" applyBorder="1" applyAlignment="1">
      <alignment/>
    </xf>
    <xf numFmtId="49" fontId="2" fillId="0" borderId="0" xfId="373" applyNumberFormat="1" applyFont="1" applyFill="1" applyBorder="1" applyAlignment="1">
      <alignment/>
      <protection/>
    </xf>
    <xf numFmtId="49" fontId="2" fillId="0" borderId="35" xfId="372" applyNumberFormat="1" applyFont="1" applyFill="1" applyBorder="1" applyAlignment="1">
      <alignment horizontal="center"/>
      <protection/>
    </xf>
    <xf numFmtId="49" fontId="2" fillId="0" borderId="36" xfId="372" applyNumberFormat="1" applyFont="1" applyFill="1" applyBorder="1" applyAlignment="1">
      <alignment horizontal="center"/>
      <protection/>
    </xf>
    <xf numFmtId="41" fontId="0" fillId="0" borderId="18" xfId="363" applyNumberFormat="1" applyFont="1" applyFill="1" applyBorder="1">
      <alignment/>
      <protection/>
    </xf>
    <xf numFmtId="41" fontId="0" fillId="0" borderId="0" xfId="257" applyNumberFormat="1" applyFont="1" applyFill="1" applyBorder="1" applyAlignment="1">
      <alignment/>
    </xf>
    <xf numFmtId="0" fontId="9" fillId="0" borderId="0" xfId="344" applyFont="1" applyFill="1">
      <alignment/>
      <protection/>
    </xf>
    <xf numFmtId="10" fontId="9" fillId="0" borderId="0" xfId="344" applyNumberFormat="1" applyFont="1" applyFill="1">
      <alignment/>
      <protection/>
    </xf>
    <xf numFmtId="0" fontId="0" fillId="0" borderId="0" xfId="372" applyFont="1" applyFill="1">
      <alignment/>
      <protection/>
    </xf>
    <xf numFmtId="49" fontId="0" fillId="0" borderId="9" xfId="363" applyNumberFormat="1" applyFont="1" applyFill="1" applyBorder="1" applyAlignment="1">
      <alignment horizontal="center"/>
      <protection/>
    </xf>
    <xf numFmtId="49" fontId="0" fillId="0" borderId="25" xfId="363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1" fontId="8" fillId="0" borderId="0" xfId="344" applyNumberFormat="1" applyFont="1" applyFill="1">
      <alignment/>
      <protection/>
    </xf>
    <xf numFmtId="49" fontId="0" fillId="0" borderId="9" xfId="375" applyNumberFormat="1" applyFont="1" applyFill="1" applyBorder="1" applyAlignment="1">
      <alignment horizontal="center"/>
      <protection/>
    </xf>
    <xf numFmtId="49" fontId="0" fillId="0" borderId="25" xfId="375" applyNumberFormat="1" applyFont="1" applyFill="1" applyBorder="1" applyAlignment="1">
      <alignment horizontal="center"/>
      <protection/>
    </xf>
    <xf numFmtId="0" fontId="8" fillId="0" borderId="37" xfId="344" applyFont="1" applyFill="1" applyBorder="1">
      <alignment/>
      <protection/>
    </xf>
    <xf numFmtId="166" fontId="8" fillId="0" borderId="0" xfId="344" applyNumberFormat="1" applyFont="1" applyFill="1" applyBorder="1">
      <alignment/>
      <protection/>
    </xf>
    <xf numFmtId="166" fontId="8" fillId="0" borderId="0" xfId="344" applyNumberFormat="1" applyFont="1" applyFill="1">
      <alignment/>
      <protection/>
    </xf>
    <xf numFmtId="37" fontId="0" fillId="0" borderId="0" xfId="378" applyFill="1">
      <alignment/>
      <protection/>
    </xf>
    <xf numFmtId="37" fontId="8" fillId="0" borderId="38" xfId="344" applyNumberFormat="1" applyFont="1" applyFill="1" applyBorder="1">
      <alignment/>
      <protection/>
    </xf>
    <xf numFmtId="49" fontId="0" fillId="0" borderId="39" xfId="363" applyNumberFormat="1" applyFont="1" applyFill="1" applyBorder="1" applyAlignment="1">
      <alignment horizontal="left"/>
      <protection/>
    </xf>
    <xf numFmtId="0" fontId="0" fillId="0" borderId="3" xfId="363" applyFont="1" applyFill="1" applyBorder="1">
      <alignment/>
      <protection/>
    </xf>
    <xf numFmtId="166" fontId="8" fillId="0" borderId="3" xfId="344" applyNumberFormat="1" applyFont="1" applyFill="1" applyBorder="1">
      <alignment/>
      <protection/>
    </xf>
    <xf numFmtId="166" fontId="8" fillId="0" borderId="40" xfId="344" applyNumberFormat="1" applyFont="1" applyFill="1" applyBorder="1">
      <alignment/>
      <protection/>
    </xf>
    <xf numFmtId="0" fontId="8" fillId="0" borderId="39" xfId="344" applyFont="1" applyFill="1" applyBorder="1" applyAlignment="1">
      <alignment horizontal="left"/>
      <protection/>
    </xf>
    <xf numFmtId="0" fontId="8" fillId="0" borderId="3" xfId="344" applyFont="1" applyFill="1" applyBorder="1">
      <alignment/>
      <protection/>
    </xf>
    <xf numFmtId="41" fontId="8" fillId="0" borderId="40" xfId="344" applyNumberFormat="1" applyFont="1" applyFill="1" applyBorder="1">
      <alignment/>
      <protection/>
    </xf>
    <xf numFmtId="49" fontId="0" fillId="0" borderId="39" xfId="375" applyNumberFormat="1" applyFont="1" applyFill="1" applyBorder="1" applyAlignment="1">
      <alignment horizontal="left"/>
      <protection/>
    </xf>
    <xf numFmtId="0" fontId="0" fillId="0" borderId="3" xfId="375" applyFont="1" applyFill="1" applyBorder="1">
      <alignment/>
      <protection/>
    </xf>
    <xf numFmtId="41" fontId="8" fillId="0" borderId="3" xfId="344" applyNumberFormat="1" applyFont="1" applyFill="1" applyBorder="1">
      <alignment/>
      <protection/>
    </xf>
    <xf numFmtId="37" fontId="8" fillId="0" borderId="0" xfId="344" applyNumberFormat="1" applyFont="1" applyFill="1" applyBorder="1">
      <alignment/>
      <protection/>
    </xf>
    <xf numFmtId="0" fontId="9" fillId="0" borderId="9" xfId="344" applyFont="1" applyFill="1" applyBorder="1" applyAlignment="1">
      <alignment horizontal="center"/>
      <protection/>
    </xf>
    <xf numFmtId="0" fontId="9" fillId="0" borderId="37" xfId="344" applyFont="1" applyFill="1" applyBorder="1">
      <alignment/>
      <protection/>
    </xf>
    <xf numFmtId="0" fontId="8" fillId="0" borderId="26" xfId="344" applyFont="1" applyFill="1" applyBorder="1" applyAlignment="1">
      <alignment horizontal="center"/>
      <protection/>
    </xf>
    <xf numFmtId="0" fontId="8" fillId="0" borderId="0" xfId="344" applyFont="1" applyFill="1" applyBorder="1" applyAlignment="1">
      <alignment horizontal="center"/>
      <protection/>
    </xf>
    <xf numFmtId="0" fontId="8" fillId="0" borderId="41" xfId="344" applyFont="1" applyFill="1" applyBorder="1" applyAlignment="1">
      <alignment horizontal="center"/>
      <protection/>
    </xf>
    <xf numFmtId="0" fontId="8" fillId="0" borderId="29" xfId="344" applyFont="1" applyFill="1" applyBorder="1" applyAlignment="1">
      <alignment horizontal="center"/>
      <protection/>
    </xf>
    <xf numFmtId="0" fontId="8" fillId="0" borderId="5" xfId="344" applyFont="1" applyFill="1" applyBorder="1" applyAlignment="1">
      <alignment horizontal="center"/>
      <protection/>
    </xf>
    <xf numFmtId="0" fontId="8" fillId="0" borderId="30" xfId="344" applyFont="1" applyFill="1" applyBorder="1" applyAlignment="1">
      <alignment horizontal="center"/>
      <protection/>
    </xf>
    <xf numFmtId="0" fontId="8" fillId="0" borderId="17" xfId="344" applyFont="1" applyFill="1" applyBorder="1">
      <alignment/>
      <protection/>
    </xf>
    <xf numFmtId="41" fontId="8" fillId="0" borderId="17" xfId="344" applyNumberFormat="1" applyFont="1" applyFill="1" applyBorder="1">
      <alignment/>
      <protection/>
    </xf>
    <xf numFmtId="166" fontId="8" fillId="0" borderId="18" xfId="344" applyNumberFormat="1" applyFont="1" applyFill="1" applyBorder="1">
      <alignment/>
      <protection/>
    </xf>
    <xf numFmtId="41" fontId="8" fillId="0" borderId="16" xfId="344" applyNumberFormat="1" applyFont="1" applyFill="1" applyBorder="1">
      <alignment/>
      <protection/>
    </xf>
    <xf numFmtId="41" fontId="2" fillId="0" borderId="9" xfId="372" applyNumberFormat="1" applyFont="1" applyFill="1" applyBorder="1" applyAlignment="1">
      <alignment horizontal="center" wrapText="1"/>
      <protection/>
    </xf>
    <xf numFmtId="41" fontId="2" fillId="0" borderId="9" xfId="372" applyNumberFormat="1" applyFont="1" applyFill="1" applyBorder="1" applyAlignment="1">
      <alignment horizontal="center"/>
      <protection/>
    </xf>
    <xf numFmtId="0" fontId="63" fillId="0" borderId="0" xfId="354">
      <alignment/>
      <protection/>
    </xf>
    <xf numFmtId="0" fontId="42" fillId="0" borderId="0" xfId="354" applyFont="1" applyAlignment="1">
      <alignment horizontal="right"/>
      <protection/>
    </xf>
    <xf numFmtId="0" fontId="42" fillId="0" borderId="0" xfId="354" applyFont="1" applyAlignment="1">
      <alignment horizontal="centerContinuous"/>
      <protection/>
    </xf>
    <xf numFmtId="0" fontId="63" fillId="0" borderId="0" xfId="354" applyAlignment="1">
      <alignment horizontal="centerContinuous"/>
      <protection/>
    </xf>
    <xf numFmtId="0" fontId="63" fillId="0" borderId="0" xfId="354" applyBorder="1">
      <alignment/>
      <protection/>
    </xf>
    <xf numFmtId="0" fontId="42" fillId="0" borderId="0" xfId="354" applyFont="1" applyBorder="1" applyAlignment="1">
      <alignment horizontal="centerContinuous"/>
      <protection/>
    </xf>
    <xf numFmtId="0" fontId="63" fillId="0" borderId="42" xfId="354" applyBorder="1">
      <alignment/>
      <protection/>
    </xf>
    <xf numFmtId="0" fontId="63" fillId="0" borderId="43" xfId="354" applyBorder="1">
      <alignment/>
      <protection/>
    </xf>
    <xf numFmtId="0" fontId="42" fillId="0" borderId="44" xfId="354" applyFont="1" applyBorder="1" applyAlignment="1">
      <alignment horizontal="center"/>
      <protection/>
    </xf>
    <xf numFmtId="0" fontId="42" fillId="0" borderId="21" xfId="354" applyFont="1" applyBorder="1" applyAlignment="1">
      <alignment horizontal="centerContinuous"/>
      <protection/>
    </xf>
    <xf numFmtId="0" fontId="42" fillId="0" borderId="43" xfId="354" applyFont="1" applyBorder="1" applyAlignment="1">
      <alignment horizontal="centerContinuous"/>
      <protection/>
    </xf>
    <xf numFmtId="0" fontId="42" fillId="0" borderId="45" xfId="354" applyFont="1" applyBorder="1" applyAlignment="1">
      <alignment horizontal="center"/>
      <protection/>
    </xf>
    <xf numFmtId="0" fontId="42" fillId="0" borderId="13" xfId="354" applyFont="1" applyBorder="1">
      <alignment/>
      <protection/>
    </xf>
    <xf numFmtId="0" fontId="42" fillId="0" borderId="46" xfId="354" applyFont="1" applyBorder="1" applyAlignment="1">
      <alignment horizontal="center"/>
      <protection/>
    </xf>
    <xf numFmtId="0" fontId="42" fillId="0" borderId="0" xfId="354" applyFont="1" applyAlignment="1">
      <alignment horizontal="center"/>
      <protection/>
    </xf>
    <xf numFmtId="0" fontId="42" fillId="0" borderId="0" xfId="354" applyFont="1">
      <alignment/>
      <protection/>
    </xf>
    <xf numFmtId="0" fontId="42" fillId="0" borderId="13" xfId="354" applyFont="1" applyBorder="1" applyAlignment="1">
      <alignment horizontal="center"/>
      <protection/>
    </xf>
    <xf numFmtId="0" fontId="42" fillId="0" borderId="47" xfId="354" applyFont="1" applyBorder="1" applyAlignment="1">
      <alignment horizontal="center"/>
      <protection/>
    </xf>
    <xf numFmtId="0" fontId="42" fillId="0" borderId="12" xfId="354" applyFont="1" applyBorder="1" applyAlignment="1">
      <alignment horizontal="center"/>
      <protection/>
    </xf>
    <xf numFmtId="0" fontId="42" fillId="0" borderId="48" xfId="354" applyFont="1" applyFill="1" applyBorder="1" applyAlignment="1">
      <alignment horizontal="center"/>
      <protection/>
    </xf>
    <xf numFmtId="0" fontId="42" fillId="0" borderId="17" xfId="354" applyFont="1" applyBorder="1" applyAlignment="1">
      <alignment horizontal="center"/>
      <protection/>
    </xf>
    <xf numFmtId="0" fontId="63" fillId="0" borderId="45" xfId="354" applyBorder="1">
      <alignment/>
      <protection/>
    </xf>
    <xf numFmtId="0" fontId="63" fillId="0" borderId="13" xfId="354" applyBorder="1">
      <alignment/>
      <protection/>
    </xf>
    <xf numFmtId="0" fontId="63" fillId="0" borderId="46" xfId="354" applyBorder="1">
      <alignment/>
      <protection/>
    </xf>
    <xf numFmtId="0" fontId="63" fillId="0" borderId="0" xfId="354" applyAlignment="1" quotePrefix="1">
      <alignment horizontal="center"/>
      <protection/>
    </xf>
    <xf numFmtId="0" fontId="63" fillId="0" borderId="45" xfId="354" applyBorder="1" applyAlignment="1">
      <alignment horizontal="center"/>
      <protection/>
    </xf>
    <xf numFmtId="0" fontId="63" fillId="0" borderId="45" xfId="354" applyBorder="1" applyAlignment="1">
      <alignment horizontal="left"/>
      <protection/>
    </xf>
    <xf numFmtId="0" fontId="63" fillId="0" borderId="46" xfId="354" applyBorder="1" applyAlignment="1">
      <alignment horizontal="left"/>
      <protection/>
    </xf>
    <xf numFmtId="42" fontId="1" fillId="0" borderId="0" xfId="282" applyNumberFormat="1" applyFont="1" applyAlignment="1">
      <alignment/>
    </xf>
    <xf numFmtId="42" fontId="1" fillId="0" borderId="0" xfId="258" applyNumberFormat="1" applyFont="1" applyAlignment="1">
      <alignment/>
    </xf>
    <xf numFmtId="42" fontId="1" fillId="0" borderId="13" xfId="282" applyNumberFormat="1" applyFont="1" applyBorder="1" applyAlignment="1">
      <alignment/>
    </xf>
    <xf numFmtId="0" fontId="63" fillId="0" borderId="46" xfId="354" applyBorder="1" applyAlignment="1">
      <alignment horizontal="center"/>
      <protection/>
    </xf>
    <xf numFmtId="41" fontId="1" fillId="0" borderId="0" xfId="258" applyNumberFormat="1" applyFont="1" applyAlignment="1">
      <alignment/>
    </xf>
    <xf numFmtId="41" fontId="1" fillId="0" borderId="13" xfId="258" applyNumberFormat="1" applyFont="1" applyBorder="1" applyAlignment="1">
      <alignment/>
    </xf>
    <xf numFmtId="43" fontId="1" fillId="0" borderId="18" xfId="258" applyFont="1" applyBorder="1" applyAlignment="1">
      <alignment/>
    </xf>
    <xf numFmtId="43" fontId="1" fillId="0" borderId="49" xfId="258" applyFont="1" applyBorder="1" applyAlignment="1">
      <alignment/>
    </xf>
    <xf numFmtId="172" fontId="1" fillId="0" borderId="0" xfId="282" applyNumberFormat="1" applyFont="1" applyBorder="1" applyAlignment="1">
      <alignment/>
    </xf>
    <xf numFmtId="172" fontId="1" fillId="0" borderId="13" xfId="282" applyNumberFormat="1" applyFont="1" applyBorder="1" applyAlignment="1">
      <alignment/>
    </xf>
    <xf numFmtId="0" fontId="63" fillId="0" borderId="42" xfId="354" applyBorder="1" applyAlignment="1">
      <alignment horizontal="center"/>
      <protection/>
    </xf>
    <xf numFmtId="0" fontId="63" fillId="0" borderId="21" xfId="354" applyBorder="1" applyAlignment="1">
      <alignment horizontal="left"/>
      <protection/>
    </xf>
    <xf numFmtId="0" fontId="63" fillId="0" borderId="21" xfId="354" applyBorder="1" applyAlignment="1" quotePrefix="1">
      <alignment horizontal="left"/>
      <protection/>
    </xf>
    <xf numFmtId="0" fontId="63" fillId="0" borderId="21" xfId="354" applyBorder="1">
      <alignment/>
      <protection/>
    </xf>
    <xf numFmtId="0" fontId="63" fillId="0" borderId="0" xfId="354" applyBorder="1" applyAlignment="1" quotePrefix="1">
      <alignment horizontal="left" indent="1"/>
      <protection/>
    </xf>
    <xf numFmtId="0" fontId="63" fillId="0" borderId="0" xfId="354" applyBorder="1" applyAlignment="1">
      <alignment horizontal="left" indent="2"/>
      <protection/>
    </xf>
    <xf numFmtId="42" fontId="63" fillId="0" borderId="0" xfId="354" applyNumberFormat="1" applyBorder="1">
      <alignment/>
      <protection/>
    </xf>
    <xf numFmtId="41" fontId="63" fillId="0" borderId="0" xfId="354" applyNumberFormat="1" applyBorder="1">
      <alignment/>
      <protection/>
    </xf>
    <xf numFmtId="0" fontId="63" fillId="0" borderId="0" xfId="354" applyBorder="1" applyAlignment="1">
      <alignment horizontal="left" indent="1"/>
      <protection/>
    </xf>
    <xf numFmtId="172" fontId="1" fillId="0" borderId="16" xfId="283" applyNumberFormat="1" applyFont="1" applyBorder="1" applyAlignment="1">
      <alignment/>
    </xf>
    <xf numFmtId="0" fontId="63" fillId="0" borderId="21" xfId="354" applyBorder="1" applyAlignment="1" quotePrefix="1">
      <alignment horizontal="left" indent="1"/>
      <protection/>
    </xf>
    <xf numFmtId="166" fontId="1" fillId="0" borderId="18" xfId="248" applyNumberFormat="1" applyFont="1" applyBorder="1" applyAlignment="1">
      <alignment/>
    </xf>
    <xf numFmtId="209" fontId="63" fillId="0" borderId="0" xfId="354" applyNumberFormat="1">
      <alignment/>
      <protection/>
    </xf>
    <xf numFmtId="0" fontId="63" fillId="0" borderId="0" xfId="354" applyBorder="1" applyAlignment="1">
      <alignment horizontal="right"/>
      <protection/>
    </xf>
    <xf numFmtId="166" fontId="1" fillId="0" borderId="0" xfId="248" applyNumberFormat="1" applyFont="1" applyBorder="1" applyAlignment="1">
      <alignment/>
    </xf>
    <xf numFmtId="9" fontId="1" fillId="0" borderId="0" xfId="403" applyFont="1" applyBorder="1" applyAlignment="1">
      <alignment/>
    </xf>
    <xf numFmtId="0" fontId="63" fillId="0" borderId="50" xfId="354" applyBorder="1" applyAlignment="1">
      <alignment horizontal="center"/>
      <protection/>
    </xf>
    <xf numFmtId="0" fontId="63" fillId="0" borderId="51" xfId="354" applyBorder="1" applyAlignment="1">
      <alignment horizontal="left" indent="1"/>
      <protection/>
    </xf>
    <xf numFmtId="0" fontId="63" fillId="0" borderId="51" xfId="354" applyBorder="1">
      <alignment/>
      <protection/>
    </xf>
    <xf numFmtId="9" fontId="1" fillId="0" borderId="16" xfId="403" applyFont="1" applyBorder="1" applyAlignment="1">
      <alignment/>
    </xf>
    <xf numFmtId="0" fontId="63" fillId="0" borderId="52" xfId="354" applyBorder="1">
      <alignment/>
      <protection/>
    </xf>
    <xf numFmtId="0" fontId="63" fillId="0" borderId="0" xfId="354" applyAlignment="1">
      <alignment horizontal="center"/>
      <protection/>
    </xf>
    <xf numFmtId="0" fontId="63" fillId="0" borderId="0" xfId="354" applyAlignment="1">
      <alignment/>
      <protection/>
    </xf>
    <xf numFmtId="0" fontId="63" fillId="0" borderId="0" xfId="354" applyBorder="1" applyAlignment="1">
      <alignment horizontal="left"/>
      <protection/>
    </xf>
    <xf numFmtId="0" fontId="9" fillId="0" borderId="39" xfId="344" applyFont="1" applyFill="1" applyBorder="1" applyAlignment="1">
      <alignment horizontal="center"/>
      <protection/>
    </xf>
    <xf numFmtId="0" fontId="9" fillId="0" borderId="3" xfId="344" applyFont="1" applyFill="1" applyBorder="1" applyAlignment="1">
      <alignment horizontal="center"/>
      <protection/>
    </xf>
    <xf numFmtId="0" fontId="9" fillId="0" borderId="40" xfId="344" applyFont="1" applyFill="1" applyBorder="1" applyAlignment="1">
      <alignment horizontal="center"/>
      <protection/>
    </xf>
  </cellXfs>
  <cellStyles count="485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_04 07E Wild Horse Wind Expansion (C) (2)" xfId="24"/>
    <cellStyle name="_4.13E Montana Energy Tax_3.01 Income Statement" xfId="25"/>
    <cellStyle name="_4.13E Montana Energy Tax_4 31 Regulatory Assets and Liabilities  7 06- Exhibit D" xfId="26"/>
    <cellStyle name="_4.13E Montana Energy Tax_4 32 Regulatory Assets and Liabilities  7 06- Exhibit D" xfId="27"/>
    <cellStyle name="_4.13E Montana Energy Tax_Book9" xfId="28"/>
    <cellStyle name="_AURORA WIP" xfId="29"/>
    <cellStyle name="_Book1" xfId="30"/>
    <cellStyle name="_Book1 (2)" xfId="31"/>
    <cellStyle name="_Book1 (2)_04 07E Wild Horse Wind Expansion (C) (2)" xfId="32"/>
    <cellStyle name="_Book1 (2)_3.01 Income Statement" xfId="33"/>
    <cellStyle name="_Book1 (2)_4 31 Regulatory Assets and Liabilities  7 06- Exhibit D" xfId="34"/>
    <cellStyle name="_Book1 (2)_4 32 Regulatory Assets and Liabilities  7 06- Exhibit D" xfId="35"/>
    <cellStyle name="_Book1 (2)_Book9" xfId="36"/>
    <cellStyle name="_Book1_3.01 Income Statement" xfId="37"/>
    <cellStyle name="_Book1_4 31 Regulatory Assets and Liabilities  7 06- Exhibit D" xfId="38"/>
    <cellStyle name="_Book1_4 32 Regulatory Assets and Liabilities  7 06- Exhibit D" xfId="39"/>
    <cellStyle name="_Book1_Book9" xfId="40"/>
    <cellStyle name="_Book2" xfId="41"/>
    <cellStyle name="_Book2_04 07E Wild Horse Wind Expansion (C) (2)" xfId="42"/>
    <cellStyle name="_Book2_3.01 Income Statement" xfId="43"/>
    <cellStyle name="_Book2_4 31 Regulatory Assets and Liabilities  7 06- Exhibit D" xfId="44"/>
    <cellStyle name="_Book2_4 32 Regulatory Assets and Liabilities  7 06- Exhibit D" xfId="45"/>
    <cellStyle name="_Book2_Book9" xfId="46"/>
    <cellStyle name="_Book3" xfId="47"/>
    <cellStyle name="_Book5" xfId="48"/>
    <cellStyle name="_Chelan Debt Forecast 12.19.05" xfId="49"/>
    <cellStyle name="_Chelan Debt Forecast 12.19.05_3.01 Income Statement" xfId="50"/>
    <cellStyle name="_Chelan Debt Forecast 12.19.05_4 31 Regulatory Assets and Liabilities  7 06- Exhibit D" xfId="51"/>
    <cellStyle name="_Chelan Debt Forecast 12.19.05_4 32 Regulatory Assets and Liabilities  7 06- Exhibit D" xfId="52"/>
    <cellStyle name="_Chelan Debt Forecast 12.19.05_Book9" xfId="53"/>
    <cellStyle name="_Copy 11-9 Sumas Proforma - Current" xfId="54"/>
    <cellStyle name="_Costs not in AURORA 06GRC" xfId="55"/>
    <cellStyle name="_Costs not in AURORA 06GRC_04 07E Wild Horse Wind Expansion (C) (2)" xfId="56"/>
    <cellStyle name="_Costs not in AURORA 06GRC_3.01 Income Statement" xfId="57"/>
    <cellStyle name="_Costs not in AURORA 06GRC_4 31 Regulatory Assets and Liabilities  7 06- Exhibit D" xfId="58"/>
    <cellStyle name="_Costs not in AURORA 06GRC_4 32 Regulatory Assets and Liabilities  7 06- Exhibit D" xfId="59"/>
    <cellStyle name="_Costs not in AURORA 06GRC_Book9" xfId="60"/>
    <cellStyle name="_Costs not in AURORA 2006GRC 6.15.06" xfId="61"/>
    <cellStyle name="_Costs not in AURORA 2006GRC 6.15.06_04 07E Wild Horse Wind Expansion (C) (2)" xfId="62"/>
    <cellStyle name="_Costs not in AURORA 2006GRC 6.15.06_3.01 Income Statement" xfId="63"/>
    <cellStyle name="_Costs not in AURORA 2006GRC 6.15.06_4 31 Regulatory Assets and Liabilities  7 06- Exhibit D" xfId="64"/>
    <cellStyle name="_Costs not in AURORA 2006GRC 6.15.06_4 32 Regulatory Assets and Liabilities  7 06- Exhibit D" xfId="65"/>
    <cellStyle name="_Costs not in AURORA 2006GRC 6.15.06_Book9" xfId="66"/>
    <cellStyle name="_Costs not in AURORA 2006GRC w gas price updated" xfId="67"/>
    <cellStyle name="_Costs not in AURORA 2007 Rate Case" xfId="68"/>
    <cellStyle name="_Costs not in AURORA 2007 Rate Case_3.01 Income Statement" xfId="69"/>
    <cellStyle name="_Costs not in AURORA 2007 Rate Case_4 31 Regulatory Assets and Liabilities  7 06- Exhibit D" xfId="70"/>
    <cellStyle name="_Costs not in AURORA 2007 Rate Case_4 32 Regulatory Assets and Liabilities  7 06- Exhibit D" xfId="71"/>
    <cellStyle name="_Costs not in AURORA 2007 Rate Case_Book9" xfId="72"/>
    <cellStyle name="_Costs not in KWI3000 '06Budget" xfId="73"/>
    <cellStyle name="_Costs not in KWI3000 '06Budget_3.01 Income Statement" xfId="74"/>
    <cellStyle name="_Costs not in KWI3000 '06Budget_4 31 Regulatory Assets and Liabilities  7 06- Exhibit D" xfId="75"/>
    <cellStyle name="_Costs not in KWI3000 '06Budget_4 32 Regulatory Assets and Liabilities  7 06- Exhibit D" xfId="76"/>
    <cellStyle name="_Costs not in KWI3000 '06Budget_Book9" xfId="77"/>
    <cellStyle name="_DEM-WP (C) Power Cost 2006GRC Order" xfId="78"/>
    <cellStyle name="_DEM-WP (C) Power Cost 2006GRC Order_04 07E Wild Horse Wind Expansion (C) (2)" xfId="79"/>
    <cellStyle name="_DEM-WP (C) Power Cost 2006GRC Order_3.01 Income Statement" xfId="80"/>
    <cellStyle name="_DEM-WP (C) Power Cost 2006GRC Order_4 31 Regulatory Assets and Liabilities  7 06- Exhibit D" xfId="81"/>
    <cellStyle name="_DEM-WP (C) Power Cost 2006GRC Order_4 32 Regulatory Assets and Liabilities  7 06- Exhibit D" xfId="82"/>
    <cellStyle name="_DEM-WP (C) Power Cost 2006GRC Order_Book9" xfId="83"/>
    <cellStyle name="_DEM-WP Revised (HC) Wild Horse 2006GRC" xfId="84"/>
    <cellStyle name="_DEM-WP(C) Colstrip FOR" xfId="85"/>
    <cellStyle name="_DEM-WP(C) Costs not in AURORA 2006GRC" xfId="86"/>
    <cellStyle name="_DEM-WP(C) Costs not in AURORA 2006GRC_3.01 Income Statement" xfId="87"/>
    <cellStyle name="_DEM-WP(C) Costs not in AURORA 2006GRC_4 31 Regulatory Assets and Liabilities  7 06- Exhibit D" xfId="88"/>
    <cellStyle name="_DEM-WP(C) Costs not in AURORA 2006GRC_4 32 Regulatory Assets and Liabilities  7 06- Exhibit D" xfId="89"/>
    <cellStyle name="_DEM-WP(C) Costs not in AURORA 2006GRC_Book9" xfId="90"/>
    <cellStyle name="_DEM-WP(C) Costs not in AURORA 2007GRC" xfId="91"/>
    <cellStyle name="_DEM-WP(C) Costs not in AURORA 2007PCORC-5.07Update" xfId="92"/>
    <cellStyle name="_DEM-WP(C) Costs not in AURORA 2007PCORC-5.07Update_DEM-WP(C) Production O&amp;M 2009GRC Rebuttal" xfId="93"/>
    <cellStyle name="_DEM-WP(C) Prod O&amp;M 2007GRC" xfId="94"/>
    <cellStyle name="_DEM-WP(C) Rate Year Sumas by Month Update Corrected" xfId="95"/>
    <cellStyle name="_DEM-WP(C) Sumas Proforma 11.5.07" xfId="96"/>
    <cellStyle name="_DEM-WP(C) Westside Hydro Data_051007" xfId="97"/>
    <cellStyle name="_Fixed Gas Transport 1 19 09" xfId="98"/>
    <cellStyle name="_Fuel Prices 4-14" xfId="99"/>
    <cellStyle name="_Fuel Prices 4-14_04 07E Wild Horse Wind Expansion (C) (2)" xfId="100"/>
    <cellStyle name="_Fuel Prices 4-14_3.01 Income Statement" xfId="101"/>
    <cellStyle name="_Fuel Prices 4-14_4 31 Regulatory Assets and Liabilities  7 06- Exhibit D" xfId="102"/>
    <cellStyle name="_Fuel Prices 4-14_4 32 Regulatory Assets and Liabilities  7 06- Exhibit D" xfId="103"/>
    <cellStyle name="_Fuel Prices 4-14_Book9" xfId="104"/>
    <cellStyle name="_Gas Transportation Charges_2009GRC_120308" xfId="105"/>
    <cellStyle name="_NIM 06 Base Case Current Trends" xfId="106"/>
    <cellStyle name="_Portfolio SPlan Base Case.xls Chart 1" xfId="107"/>
    <cellStyle name="_Portfolio SPlan Base Case.xls Chart 2" xfId="108"/>
    <cellStyle name="_Portfolio SPlan Base Case.xls Chart 3" xfId="109"/>
    <cellStyle name="_Power Cost Value Copy 11.30.05 gas 1.09.06 AURORA at 1.10.06" xfId="110"/>
    <cellStyle name="_Power Cost Value Copy 11.30.05 gas 1.09.06 AURORA at 1.10.06_04 07E Wild Horse Wind Expansion (C) (2)" xfId="111"/>
    <cellStyle name="_Power Cost Value Copy 11.30.05 gas 1.09.06 AURORA at 1.10.06_3.01 Income Statement" xfId="112"/>
    <cellStyle name="_Power Cost Value Copy 11.30.05 gas 1.09.06 AURORA at 1.10.06_4 31 Regulatory Assets and Liabilities  7 06- Exhibit D" xfId="113"/>
    <cellStyle name="_Power Cost Value Copy 11.30.05 gas 1.09.06 AURORA at 1.10.06_4 32 Regulatory Assets and Liabilities  7 06- Exhibit D" xfId="114"/>
    <cellStyle name="_Power Cost Value Copy 11.30.05 gas 1.09.06 AURORA at 1.10.06_Book9" xfId="115"/>
    <cellStyle name="_Pro Forma Rev 07 GRC" xfId="116"/>
    <cellStyle name="_Recon to Darrin's 5.11.05 proforma" xfId="117"/>
    <cellStyle name="_Recon to Darrin's 5.11.05 proforma_3.01 Income Statement" xfId="118"/>
    <cellStyle name="_Recon to Darrin's 5.11.05 proforma_4 31 Regulatory Assets and Liabilities  7 06- Exhibit D" xfId="119"/>
    <cellStyle name="_Recon to Darrin's 5.11.05 proforma_4 32 Regulatory Assets and Liabilities  7 06- Exhibit D" xfId="120"/>
    <cellStyle name="_Recon to Darrin's 5.11.05 proforma_Book9" xfId="121"/>
    <cellStyle name="_Revenue" xfId="122"/>
    <cellStyle name="_Revenue_Data" xfId="123"/>
    <cellStyle name="_Revenue_Data_1" xfId="124"/>
    <cellStyle name="_Revenue_Data_Pro Forma Rev 09 GRC" xfId="125"/>
    <cellStyle name="_Revenue_Data_Pro Forma Rev 2010 GRC" xfId="126"/>
    <cellStyle name="_Revenue_Data_Pro Forma Rev 2010 GRC_Preliminary" xfId="127"/>
    <cellStyle name="_Revenue_Data_Revenue (Feb 09 - Jan 10)" xfId="128"/>
    <cellStyle name="_Revenue_Data_Revenue (Jan 09 - Dec 09)" xfId="129"/>
    <cellStyle name="_Revenue_Data_Revenue (Mar 09 - Feb 10)" xfId="130"/>
    <cellStyle name="_Revenue_Data_Volume Exhibit (Jan09 - Dec09)" xfId="131"/>
    <cellStyle name="_Revenue_Mins" xfId="132"/>
    <cellStyle name="_Revenue_Pro Forma Rev 07 GRC" xfId="133"/>
    <cellStyle name="_Revenue_Pro Forma Rev 08 GRC" xfId="134"/>
    <cellStyle name="_Revenue_Pro Forma Rev 09 GRC" xfId="135"/>
    <cellStyle name="_Revenue_Pro Forma Rev 2010 GRC" xfId="136"/>
    <cellStyle name="_Revenue_Pro Forma Rev 2010 GRC_Preliminary" xfId="137"/>
    <cellStyle name="_Revenue_Revenue (Feb 09 - Jan 10)" xfId="138"/>
    <cellStyle name="_Revenue_Revenue (Jan 09 - Dec 09)" xfId="139"/>
    <cellStyle name="_Revenue_Revenue (Mar 09 - Feb 10)" xfId="140"/>
    <cellStyle name="_Revenue_Sheet2" xfId="141"/>
    <cellStyle name="_Revenue_Therms Data" xfId="142"/>
    <cellStyle name="_Revenue_Therms Data Rerun" xfId="143"/>
    <cellStyle name="_Revenue_Volume Exhibit (Jan09 - Dec09)" xfId="144"/>
    <cellStyle name="_Sumas Proforma - 11-09-07" xfId="145"/>
    <cellStyle name="_Sumas Property Taxes v1" xfId="146"/>
    <cellStyle name="_Tenaska Comparison" xfId="147"/>
    <cellStyle name="_Tenaska Comparison_3.01 Income Statement" xfId="148"/>
    <cellStyle name="_Tenaska Comparison_4 31 Regulatory Assets and Liabilities  7 06- Exhibit D" xfId="149"/>
    <cellStyle name="_Tenaska Comparison_4 32 Regulatory Assets and Liabilities  7 06- Exhibit D" xfId="150"/>
    <cellStyle name="_Tenaska Comparison_Book9" xfId="151"/>
    <cellStyle name="_Therms Data" xfId="152"/>
    <cellStyle name="_Therms Data_Pro Forma Rev 09 GRC" xfId="153"/>
    <cellStyle name="_Therms Data_Pro Forma Rev 2010 GRC" xfId="154"/>
    <cellStyle name="_Therms Data_Pro Forma Rev 2010 GRC_Preliminary" xfId="155"/>
    <cellStyle name="_Therms Data_Revenue (Feb 09 - Jan 10)" xfId="156"/>
    <cellStyle name="_Therms Data_Revenue (Jan 09 - Dec 09)" xfId="157"/>
    <cellStyle name="_Therms Data_Revenue (Mar 09 - Feb 10)" xfId="158"/>
    <cellStyle name="_Therms Data_Volume Exhibit (Jan09 - Dec09)" xfId="159"/>
    <cellStyle name="_Value Copy 11 30 05 gas 12 09 05 AURORA at 12 14 05" xfId="160"/>
    <cellStyle name="_Value Copy 11 30 05 gas 12 09 05 AURORA at 12 14 05_04 07E Wild Horse Wind Expansion (C) (2)" xfId="161"/>
    <cellStyle name="_Value Copy 11 30 05 gas 12 09 05 AURORA at 12 14 05_3.01 Income Statement" xfId="162"/>
    <cellStyle name="_Value Copy 11 30 05 gas 12 09 05 AURORA at 12 14 05_4 31 Regulatory Assets and Liabilities  7 06- Exhibit D" xfId="163"/>
    <cellStyle name="_Value Copy 11 30 05 gas 12 09 05 AURORA at 12 14 05_4 32 Regulatory Assets and Liabilities  7 06- Exhibit D" xfId="164"/>
    <cellStyle name="_Value Copy 11 30 05 gas 12 09 05 AURORA at 12 14 05_Book9" xfId="165"/>
    <cellStyle name="_VC 6.15.06 update on 06GRC power costs.xls Chart 1" xfId="166"/>
    <cellStyle name="_VC 6.15.06 update on 06GRC power costs.xls Chart 1_04 07E Wild Horse Wind Expansion (C) (2)" xfId="167"/>
    <cellStyle name="_VC 6.15.06 update on 06GRC power costs.xls Chart 1_3.01 Income Statement" xfId="168"/>
    <cellStyle name="_VC 6.15.06 update on 06GRC power costs.xls Chart 1_4 31 Regulatory Assets and Liabilities  7 06- Exhibit D" xfId="169"/>
    <cellStyle name="_VC 6.15.06 update on 06GRC power costs.xls Chart 1_4 32 Regulatory Assets and Liabilities  7 06- Exhibit D" xfId="170"/>
    <cellStyle name="_VC 6.15.06 update on 06GRC power costs.xls Chart 1_Book9" xfId="171"/>
    <cellStyle name="_VC 6.15.06 update on 06GRC power costs.xls Chart 2" xfId="172"/>
    <cellStyle name="_VC 6.15.06 update on 06GRC power costs.xls Chart 2_04 07E Wild Horse Wind Expansion (C) (2)" xfId="173"/>
    <cellStyle name="_VC 6.15.06 update on 06GRC power costs.xls Chart 2_3.01 Income Statement" xfId="174"/>
    <cellStyle name="_VC 6.15.06 update on 06GRC power costs.xls Chart 2_4 31 Regulatory Assets and Liabilities  7 06- Exhibit D" xfId="175"/>
    <cellStyle name="_VC 6.15.06 update on 06GRC power costs.xls Chart 2_4 32 Regulatory Assets and Liabilities  7 06- Exhibit D" xfId="176"/>
    <cellStyle name="_VC 6.15.06 update on 06GRC power costs.xls Chart 2_Book9" xfId="177"/>
    <cellStyle name="_VC 6.15.06 update on 06GRC power costs.xls Chart 3" xfId="178"/>
    <cellStyle name="_VC 6.15.06 update on 06GRC power costs.xls Chart 3_04 07E Wild Horse Wind Expansion (C) (2)" xfId="179"/>
    <cellStyle name="_VC 6.15.06 update on 06GRC power costs.xls Chart 3_3.01 Income Statement" xfId="180"/>
    <cellStyle name="_VC 6.15.06 update on 06GRC power costs.xls Chart 3_4 31 Regulatory Assets and Liabilities  7 06- Exhibit D" xfId="181"/>
    <cellStyle name="_VC 6.15.06 update on 06GRC power costs.xls Chart 3_4 32 Regulatory Assets and Liabilities  7 06- Exhibit D" xfId="182"/>
    <cellStyle name="_VC 6.15.06 update on 06GRC power costs.xls Chart 3_Book9" xfId="183"/>
    <cellStyle name="0,0&#13;&#10;NA&#13;&#10;" xfId="184"/>
    <cellStyle name="0000" xfId="185"/>
    <cellStyle name="000000" xfId="186"/>
    <cellStyle name="20% - Accent1" xfId="187"/>
    <cellStyle name="20% - Accent1 2" xfId="188"/>
    <cellStyle name="20% - Accent1 3" xfId="189"/>
    <cellStyle name="20% - Accent2" xfId="190"/>
    <cellStyle name="20% - Accent2 2" xfId="191"/>
    <cellStyle name="20% - Accent2 3" xfId="192"/>
    <cellStyle name="20% - Accent3" xfId="193"/>
    <cellStyle name="20% - Accent3 2" xfId="194"/>
    <cellStyle name="20% - Accent3 3" xfId="195"/>
    <cellStyle name="20% - Accent4" xfId="196"/>
    <cellStyle name="20% - Accent4 2" xfId="197"/>
    <cellStyle name="20% - Accent4 3" xfId="198"/>
    <cellStyle name="20% - Accent5" xfId="199"/>
    <cellStyle name="20% - Accent5 2" xfId="200"/>
    <cellStyle name="20% - Accent5 3" xfId="201"/>
    <cellStyle name="20% - Accent6" xfId="202"/>
    <cellStyle name="20% - Accent6 2" xfId="203"/>
    <cellStyle name="20% - Accent6 3" xfId="204"/>
    <cellStyle name="40% - Accent1" xfId="205"/>
    <cellStyle name="40% - Accent1 2" xfId="206"/>
    <cellStyle name="40% - Accent1 3" xfId="207"/>
    <cellStyle name="40% - Accent2" xfId="208"/>
    <cellStyle name="40% - Accent2 2" xfId="209"/>
    <cellStyle name="40% - Accent2 3" xfId="210"/>
    <cellStyle name="40% - Accent3" xfId="211"/>
    <cellStyle name="40% - Accent3 2" xfId="212"/>
    <cellStyle name="40% - Accent3 3" xfId="213"/>
    <cellStyle name="40% - Accent4" xfId="214"/>
    <cellStyle name="40% - Accent4 2" xfId="215"/>
    <cellStyle name="40% - Accent4 3" xfId="216"/>
    <cellStyle name="40% - Accent5" xfId="217"/>
    <cellStyle name="40% - Accent5 2" xfId="218"/>
    <cellStyle name="40% - Accent5 3" xfId="219"/>
    <cellStyle name="40% - Accent6" xfId="220"/>
    <cellStyle name="40% - Accent6 2" xfId="221"/>
    <cellStyle name="40% - Accent6 3" xfId="222"/>
    <cellStyle name="60% - Accent1" xfId="223"/>
    <cellStyle name="60% - Accent2" xfId="224"/>
    <cellStyle name="60% - Accent3" xfId="225"/>
    <cellStyle name="60% - Accent4" xfId="226"/>
    <cellStyle name="60% - Accent5" xfId="227"/>
    <cellStyle name="60% - Accent6" xfId="228"/>
    <cellStyle name="Accent1" xfId="229"/>
    <cellStyle name="Accent2" xfId="230"/>
    <cellStyle name="Accent3" xfId="231"/>
    <cellStyle name="Accent4" xfId="232"/>
    <cellStyle name="Accent5" xfId="233"/>
    <cellStyle name="Accent6" xfId="234"/>
    <cellStyle name="Bad" xfId="235"/>
    <cellStyle name="blank" xfId="236"/>
    <cellStyle name="Calc Currency (0)" xfId="237"/>
    <cellStyle name="Calculation" xfId="238"/>
    <cellStyle name="Check Cell" xfId="239"/>
    <cellStyle name="CheckCell" xfId="240"/>
    <cellStyle name="Comma" xfId="241"/>
    <cellStyle name="Comma [0]" xfId="242"/>
    <cellStyle name="Comma 10" xfId="243"/>
    <cellStyle name="Comma 11" xfId="244"/>
    <cellStyle name="Comma 12" xfId="245"/>
    <cellStyle name="Comma 13" xfId="246"/>
    <cellStyle name="Comma 14" xfId="247"/>
    <cellStyle name="Comma 15" xfId="248"/>
    <cellStyle name="Comma 2" xfId="249"/>
    <cellStyle name="Comma 2 2" xfId="250"/>
    <cellStyle name="Comma 3" xfId="251"/>
    <cellStyle name="Comma 3 2" xfId="252"/>
    <cellStyle name="Comma 4" xfId="253"/>
    <cellStyle name="Comma 4 2" xfId="254"/>
    <cellStyle name="Comma 5" xfId="255"/>
    <cellStyle name="Comma 6" xfId="256"/>
    <cellStyle name="Comma 6 2" xfId="257"/>
    <cellStyle name="Comma 6 3" xfId="258"/>
    <cellStyle name="Comma 7" xfId="259"/>
    <cellStyle name="Comma 8" xfId="260"/>
    <cellStyle name="Comma 9" xfId="261"/>
    <cellStyle name="Comma0" xfId="262"/>
    <cellStyle name="Comma0 - Style2" xfId="263"/>
    <cellStyle name="Comma0 - Style4" xfId="264"/>
    <cellStyle name="Comma0 - Style5" xfId="265"/>
    <cellStyle name="Comma0 2" xfId="266"/>
    <cellStyle name="Comma0 3" xfId="267"/>
    <cellStyle name="Comma0 4" xfId="268"/>
    <cellStyle name="Comma0_00COS Ind Allocators" xfId="269"/>
    <cellStyle name="Comma1 - Style1" xfId="270"/>
    <cellStyle name="Copied" xfId="271"/>
    <cellStyle name="COST1" xfId="272"/>
    <cellStyle name="Curren - Style1" xfId="273"/>
    <cellStyle name="Curren - Style2" xfId="274"/>
    <cellStyle name="Curren - Style5" xfId="275"/>
    <cellStyle name="Curren - Style6" xfId="276"/>
    <cellStyle name="Currency" xfId="277"/>
    <cellStyle name="Currency [0]" xfId="278"/>
    <cellStyle name="Currency 10" xfId="279"/>
    <cellStyle name="Currency 11" xfId="280"/>
    <cellStyle name="Currency 12" xfId="281"/>
    <cellStyle name="Currency 13" xfId="282"/>
    <cellStyle name="Currency 14" xfId="283"/>
    <cellStyle name="Currency 2" xfId="284"/>
    <cellStyle name="Currency 3" xfId="285"/>
    <cellStyle name="Currency 4" xfId="286"/>
    <cellStyle name="Currency 5" xfId="287"/>
    <cellStyle name="Currency 6" xfId="288"/>
    <cellStyle name="Currency 7" xfId="289"/>
    <cellStyle name="Currency 8" xfId="290"/>
    <cellStyle name="Currency 9" xfId="291"/>
    <cellStyle name="Currency0" xfId="292"/>
    <cellStyle name="Date" xfId="293"/>
    <cellStyle name="Date 2" xfId="294"/>
    <cellStyle name="Date 3" xfId="295"/>
    <cellStyle name="Date 4" xfId="296"/>
    <cellStyle name="Entered" xfId="297"/>
    <cellStyle name="Euro" xfId="298"/>
    <cellStyle name="Explanatory Text" xfId="299"/>
    <cellStyle name="Fixed" xfId="300"/>
    <cellStyle name="Fixed3 - Style3" xfId="301"/>
    <cellStyle name="Followed Hyperlink" xfId="302"/>
    <cellStyle name="Good" xfId="303"/>
    <cellStyle name="Grey" xfId="304"/>
    <cellStyle name="Grey 2" xfId="305"/>
    <cellStyle name="Grey 3" xfId="306"/>
    <cellStyle name="Grey 4" xfId="307"/>
    <cellStyle name="Header" xfId="308"/>
    <cellStyle name="Header1" xfId="309"/>
    <cellStyle name="Header2" xfId="310"/>
    <cellStyle name="Heading" xfId="311"/>
    <cellStyle name="Heading 1" xfId="312"/>
    <cellStyle name="Heading 2" xfId="313"/>
    <cellStyle name="Heading 3" xfId="314"/>
    <cellStyle name="Heading 4" xfId="315"/>
    <cellStyle name="Heading1" xfId="316"/>
    <cellStyle name="Heading2" xfId="317"/>
    <cellStyle name="Hyperlink" xfId="318"/>
    <cellStyle name="Input" xfId="319"/>
    <cellStyle name="Input [yellow]" xfId="320"/>
    <cellStyle name="Input [yellow] 2" xfId="321"/>
    <cellStyle name="Input [yellow] 3" xfId="322"/>
    <cellStyle name="Input [yellow] 4" xfId="323"/>
    <cellStyle name="Input Cells" xfId="324"/>
    <cellStyle name="Input Cells Percent" xfId="325"/>
    <cellStyle name="Input Cells_Book9" xfId="326"/>
    <cellStyle name="Lines" xfId="327"/>
    <cellStyle name="LINKED" xfId="328"/>
    <cellStyle name="Linked Cell" xfId="329"/>
    <cellStyle name="modified border" xfId="330"/>
    <cellStyle name="modified border 2" xfId="331"/>
    <cellStyle name="modified border 3" xfId="332"/>
    <cellStyle name="modified border 4" xfId="333"/>
    <cellStyle name="modified border1" xfId="334"/>
    <cellStyle name="modified border1 2" xfId="335"/>
    <cellStyle name="modified border1 3" xfId="336"/>
    <cellStyle name="modified border1 4" xfId="337"/>
    <cellStyle name="Neutral" xfId="338"/>
    <cellStyle name="no dec" xfId="339"/>
    <cellStyle name="Normal - Style1" xfId="340"/>
    <cellStyle name="Normal - Style1 2" xfId="341"/>
    <cellStyle name="Normal - Style1 3" xfId="342"/>
    <cellStyle name="Normal - Style1 4" xfId="343"/>
    <cellStyle name="Normal 10" xfId="344"/>
    <cellStyle name="Normal 10 2" xfId="345"/>
    <cellStyle name="Normal 10 3" xfId="346"/>
    <cellStyle name="Normal 11" xfId="347"/>
    <cellStyle name="Normal 12" xfId="348"/>
    <cellStyle name="Normal 13" xfId="349"/>
    <cellStyle name="Normal 14" xfId="350"/>
    <cellStyle name="Normal 15" xfId="351"/>
    <cellStyle name="Normal 2" xfId="352"/>
    <cellStyle name="Normal 2 2" xfId="353"/>
    <cellStyle name="Normal 2 2 2" xfId="354"/>
    <cellStyle name="Normal 2 2 3" xfId="355"/>
    <cellStyle name="Normal 2 3" xfId="356"/>
    <cellStyle name="Normal 2 4" xfId="357"/>
    <cellStyle name="Normal 2 5" xfId="358"/>
    <cellStyle name="Normal 2 6" xfId="359"/>
    <cellStyle name="Normal 2 7" xfId="360"/>
    <cellStyle name="Normal 2_3.05 Allocation Method 2010 GTR WF" xfId="361"/>
    <cellStyle name="Normal 3" xfId="362"/>
    <cellStyle name="Normal 3 2" xfId="363"/>
    <cellStyle name="Normal 3 3" xfId="364"/>
    <cellStyle name="Normal 3 4" xfId="365"/>
    <cellStyle name="Normal 3 5" xfId="366"/>
    <cellStyle name="Normal 4" xfId="367"/>
    <cellStyle name="Normal 4 2" xfId="368"/>
    <cellStyle name="Normal 4_3.05 Allocation Method 2010 GTR WF" xfId="369"/>
    <cellStyle name="Normal 5" xfId="370"/>
    <cellStyle name="Normal 6" xfId="371"/>
    <cellStyle name="Normal 6 2" xfId="372"/>
    <cellStyle name="Normal 6 3" xfId="373"/>
    <cellStyle name="Normal 7" xfId="374"/>
    <cellStyle name="Normal 7 2" xfId="375"/>
    <cellStyle name="Normal 8" xfId="376"/>
    <cellStyle name="Normal 9" xfId="377"/>
    <cellStyle name="Normal_Book1" xfId="378"/>
    <cellStyle name="Note" xfId="379"/>
    <cellStyle name="Note 10" xfId="380"/>
    <cellStyle name="Note 11" xfId="381"/>
    <cellStyle name="Note 12" xfId="382"/>
    <cellStyle name="Note 2" xfId="383"/>
    <cellStyle name="Note 3" xfId="384"/>
    <cellStyle name="Note 4" xfId="385"/>
    <cellStyle name="Note 5" xfId="386"/>
    <cellStyle name="Note 6" xfId="387"/>
    <cellStyle name="Note 7" xfId="388"/>
    <cellStyle name="Note 8" xfId="389"/>
    <cellStyle name="Note 9" xfId="390"/>
    <cellStyle name="Output" xfId="391"/>
    <cellStyle name="Percen - Style1" xfId="392"/>
    <cellStyle name="Percen - Style2" xfId="393"/>
    <cellStyle name="Percen - Style3" xfId="394"/>
    <cellStyle name="Percent" xfId="395"/>
    <cellStyle name="Percent (0)" xfId="396"/>
    <cellStyle name="Percent [2]" xfId="397"/>
    <cellStyle name="Percent 10" xfId="398"/>
    <cellStyle name="Percent 11" xfId="399"/>
    <cellStyle name="Percent 12" xfId="400"/>
    <cellStyle name="Percent 13" xfId="401"/>
    <cellStyle name="Percent 14" xfId="402"/>
    <cellStyle name="Percent 15" xfId="403"/>
    <cellStyle name="Percent 2" xfId="404"/>
    <cellStyle name="Percent 3" xfId="405"/>
    <cellStyle name="Percent 3 2" xfId="406"/>
    <cellStyle name="Percent 4" xfId="407"/>
    <cellStyle name="Percent 4 2" xfId="408"/>
    <cellStyle name="Percent 5" xfId="409"/>
    <cellStyle name="Percent 6" xfId="410"/>
    <cellStyle name="Percent 7" xfId="411"/>
    <cellStyle name="Percent 8" xfId="412"/>
    <cellStyle name="Percent 9" xfId="413"/>
    <cellStyle name="Processing" xfId="414"/>
    <cellStyle name="PSChar" xfId="415"/>
    <cellStyle name="PSDate" xfId="416"/>
    <cellStyle name="PSDec" xfId="417"/>
    <cellStyle name="PSHeading" xfId="418"/>
    <cellStyle name="PSInt" xfId="419"/>
    <cellStyle name="PSSpacer" xfId="420"/>
    <cellStyle name="purple - Style8" xfId="421"/>
    <cellStyle name="RED" xfId="422"/>
    <cellStyle name="Red - Style7" xfId="423"/>
    <cellStyle name="RED_04 07E Wild Horse Wind Expansion (C) (2)" xfId="424"/>
    <cellStyle name="Report" xfId="425"/>
    <cellStyle name="Report Bar" xfId="426"/>
    <cellStyle name="Report Heading" xfId="427"/>
    <cellStyle name="Report Percent" xfId="428"/>
    <cellStyle name="Report Unit Cost" xfId="429"/>
    <cellStyle name="Reports" xfId="430"/>
    <cellStyle name="Reports Total" xfId="431"/>
    <cellStyle name="Reports Unit Cost Total" xfId="432"/>
    <cellStyle name="Reports_Book9" xfId="433"/>
    <cellStyle name="RevList" xfId="434"/>
    <cellStyle name="round100" xfId="435"/>
    <cellStyle name="SAPBEXaggData" xfId="436"/>
    <cellStyle name="SAPBEXaggDataEmph" xfId="437"/>
    <cellStyle name="SAPBEXaggItem" xfId="438"/>
    <cellStyle name="SAPBEXaggItemX" xfId="439"/>
    <cellStyle name="SAPBEXchaText" xfId="440"/>
    <cellStyle name="SAPBEXchaText 2" xfId="441"/>
    <cellStyle name="SAPBEXexcBad7" xfId="442"/>
    <cellStyle name="SAPBEXexcBad8" xfId="443"/>
    <cellStyle name="SAPBEXexcBad9" xfId="444"/>
    <cellStyle name="SAPBEXexcCritical4" xfId="445"/>
    <cellStyle name="SAPBEXexcCritical5" xfId="446"/>
    <cellStyle name="SAPBEXexcCritical6" xfId="447"/>
    <cellStyle name="SAPBEXexcGood1" xfId="448"/>
    <cellStyle name="SAPBEXexcGood2" xfId="449"/>
    <cellStyle name="SAPBEXexcGood3" xfId="450"/>
    <cellStyle name="SAPBEXfilterDrill" xfId="451"/>
    <cellStyle name="SAPBEXfilterItem" xfId="452"/>
    <cellStyle name="SAPBEXfilterText" xfId="453"/>
    <cellStyle name="SAPBEXformats" xfId="454"/>
    <cellStyle name="SAPBEXheaderItem" xfId="455"/>
    <cellStyle name="SAPBEXheaderText" xfId="456"/>
    <cellStyle name="SAPBEXHLevel0" xfId="457"/>
    <cellStyle name="SAPBEXHLevel0X" xfId="458"/>
    <cellStyle name="SAPBEXHLevel1" xfId="459"/>
    <cellStyle name="SAPBEXHLevel1X" xfId="460"/>
    <cellStyle name="SAPBEXHLevel2" xfId="461"/>
    <cellStyle name="SAPBEXHLevel2X" xfId="462"/>
    <cellStyle name="SAPBEXHLevel3" xfId="463"/>
    <cellStyle name="SAPBEXHLevel3X" xfId="464"/>
    <cellStyle name="SAPBEXinputData" xfId="465"/>
    <cellStyle name="SAPBEXresData" xfId="466"/>
    <cellStyle name="SAPBEXresDataEmph" xfId="467"/>
    <cellStyle name="SAPBEXresItem" xfId="468"/>
    <cellStyle name="SAPBEXresItemX" xfId="469"/>
    <cellStyle name="SAPBEXstdData" xfId="470"/>
    <cellStyle name="SAPBEXstdDataEmph" xfId="471"/>
    <cellStyle name="SAPBEXstdItem" xfId="472"/>
    <cellStyle name="SAPBEXstdItemX" xfId="473"/>
    <cellStyle name="SAPBEXtitle" xfId="474"/>
    <cellStyle name="SAPBEXundefined" xfId="475"/>
    <cellStyle name="shade" xfId="476"/>
    <cellStyle name="StmtTtl1" xfId="477"/>
    <cellStyle name="StmtTtl1 2" xfId="478"/>
    <cellStyle name="StmtTtl1 3" xfId="479"/>
    <cellStyle name="StmtTtl1 4" xfId="480"/>
    <cellStyle name="StmtTtl2" xfId="481"/>
    <cellStyle name="STYL1 - Style1" xfId="482"/>
    <cellStyle name="Style 1" xfId="483"/>
    <cellStyle name="Style 1 2" xfId="484"/>
    <cellStyle name="Style 1 3" xfId="485"/>
    <cellStyle name="Style 1 4" xfId="486"/>
    <cellStyle name="Style 1_3.01 Income Statement" xfId="487"/>
    <cellStyle name="Subtotal" xfId="488"/>
    <cellStyle name="Sub-total" xfId="489"/>
    <cellStyle name="taples Plaza" xfId="490"/>
    <cellStyle name="Tickmark" xfId="491"/>
    <cellStyle name="Title" xfId="492"/>
    <cellStyle name="Title: Major" xfId="493"/>
    <cellStyle name="Title: Minor" xfId="494"/>
    <cellStyle name="Title: Worksheet" xfId="495"/>
    <cellStyle name="Total" xfId="496"/>
    <cellStyle name="Total4 - Style4" xfId="497"/>
    <cellStyle name="Warning Text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11%20GRC\OriginalFiling2011GRC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8" zoomScaleNormal="88" zoomScalePageLayoutView="0" workbookViewId="0" topLeftCell="A1">
      <selection activeCell="Q31" sqref="Q31"/>
    </sheetView>
  </sheetViews>
  <sheetFormatPr defaultColWidth="9.140625" defaultRowHeight="12.75"/>
  <cols>
    <col min="1" max="1" width="4.8515625" style="119" bestFit="1" customWidth="1"/>
    <col min="2" max="2" width="14.00390625" style="119" customWidth="1"/>
    <col min="3" max="3" width="38.00390625" style="119" bestFit="1" customWidth="1"/>
    <col min="4" max="4" width="12.57421875" style="119" customWidth="1"/>
    <col min="5" max="5" width="17.140625" style="119" bestFit="1" customWidth="1"/>
    <col min="6" max="6" width="15.140625" style="119" bestFit="1" customWidth="1"/>
    <col min="7" max="7" width="17.421875" style="119" customWidth="1"/>
    <col min="8" max="10" width="17.140625" style="119" bestFit="1" customWidth="1"/>
    <col min="11" max="11" width="11.421875" style="119" bestFit="1" customWidth="1"/>
    <col min="12" max="12" width="9.140625" style="119" customWidth="1"/>
    <col min="13" max="13" width="23.421875" style="119" customWidth="1"/>
    <col min="14" max="16384" width="9.140625" style="119" customWidth="1"/>
  </cols>
  <sheetData>
    <row r="1" ht="15">
      <c r="K1" s="120" t="s">
        <v>74</v>
      </c>
    </row>
    <row r="2" ht="15">
      <c r="K2" s="120" t="s">
        <v>75</v>
      </c>
    </row>
    <row r="3" ht="15">
      <c r="K3" s="120" t="s">
        <v>165</v>
      </c>
    </row>
    <row r="4" spans="2:11" ht="15">
      <c r="B4" s="121" t="s">
        <v>160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1" ht="15">
      <c r="B5" s="121" t="s">
        <v>37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5">
      <c r="B6" s="121" t="s">
        <v>76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2:11" ht="15">
      <c r="B7" s="121" t="s">
        <v>3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">
      <c r="A8" s="123"/>
      <c r="B8" s="123"/>
      <c r="C8" s="123"/>
      <c r="D8" s="123"/>
      <c r="E8" s="124"/>
      <c r="F8" s="124"/>
      <c r="G8" s="124"/>
      <c r="H8" s="124"/>
      <c r="I8" s="124"/>
      <c r="J8" s="124"/>
      <c r="K8" s="123"/>
    </row>
    <row r="9" spans="1:11" ht="15">
      <c r="A9" s="125"/>
      <c r="B9" s="125"/>
      <c r="C9" s="126"/>
      <c r="D9" s="127" t="s">
        <v>77</v>
      </c>
      <c r="E9" s="128" t="s">
        <v>78</v>
      </c>
      <c r="F9" s="128"/>
      <c r="G9" s="129"/>
      <c r="H9" s="128" t="s">
        <v>79</v>
      </c>
      <c r="I9" s="128"/>
      <c r="J9" s="129"/>
      <c r="K9" s="127" t="s">
        <v>80</v>
      </c>
    </row>
    <row r="10" spans="1:11" ht="15">
      <c r="A10" s="130" t="s">
        <v>151</v>
      </c>
      <c r="B10" s="130" t="s">
        <v>154</v>
      </c>
      <c r="C10" s="131"/>
      <c r="D10" s="132" t="s">
        <v>81</v>
      </c>
      <c r="E10" s="133" t="s">
        <v>82</v>
      </c>
      <c r="F10" s="134"/>
      <c r="G10" s="135" t="s">
        <v>83</v>
      </c>
      <c r="H10" s="133" t="s">
        <v>82</v>
      </c>
      <c r="I10" s="134"/>
      <c r="J10" s="135" t="s">
        <v>83</v>
      </c>
      <c r="K10" s="132" t="s">
        <v>84</v>
      </c>
    </row>
    <row r="11" spans="1:11" ht="15">
      <c r="A11" s="136" t="s">
        <v>155</v>
      </c>
      <c r="B11" s="136" t="s">
        <v>85</v>
      </c>
      <c r="C11" s="137" t="s">
        <v>86</v>
      </c>
      <c r="D11" s="138" t="s">
        <v>87</v>
      </c>
      <c r="E11" s="139" t="s">
        <v>88</v>
      </c>
      <c r="F11" s="139" t="s">
        <v>89</v>
      </c>
      <c r="G11" s="137" t="s">
        <v>88</v>
      </c>
      <c r="H11" s="139" t="s">
        <v>88</v>
      </c>
      <c r="I11" s="139" t="s">
        <v>89</v>
      </c>
      <c r="J11" s="137" t="s">
        <v>88</v>
      </c>
      <c r="K11" s="138" t="s">
        <v>90</v>
      </c>
    </row>
    <row r="12" spans="1:11" ht="15">
      <c r="A12" s="140"/>
      <c r="B12" s="140"/>
      <c r="C12" s="141"/>
      <c r="D12" s="142"/>
      <c r="G12" s="141"/>
      <c r="I12" s="143"/>
      <c r="J12" s="141"/>
      <c r="K12" s="142"/>
    </row>
    <row r="13" spans="1:11" ht="17.25">
      <c r="A13" s="144">
        <f>ROW()</f>
        <v>13</v>
      </c>
      <c r="B13" s="145">
        <v>19000433</v>
      </c>
      <c r="C13" s="141" t="s">
        <v>91</v>
      </c>
      <c r="D13" s="146" t="s">
        <v>92</v>
      </c>
      <c r="E13" s="147">
        <f>'Tax Accounts Revised'!P4</f>
        <v>98908317.53</v>
      </c>
      <c r="F13" s="148">
        <f>G13-E13</f>
        <v>253459.3599999845</v>
      </c>
      <c r="G13" s="149">
        <f>'Tax Accounts Revised'!P50</f>
        <v>99161776.88999999</v>
      </c>
      <c r="H13" s="147">
        <f>'Tax Accounts Revised'!Q4</f>
        <v>21825452.779583335</v>
      </c>
      <c r="I13" s="148">
        <f>J13-H13</f>
        <v>19916764.4131872</v>
      </c>
      <c r="J13" s="149">
        <f>'Tax Accounts Revised'!Q50</f>
        <v>41742217.19277053</v>
      </c>
      <c r="K13" s="150" t="s">
        <v>93</v>
      </c>
    </row>
    <row r="14" spans="1:11" ht="15">
      <c r="A14" s="144">
        <f>ROW()</f>
        <v>14</v>
      </c>
      <c r="B14" s="145" t="s">
        <v>62</v>
      </c>
      <c r="C14" s="141" t="s">
        <v>63</v>
      </c>
      <c r="D14" s="146" t="s">
        <v>94</v>
      </c>
      <c r="E14" s="151">
        <v>0</v>
      </c>
      <c r="F14" s="151">
        <f aca="true" t="shared" si="0" ref="F14:F20">G14-E14</f>
        <v>-253459.84999999998</v>
      </c>
      <c r="G14" s="152">
        <f>'Tax Accounts Revised'!P51</f>
        <v>-253459.84999999998</v>
      </c>
      <c r="H14" s="151">
        <v>0</v>
      </c>
      <c r="I14" s="151">
        <f aca="true" t="shared" si="1" ref="I14:I20">J14-H14</f>
        <v>196181.8830628007</v>
      </c>
      <c r="J14" s="152">
        <f>'Tax Accounts Revised'!Q51</f>
        <v>196181.8830628007</v>
      </c>
      <c r="K14" s="150" t="s">
        <v>95</v>
      </c>
    </row>
    <row r="15" spans="1:11" ht="15">
      <c r="A15" s="144">
        <f>ROW()</f>
        <v>15</v>
      </c>
      <c r="B15" s="145">
        <v>23600033</v>
      </c>
      <c r="C15" s="141" t="s">
        <v>153</v>
      </c>
      <c r="D15" s="146" t="s">
        <v>73</v>
      </c>
      <c r="E15" s="151">
        <f>'Tax Accounts Revised'!P5</f>
        <v>60744622.51</v>
      </c>
      <c r="F15" s="151">
        <f t="shared" si="0"/>
        <v>-3514566.206242241</v>
      </c>
      <c r="G15" s="152">
        <f>'Tax Accounts Revised'!P52</f>
        <v>57230056.30375776</v>
      </c>
      <c r="H15" s="151">
        <f>'Tax Accounts Revised'!Q5</f>
        <v>72563734.14166667</v>
      </c>
      <c r="I15" s="151">
        <f t="shared" si="1"/>
        <v>-25251083.696658902</v>
      </c>
      <c r="J15" s="152">
        <f>'Tax Accounts Revised'!Q52</f>
        <v>47312650.445007764</v>
      </c>
      <c r="K15" s="150" t="s">
        <v>96</v>
      </c>
    </row>
    <row r="16" spans="1:11" ht="15">
      <c r="A16" s="144">
        <f>ROW()</f>
        <v>16</v>
      </c>
      <c r="B16" s="145">
        <v>23600033.1</v>
      </c>
      <c r="C16" s="141" t="s">
        <v>64</v>
      </c>
      <c r="D16" s="146" t="s">
        <v>94</v>
      </c>
      <c r="E16" s="151">
        <v>0</v>
      </c>
      <c r="F16" s="151">
        <f t="shared" si="0"/>
        <v>3514566.696242242</v>
      </c>
      <c r="G16" s="152">
        <f>'Tax Accounts Revised'!P53</f>
        <v>3514566.696242242</v>
      </c>
      <c r="H16" s="151">
        <v>0</v>
      </c>
      <c r="I16" s="151">
        <f t="shared" si="1"/>
        <v>5138137.40040891</v>
      </c>
      <c r="J16" s="152">
        <f>'Tax Accounts Revised'!Q53</f>
        <v>5138137.40040891</v>
      </c>
      <c r="K16" s="150" t="s">
        <v>97</v>
      </c>
    </row>
    <row r="17" spans="1:11" ht="15.75">
      <c r="A17" s="144">
        <f>ROW()</f>
        <v>17</v>
      </c>
      <c r="B17" s="145">
        <v>28200002</v>
      </c>
      <c r="C17" s="141" t="s">
        <v>98</v>
      </c>
      <c r="D17" s="146" t="s">
        <v>70</v>
      </c>
      <c r="E17" s="151">
        <f>'Tax Accounts Revised'!P6</f>
        <v>-330789143.67</v>
      </c>
      <c r="F17" s="151">
        <f t="shared" si="0"/>
        <v>24641242</v>
      </c>
      <c r="G17" s="152">
        <f>'Tax Accounts Revised'!P54</f>
        <v>-306147901.67</v>
      </c>
      <c r="H17" s="151">
        <f>'Tax Accounts Revised'!Q6</f>
        <v>-296944519.2116667</v>
      </c>
      <c r="I17" s="151">
        <f t="shared" si="1"/>
        <v>24564298.380957842</v>
      </c>
      <c r="J17" s="152">
        <f>'Tax Accounts Revised'!Q54</f>
        <v>-272380220.83070886</v>
      </c>
      <c r="K17" s="150" t="s">
        <v>99</v>
      </c>
    </row>
    <row r="18" spans="1:11" ht="15">
      <c r="A18" s="144">
        <f>ROW()</f>
        <v>18</v>
      </c>
      <c r="B18" s="145" t="s">
        <v>65</v>
      </c>
      <c r="C18" s="141" t="s">
        <v>66</v>
      </c>
      <c r="D18" s="146" t="s">
        <v>94</v>
      </c>
      <c r="E18" s="151">
        <v>0</v>
      </c>
      <c r="F18" s="151">
        <f t="shared" si="0"/>
        <v>-24641242</v>
      </c>
      <c r="G18" s="152">
        <f>'Tax Accounts Revised'!P55</f>
        <v>-24641242</v>
      </c>
      <c r="H18" s="151">
        <v>0</v>
      </c>
      <c r="I18" s="151">
        <f t="shared" si="1"/>
        <v>-24564298.38095783</v>
      </c>
      <c r="J18" s="152">
        <f>'Tax Accounts Revised'!Q55</f>
        <v>-24564298.38095783</v>
      </c>
      <c r="K18" s="150" t="s">
        <v>99</v>
      </c>
    </row>
    <row r="19" spans="1:11" ht="15.75">
      <c r="A19" s="144">
        <f>ROW()</f>
        <v>19</v>
      </c>
      <c r="B19" s="145">
        <v>28200121</v>
      </c>
      <c r="C19" s="141" t="s">
        <v>100</v>
      </c>
      <c r="D19" s="146" t="s">
        <v>69</v>
      </c>
      <c r="E19" s="151">
        <f>'Tax Accounts Revised'!P7</f>
        <v>-848068474.42</v>
      </c>
      <c r="F19" s="151">
        <f t="shared" si="0"/>
        <v>41273827</v>
      </c>
      <c r="G19" s="152">
        <f>'Tax Accounts Revised'!P56</f>
        <v>-806794647.42</v>
      </c>
      <c r="H19" s="151">
        <f>'Tax Accounts Revised'!Q7</f>
        <v>-768446596.295</v>
      </c>
      <c r="I19" s="151">
        <f t="shared" si="1"/>
        <v>41414321.80627179</v>
      </c>
      <c r="J19" s="152">
        <f>'Tax Accounts Revised'!Q56</f>
        <v>-727032274.4887282</v>
      </c>
      <c r="K19" s="150" t="s">
        <v>101</v>
      </c>
    </row>
    <row r="20" spans="1:11" ht="15">
      <c r="A20" s="144">
        <f>ROW()</f>
        <v>20</v>
      </c>
      <c r="B20" s="145" t="s">
        <v>67</v>
      </c>
      <c r="C20" s="141" t="s">
        <v>68</v>
      </c>
      <c r="D20" s="146" t="s">
        <v>94</v>
      </c>
      <c r="E20" s="151">
        <v>0</v>
      </c>
      <c r="F20" s="151">
        <f t="shared" si="0"/>
        <v>-41273827</v>
      </c>
      <c r="G20" s="152">
        <f>'Tax Accounts Revised'!P57</f>
        <v>-41273827</v>
      </c>
      <c r="H20" s="151">
        <v>0</v>
      </c>
      <c r="I20" s="151">
        <f t="shared" si="1"/>
        <v>-41414321.806271635</v>
      </c>
      <c r="J20" s="152">
        <f>'Tax Accounts Revised'!Q57</f>
        <v>-41414321.806271635</v>
      </c>
      <c r="K20" s="150" t="s">
        <v>101</v>
      </c>
    </row>
    <row r="21" spans="1:11" ht="15">
      <c r="A21" s="144">
        <f>ROW()</f>
        <v>21</v>
      </c>
      <c r="B21" s="140"/>
      <c r="C21" s="141"/>
      <c r="D21" s="142"/>
      <c r="E21" s="153"/>
      <c r="F21" s="153"/>
      <c r="G21" s="154"/>
      <c r="H21" s="153"/>
      <c r="I21" s="153"/>
      <c r="J21" s="154"/>
      <c r="K21" s="142"/>
    </row>
    <row r="22" spans="1:11" ht="15">
      <c r="A22" s="144">
        <f>ROW()</f>
        <v>22</v>
      </c>
      <c r="B22" s="140"/>
      <c r="C22" s="141" t="s">
        <v>102</v>
      </c>
      <c r="D22" s="142"/>
      <c r="E22" s="155">
        <f>SUM(E13:E21)</f>
        <v>-1019204678.05</v>
      </c>
      <c r="F22" s="155">
        <f>SUM(F13:F21)</f>
        <v>0</v>
      </c>
      <c r="G22" s="156">
        <f>SUM(G13:G21)</f>
        <v>-1019204678.05</v>
      </c>
      <c r="H22" s="155">
        <f>SUM(H13:H21)</f>
        <v>-971001928.5854167</v>
      </c>
      <c r="I22" s="155">
        <f>ROUND(SUM(I13:I21),0)</f>
        <v>0</v>
      </c>
      <c r="J22" s="156">
        <f>SUM(J13:J21)</f>
        <v>-971001928.5854166</v>
      </c>
      <c r="K22" s="142"/>
    </row>
    <row r="23" spans="1:11" ht="15">
      <c r="A23" s="157">
        <f>ROW()</f>
        <v>23</v>
      </c>
      <c r="B23" s="158" t="s">
        <v>103</v>
      </c>
      <c r="C23" s="159"/>
      <c r="D23" s="160"/>
      <c r="E23" s="160"/>
      <c r="F23" s="160"/>
      <c r="G23" s="160"/>
      <c r="H23" s="160"/>
      <c r="I23" s="160"/>
      <c r="J23" s="160"/>
      <c r="K23" s="126"/>
    </row>
    <row r="24" spans="1:11" ht="15">
      <c r="A24" s="144">
        <f>ROW()</f>
        <v>24</v>
      </c>
      <c r="B24" s="161" t="s">
        <v>169</v>
      </c>
      <c r="C24" s="123"/>
      <c r="D24" s="123"/>
      <c r="E24" s="123"/>
      <c r="F24" s="123"/>
      <c r="G24" s="123"/>
      <c r="H24" s="123"/>
      <c r="I24" s="123"/>
      <c r="J24" s="123"/>
      <c r="K24" s="141"/>
    </row>
    <row r="25" spans="1:11" ht="15">
      <c r="A25" s="144">
        <f>ROW()</f>
        <v>25</v>
      </c>
      <c r="B25" s="162" t="s">
        <v>104</v>
      </c>
      <c r="C25" s="123"/>
      <c r="D25" s="123"/>
      <c r="E25" s="123"/>
      <c r="F25" s="123"/>
      <c r="G25" s="123" t="s">
        <v>105</v>
      </c>
      <c r="H25" s="123"/>
      <c r="I25" s="163">
        <f>I13+I14</f>
        <v>20112946.29625</v>
      </c>
      <c r="J25" s="123"/>
      <c r="K25" s="141"/>
    </row>
    <row r="26" spans="1:11" ht="15">
      <c r="A26" s="144">
        <f>ROW()</f>
        <v>26</v>
      </c>
      <c r="B26" s="162" t="s">
        <v>106</v>
      </c>
      <c r="C26" s="123"/>
      <c r="D26" s="123"/>
      <c r="E26" s="123"/>
      <c r="F26" s="123"/>
      <c r="G26" s="123" t="s">
        <v>107</v>
      </c>
      <c r="H26" s="123"/>
      <c r="I26" s="164">
        <f>I15+I16</f>
        <v>-20112946.296249993</v>
      </c>
      <c r="J26" s="123"/>
      <c r="K26" s="141"/>
    </row>
    <row r="27" spans="1:11" ht="15">
      <c r="A27" s="144">
        <f>ROW()</f>
        <v>27</v>
      </c>
      <c r="B27" s="162" t="s">
        <v>108</v>
      </c>
      <c r="C27" s="123"/>
      <c r="D27" s="123"/>
      <c r="E27" s="123"/>
      <c r="F27" s="123"/>
      <c r="G27" s="123" t="s">
        <v>109</v>
      </c>
      <c r="H27" s="123"/>
      <c r="I27" s="164">
        <f>SUM(I17:I20)</f>
        <v>1.7136335372924805E-07</v>
      </c>
      <c r="J27" s="123"/>
      <c r="K27" s="141"/>
    </row>
    <row r="28" spans="1:11" ht="15.75" thickBot="1">
      <c r="A28" s="144">
        <f>ROW()</f>
        <v>28</v>
      </c>
      <c r="B28" s="165" t="s">
        <v>110</v>
      </c>
      <c r="C28" s="123"/>
      <c r="D28" s="123"/>
      <c r="E28" s="123"/>
      <c r="F28" s="123"/>
      <c r="G28" s="123"/>
      <c r="H28" s="123"/>
      <c r="I28" s="166">
        <f>SUM(I25:I27)</f>
        <v>1.7881393432617188E-07</v>
      </c>
      <c r="J28" s="123"/>
      <c r="K28" s="141"/>
    </row>
    <row r="29" spans="1:11" ht="15.75" thickTop="1">
      <c r="A29" s="157">
        <f>ROW()</f>
        <v>29</v>
      </c>
      <c r="B29" s="167" t="s">
        <v>166</v>
      </c>
      <c r="C29" s="160"/>
      <c r="D29" s="160"/>
      <c r="E29" s="160"/>
      <c r="F29" s="160"/>
      <c r="G29" s="160"/>
      <c r="H29" s="160"/>
      <c r="I29" s="123"/>
      <c r="J29" s="160"/>
      <c r="K29" s="126"/>
    </row>
    <row r="30" spans="1:11" ht="15">
      <c r="A30" s="144">
        <f>ROW()</f>
        <v>30</v>
      </c>
      <c r="B30" s="162" t="s">
        <v>111</v>
      </c>
      <c r="C30" s="123"/>
      <c r="D30" s="123"/>
      <c r="E30" s="123"/>
      <c r="F30" s="123"/>
      <c r="G30" s="123" t="s">
        <v>112</v>
      </c>
      <c r="H30" s="123"/>
      <c r="I30" s="164">
        <f>I19</f>
        <v>41414321.80627179</v>
      </c>
      <c r="J30" s="123"/>
      <c r="K30" s="141"/>
    </row>
    <row r="31" spans="1:11" ht="15">
      <c r="A31" s="144">
        <f>ROW()</f>
        <v>31</v>
      </c>
      <c r="B31" s="162" t="s">
        <v>113</v>
      </c>
      <c r="C31" s="123"/>
      <c r="D31" s="123"/>
      <c r="E31" s="123"/>
      <c r="F31" s="123"/>
      <c r="G31" s="123" t="s">
        <v>114</v>
      </c>
      <c r="H31" s="123"/>
      <c r="I31" s="164">
        <f>ROUNDDOWN(I13*0.556653,0)</f>
        <v>11086726</v>
      </c>
      <c r="J31" s="123"/>
      <c r="K31" s="141"/>
    </row>
    <row r="32" spans="1:13" ht="15">
      <c r="A32" s="144">
        <f>ROW()</f>
        <v>32</v>
      </c>
      <c r="B32" s="162" t="s">
        <v>115</v>
      </c>
      <c r="C32" s="123"/>
      <c r="D32" s="123"/>
      <c r="E32" s="123"/>
      <c r="F32" s="123"/>
      <c r="G32" s="123"/>
      <c r="H32" s="123"/>
      <c r="I32" s="168">
        <f>SUM(I30:I31)</f>
        <v>52501047.80627179</v>
      </c>
      <c r="J32" s="123"/>
      <c r="K32" s="141"/>
      <c r="M32" s="169"/>
    </row>
    <row r="33" spans="1:13" ht="15">
      <c r="A33" s="144">
        <f>ROW()</f>
        <v>33</v>
      </c>
      <c r="B33" s="162" t="s">
        <v>116</v>
      </c>
      <c r="C33" s="123"/>
      <c r="D33" s="123"/>
      <c r="E33" s="123"/>
      <c r="F33" s="123"/>
      <c r="G33" s="123" t="s">
        <v>117</v>
      </c>
      <c r="H33" s="123"/>
      <c r="I33" s="164">
        <f>I48</f>
        <v>-17964264.0221499</v>
      </c>
      <c r="J33" s="123"/>
      <c r="K33" s="141"/>
      <c r="M33" s="169"/>
    </row>
    <row r="34" spans="1:13" ht="15.75" thickBot="1">
      <c r="A34" s="144">
        <f>ROW()</f>
        <v>34</v>
      </c>
      <c r="B34" s="165" t="s">
        <v>118</v>
      </c>
      <c r="C34" s="123"/>
      <c r="D34" s="123"/>
      <c r="E34" s="123"/>
      <c r="F34" s="123"/>
      <c r="G34" s="123"/>
      <c r="H34" s="170"/>
      <c r="I34" s="166">
        <f>SUM(I32:I33)</f>
        <v>34536783.784121886</v>
      </c>
      <c r="J34" s="123"/>
      <c r="K34" s="141"/>
      <c r="M34" s="169"/>
    </row>
    <row r="35" spans="1:11" ht="15.75" thickTop="1">
      <c r="A35" s="157">
        <f>ROW()</f>
        <v>35</v>
      </c>
      <c r="B35" s="167" t="s">
        <v>167</v>
      </c>
      <c r="C35" s="160"/>
      <c r="D35" s="160"/>
      <c r="E35" s="160"/>
      <c r="F35" s="160"/>
      <c r="G35" s="160"/>
      <c r="H35" s="160"/>
      <c r="I35" s="160"/>
      <c r="J35" s="160"/>
      <c r="K35" s="126"/>
    </row>
    <row r="36" spans="1:11" ht="15">
      <c r="A36" s="144">
        <f>ROW()</f>
        <v>36</v>
      </c>
      <c r="B36" s="162" t="s">
        <v>119</v>
      </c>
      <c r="C36" s="123"/>
      <c r="D36" s="123"/>
      <c r="E36" s="123"/>
      <c r="F36" s="123"/>
      <c r="G36" s="123" t="s">
        <v>120</v>
      </c>
      <c r="H36" s="123"/>
      <c r="I36" s="164">
        <f>I17</f>
        <v>24564298.380957842</v>
      </c>
      <c r="J36" s="123"/>
      <c r="K36" s="141"/>
    </row>
    <row r="37" spans="1:11" ht="15">
      <c r="A37" s="144">
        <f>ROW()</f>
        <v>37</v>
      </c>
      <c r="B37" s="162" t="s">
        <v>121</v>
      </c>
      <c r="C37" s="123"/>
      <c r="D37" s="123"/>
      <c r="E37" s="123"/>
      <c r="F37" s="123"/>
      <c r="G37" s="123" t="s">
        <v>122</v>
      </c>
      <c r="H37" s="123"/>
      <c r="I37" s="164">
        <f>ROUNDUP(I13*0.443347,0)+0.5</f>
        <v>8830038.5</v>
      </c>
      <c r="J37" s="123"/>
      <c r="K37" s="141"/>
    </row>
    <row r="38" spans="1:11" ht="15">
      <c r="A38" s="144">
        <f>ROW()</f>
        <v>38</v>
      </c>
      <c r="B38" s="162" t="s">
        <v>123</v>
      </c>
      <c r="C38" s="123"/>
      <c r="D38" s="123"/>
      <c r="E38" s="123"/>
      <c r="F38" s="123"/>
      <c r="G38" s="123"/>
      <c r="H38" s="170"/>
      <c r="I38" s="168">
        <f>SUM(I36:I37)</f>
        <v>33394336.880957842</v>
      </c>
      <c r="J38" s="123"/>
      <c r="K38" s="141"/>
    </row>
    <row r="39" spans="1:11" ht="15">
      <c r="A39" s="144">
        <f>ROW()</f>
        <v>39</v>
      </c>
      <c r="B39" s="162" t="s">
        <v>124</v>
      </c>
      <c r="C39" s="123"/>
      <c r="D39" s="123"/>
      <c r="E39" s="123"/>
      <c r="F39" s="123"/>
      <c r="G39" s="123" t="s">
        <v>125</v>
      </c>
      <c r="H39" s="170"/>
      <c r="I39" s="164">
        <f>I49</f>
        <v>-6593421.982209355</v>
      </c>
      <c r="J39" s="123"/>
      <c r="K39" s="141"/>
    </row>
    <row r="40" spans="1:11" ht="15.75" thickBot="1">
      <c r="A40" s="144">
        <f>ROW()</f>
        <v>40</v>
      </c>
      <c r="B40" s="165" t="s">
        <v>126</v>
      </c>
      <c r="C40" s="123"/>
      <c r="D40" s="123"/>
      <c r="E40" s="123"/>
      <c r="F40" s="123"/>
      <c r="G40" s="123"/>
      <c r="H40" s="170"/>
      <c r="I40" s="166">
        <f>SUM(I38:I39)</f>
        <v>26800914.898748487</v>
      </c>
      <c r="J40" s="123"/>
      <c r="K40" s="141"/>
    </row>
    <row r="41" spans="1:11" ht="15.75" thickTop="1">
      <c r="A41" s="157">
        <f>ROW()</f>
        <v>41</v>
      </c>
      <c r="B41" s="167" t="s">
        <v>168</v>
      </c>
      <c r="C41" s="160"/>
      <c r="D41" s="160"/>
      <c r="E41" s="160"/>
      <c r="F41" s="160"/>
      <c r="G41" s="160"/>
      <c r="H41" s="160"/>
      <c r="I41" s="160"/>
      <c r="J41" s="160"/>
      <c r="K41" s="126"/>
    </row>
    <row r="42" spans="1:11" ht="15">
      <c r="A42" s="144">
        <f>ROW()</f>
        <v>42</v>
      </c>
      <c r="B42" s="162" t="s">
        <v>127</v>
      </c>
      <c r="C42" s="123"/>
      <c r="D42" s="123"/>
      <c r="E42" s="123"/>
      <c r="F42" s="123"/>
      <c r="G42" s="123" t="s">
        <v>128</v>
      </c>
      <c r="H42" s="123"/>
      <c r="I42" s="171">
        <f>(I14+I16)*0.556653</f>
        <v>2969364.8321023774</v>
      </c>
      <c r="J42" s="123"/>
      <c r="K42" s="141"/>
    </row>
    <row r="43" spans="1:11" ht="15">
      <c r="A43" s="144">
        <f>ROW()</f>
        <v>43</v>
      </c>
      <c r="B43" s="162" t="s">
        <v>129</v>
      </c>
      <c r="C43" s="123"/>
      <c r="D43" s="123"/>
      <c r="E43" s="123"/>
      <c r="F43" s="123"/>
      <c r="G43" s="123" t="s">
        <v>114</v>
      </c>
      <c r="H43" s="123"/>
      <c r="I43" s="171">
        <f>ROUNDDOWN(I13*0.556653,0)</f>
        <v>11086726</v>
      </c>
      <c r="J43" s="123"/>
      <c r="K43" s="141"/>
    </row>
    <row r="44" spans="1:11" ht="15">
      <c r="A44" s="144">
        <f>ROW()</f>
        <v>44</v>
      </c>
      <c r="B44" s="162" t="s">
        <v>130</v>
      </c>
      <c r="C44" s="123"/>
      <c r="D44" s="123"/>
      <c r="E44" s="123"/>
      <c r="F44" s="123"/>
      <c r="G44" s="123" t="s">
        <v>131</v>
      </c>
      <c r="H44" s="123"/>
      <c r="I44" s="171">
        <f>ROUNDUP((I14+I16)*0.443347,0)</f>
        <v>2364955</v>
      </c>
      <c r="J44" s="123"/>
      <c r="K44" s="141"/>
    </row>
    <row r="45" spans="1:11" ht="15">
      <c r="A45" s="144">
        <f>ROW()</f>
        <v>45</v>
      </c>
      <c r="B45" s="162" t="s">
        <v>132</v>
      </c>
      <c r="C45" s="123"/>
      <c r="D45" s="123"/>
      <c r="E45" s="123"/>
      <c r="F45" s="123"/>
      <c r="G45" s="123" t="s">
        <v>122</v>
      </c>
      <c r="H45" s="123"/>
      <c r="I45" s="164">
        <f>ROUNDUP(I13*0.443347,0)+0.5</f>
        <v>8830038.5</v>
      </c>
      <c r="J45" s="123"/>
      <c r="K45" s="141"/>
    </row>
    <row r="46" spans="1:11" ht="15.75" thickBot="1">
      <c r="A46" s="144">
        <f>ROW()</f>
        <v>46</v>
      </c>
      <c r="B46" s="165" t="s">
        <v>133</v>
      </c>
      <c r="C46" s="123"/>
      <c r="D46" s="123"/>
      <c r="E46" s="123"/>
      <c r="F46" s="123"/>
      <c r="G46" s="123"/>
      <c r="H46" s="123"/>
      <c r="I46" s="166">
        <f>SUM(I42:I45)</f>
        <v>25251084.332102377</v>
      </c>
      <c r="J46" s="123"/>
      <c r="K46" s="141"/>
    </row>
    <row r="47" spans="1:11" ht="15.75" thickTop="1">
      <c r="A47" s="144">
        <f>ROW()</f>
        <v>47</v>
      </c>
      <c r="B47" s="161" t="s">
        <v>134</v>
      </c>
      <c r="C47" s="123"/>
      <c r="D47" s="123"/>
      <c r="E47" s="123"/>
      <c r="F47" s="123"/>
      <c r="G47" s="123"/>
      <c r="H47" s="123"/>
      <c r="I47" s="123"/>
      <c r="J47" s="123"/>
      <c r="K47" s="141"/>
    </row>
    <row r="48" spans="1:11" ht="15">
      <c r="A48" s="144">
        <f>ROW()</f>
        <v>48</v>
      </c>
      <c r="B48" s="162" t="s">
        <v>135</v>
      </c>
      <c r="C48" s="123"/>
      <c r="D48" s="123"/>
      <c r="E48" s="123"/>
      <c r="F48" s="123"/>
      <c r="G48" s="123"/>
      <c r="H48" s="172">
        <f>I48/$I$51</f>
        <v>0.7114254674355561</v>
      </c>
      <c r="I48" s="171">
        <v>-17964264.0221499</v>
      </c>
      <c r="J48" s="123"/>
      <c r="K48" s="141"/>
    </row>
    <row r="49" spans="1:11" ht="15">
      <c r="A49" s="144">
        <f>ROW()</f>
        <v>49</v>
      </c>
      <c r="B49" s="162" t="s">
        <v>136</v>
      </c>
      <c r="C49" s="123"/>
      <c r="D49" s="123"/>
      <c r="E49" s="123"/>
      <c r="F49" s="123"/>
      <c r="G49" s="123"/>
      <c r="H49" s="172">
        <f>I49/$I$51</f>
        <v>0.26111441637183147</v>
      </c>
      <c r="I49" s="171">
        <v>-6593421.982209355</v>
      </c>
      <c r="J49" s="123"/>
      <c r="K49" s="141"/>
    </row>
    <row r="50" spans="1:11" ht="15">
      <c r="A50" s="144">
        <f>ROW()</f>
        <v>50</v>
      </c>
      <c r="B50" s="162" t="s">
        <v>137</v>
      </c>
      <c r="C50" s="123"/>
      <c r="D50" s="123"/>
      <c r="E50" s="123"/>
      <c r="F50" s="123"/>
      <c r="G50" s="123"/>
      <c r="H50" s="172">
        <f>I50/$I$51</f>
        <v>0.02746011619261242</v>
      </c>
      <c r="I50" s="171">
        <v>-693397.6922996342</v>
      </c>
      <c r="J50" s="123"/>
      <c r="K50" s="141"/>
    </row>
    <row r="51" spans="1:11" ht="15.75" thickBot="1">
      <c r="A51" s="173">
        <f>ROW()</f>
        <v>51</v>
      </c>
      <c r="B51" s="174" t="s">
        <v>138</v>
      </c>
      <c r="C51" s="175"/>
      <c r="D51" s="175"/>
      <c r="E51" s="175"/>
      <c r="F51" s="175"/>
      <c r="G51" s="175"/>
      <c r="H51" s="176">
        <f>I51/$I$51</f>
        <v>1</v>
      </c>
      <c r="I51" s="166">
        <f>SUM(I48:I50)</f>
        <v>-25251083.69665889</v>
      </c>
      <c r="J51" s="175"/>
      <c r="K51" s="177"/>
    </row>
    <row r="52" ht="15.75" thickTop="1">
      <c r="A52" s="178"/>
    </row>
    <row r="53" ht="15">
      <c r="A53" s="179" t="s">
        <v>139</v>
      </c>
    </row>
    <row r="54" ht="15">
      <c r="A54" s="179"/>
    </row>
    <row r="55" spans="1:2" ht="15">
      <c r="A55" s="179"/>
      <c r="B55" s="119" t="s">
        <v>72</v>
      </c>
    </row>
    <row r="56" ht="15">
      <c r="B56" s="119" t="s">
        <v>140</v>
      </c>
    </row>
    <row r="57" ht="15">
      <c r="B57" s="119" t="s">
        <v>141</v>
      </c>
    </row>
    <row r="60" ht="15">
      <c r="B60" s="119" t="s">
        <v>142</v>
      </c>
    </row>
    <row r="61" ht="15">
      <c r="B61" s="119" t="s">
        <v>143</v>
      </c>
    </row>
    <row r="62" ht="15">
      <c r="B62" s="119" t="s">
        <v>144</v>
      </c>
    </row>
    <row r="63" ht="15">
      <c r="B63" s="180" t="s">
        <v>145</v>
      </c>
    </row>
    <row r="64" ht="15">
      <c r="B64" s="119" t="s">
        <v>146</v>
      </c>
    </row>
    <row r="65" ht="15">
      <c r="B65" s="119" t="s">
        <v>147</v>
      </c>
    </row>
  </sheetData>
  <sheetProtection/>
  <printOptions horizontalCentered="1"/>
  <pageMargins left="0.2" right="0.2" top="0.25" bottom="0.75" header="0.25" footer="0.25"/>
  <pageSetup horizontalDpi="600" verticalDpi="600" orientation="landscape" scale="71" r:id="rId1"/>
  <headerFooter>
    <oddHeader xml:space="preserve">&amp;R&amp;"-,Regular"&amp;11
&amp;P of &amp;N              </oddHeader>
  </headerFooter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0" sqref="D50"/>
    </sheetView>
  </sheetViews>
  <sheetFormatPr defaultColWidth="9.140625" defaultRowHeight="12.75"/>
  <cols>
    <col min="1" max="1" width="4.140625" style="30" customWidth="1"/>
    <col min="2" max="2" width="10.8515625" style="31" customWidth="1"/>
    <col min="3" max="3" width="35.140625" style="31" customWidth="1"/>
    <col min="4" max="13" width="12.8515625" style="31" bestFit="1" customWidth="1"/>
    <col min="14" max="17" width="14.57421875" style="31" bestFit="1" customWidth="1"/>
    <col min="18" max="19" width="10.140625" style="31" bestFit="1" customWidth="1"/>
    <col min="20" max="20" width="9.8515625" style="31" customWidth="1"/>
    <col min="21" max="22" width="14.00390625" style="31" bestFit="1" customWidth="1"/>
    <col min="23" max="23" width="14.57421875" style="31" bestFit="1" customWidth="1"/>
    <col min="24" max="24" width="12.140625" style="31" customWidth="1"/>
    <col min="25" max="25" width="13.140625" style="31" customWidth="1"/>
    <col min="26" max="26" width="14.7109375" style="31" bestFit="1" customWidth="1"/>
    <col min="27" max="28" width="11.140625" style="31" bestFit="1" customWidth="1"/>
    <col min="29" max="32" width="12.00390625" style="31" bestFit="1" customWidth="1"/>
    <col min="33" max="33" width="11.140625" style="31" bestFit="1" customWidth="1"/>
    <col min="34" max="34" width="12.00390625" style="31" bestFit="1" customWidth="1"/>
    <col min="35" max="35" width="11.140625" style="31" bestFit="1" customWidth="1"/>
    <col min="36" max="36" width="12.00390625" style="31" bestFit="1" customWidth="1"/>
    <col min="37" max="38" width="11.140625" style="31" bestFit="1" customWidth="1"/>
    <col min="39" max="39" width="12.00390625" style="31" bestFit="1" customWidth="1"/>
    <col min="40" max="41" width="11.140625" style="31" bestFit="1" customWidth="1"/>
    <col min="42" max="42" width="12.00390625" style="31" bestFit="1" customWidth="1"/>
    <col min="43" max="16384" width="9.140625" style="31" customWidth="1"/>
  </cols>
  <sheetData>
    <row r="1" spans="2:14" ht="12.75">
      <c r="B1" s="80" t="s">
        <v>4</v>
      </c>
      <c r="L1" s="80"/>
      <c r="M1" s="81"/>
      <c r="N1" s="81"/>
    </row>
    <row r="2" spans="2:33" ht="25.5">
      <c r="B2" s="1" t="s">
        <v>154</v>
      </c>
      <c r="C2" s="2" t="s">
        <v>159</v>
      </c>
      <c r="D2" s="69">
        <v>40178</v>
      </c>
      <c r="E2" s="3">
        <v>40209</v>
      </c>
      <c r="F2" s="3">
        <v>40237</v>
      </c>
      <c r="G2" s="3">
        <v>40268</v>
      </c>
      <c r="H2" s="3">
        <v>40298</v>
      </c>
      <c r="I2" s="3">
        <v>40329</v>
      </c>
      <c r="J2" s="3">
        <v>40359</v>
      </c>
      <c r="K2" s="3">
        <v>40390</v>
      </c>
      <c r="L2" s="3">
        <v>40421</v>
      </c>
      <c r="M2" s="3">
        <v>40451</v>
      </c>
      <c r="N2" s="3">
        <v>40482</v>
      </c>
      <c r="O2" s="3">
        <v>40512</v>
      </c>
      <c r="P2" s="70">
        <v>40543</v>
      </c>
      <c r="Q2" s="70" t="s">
        <v>2</v>
      </c>
      <c r="R2" s="4" t="s">
        <v>164</v>
      </c>
      <c r="S2" s="4" t="s">
        <v>164</v>
      </c>
      <c r="T2" s="5" t="s">
        <v>158</v>
      </c>
      <c r="U2" s="6" t="s">
        <v>5</v>
      </c>
      <c r="V2" s="71" t="s">
        <v>6</v>
      </c>
      <c r="W2" s="7" t="s">
        <v>59</v>
      </c>
      <c r="X2" s="7" t="s">
        <v>7</v>
      </c>
      <c r="Y2" s="117" t="s">
        <v>150</v>
      </c>
      <c r="Z2" s="82"/>
      <c r="AA2" s="82"/>
      <c r="AB2" s="82"/>
      <c r="AC2" s="82"/>
      <c r="AD2" s="82"/>
      <c r="AE2" s="82"/>
      <c r="AF2" s="82"/>
      <c r="AG2" s="82"/>
    </row>
    <row r="3" spans="1:33" ht="12.75">
      <c r="A3" s="30">
        <v>1</v>
      </c>
      <c r="B3" s="8" t="s">
        <v>10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"/>
      <c r="S3" s="11"/>
      <c r="T3" s="72"/>
      <c r="U3" s="12"/>
      <c r="V3" s="12"/>
      <c r="W3" s="12"/>
      <c r="X3" s="13"/>
      <c r="Y3" s="14"/>
      <c r="Z3" s="82"/>
      <c r="AA3" s="82"/>
      <c r="AB3" s="82"/>
      <c r="AC3" s="82"/>
      <c r="AD3" s="82"/>
      <c r="AE3" s="82"/>
      <c r="AF3" s="82"/>
      <c r="AG3" s="82"/>
    </row>
    <row r="4" spans="1:33" ht="12.75">
      <c r="A4" s="30">
        <v>3</v>
      </c>
      <c r="B4" s="15">
        <v>19000433</v>
      </c>
      <c r="C4" s="1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8">
        <v>70817091.53</v>
      </c>
      <c r="N4" s="18">
        <v>70817091.53</v>
      </c>
      <c r="O4" s="18">
        <v>70817091.53</v>
      </c>
      <c r="P4" s="18">
        <v>98908317.53</v>
      </c>
      <c r="Q4" s="18">
        <f>SUM(D4+P4+SUM(E4:O4)*2)/24</f>
        <v>21825452.779583335</v>
      </c>
      <c r="R4" s="83" t="s">
        <v>161</v>
      </c>
      <c r="S4" s="84" t="s">
        <v>156</v>
      </c>
      <c r="T4" s="84" t="s">
        <v>152</v>
      </c>
      <c r="U4" s="73">
        <f>Q4*T58</f>
        <v>12149202.783517731</v>
      </c>
      <c r="V4" s="19">
        <f>Q4*T59</f>
        <v>9676249.996065604</v>
      </c>
      <c r="W4" s="19">
        <f>Q4</f>
        <v>21825452.779583335</v>
      </c>
      <c r="X4" s="74"/>
      <c r="Y4" s="78"/>
      <c r="Z4" s="16"/>
      <c r="AA4" s="16"/>
      <c r="AB4" s="16"/>
      <c r="AC4" s="16"/>
      <c r="AD4" s="16"/>
      <c r="AE4" s="16"/>
      <c r="AF4" s="16"/>
      <c r="AG4" s="16"/>
    </row>
    <row r="5" spans="1:25" ht="12.75">
      <c r="A5" s="30">
        <v>4</v>
      </c>
      <c r="B5" s="30">
        <v>23600033</v>
      </c>
      <c r="C5" s="85" t="s">
        <v>11</v>
      </c>
      <c r="D5" s="86">
        <v>98112731.53</v>
      </c>
      <c r="E5" s="86">
        <v>92228778.53</v>
      </c>
      <c r="F5" s="86">
        <v>72430586.18</v>
      </c>
      <c r="G5" s="86">
        <v>66949893.18</v>
      </c>
      <c r="H5" s="86">
        <v>66533456.18</v>
      </c>
      <c r="I5" s="86">
        <v>64798721.69</v>
      </c>
      <c r="J5" s="86">
        <v>84598984.04000002</v>
      </c>
      <c r="K5" s="86">
        <v>85402640.04000002</v>
      </c>
      <c r="L5" s="86">
        <v>93450728.04000002</v>
      </c>
      <c r="M5" s="86">
        <v>57043858.53</v>
      </c>
      <c r="N5" s="86">
        <v>58417376.76</v>
      </c>
      <c r="O5" s="86">
        <v>49481109.51</v>
      </c>
      <c r="P5" s="86">
        <v>60744622.51</v>
      </c>
      <c r="Q5" s="86">
        <f>SUM(D5+P5+SUM(E5:O5)*2)/24</f>
        <v>72563734.14166667</v>
      </c>
      <c r="R5" s="20"/>
      <c r="S5" s="21"/>
      <c r="T5" s="21"/>
      <c r="U5" s="19"/>
      <c r="V5" s="19"/>
      <c r="W5" s="19"/>
      <c r="X5" s="19"/>
      <c r="Y5" s="79">
        <f>Q5</f>
        <v>72563734.14166667</v>
      </c>
    </row>
    <row r="6" spans="1:33" ht="12.75">
      <c r="A6" s="30">
        <v>5</v>
      </c>
      <c r="B6" s="23">
        <v>28200002</v>
      </c>
      <c r="C6" s="24" t="s">
        <v>12</v>
      </c>
      <c r="D6" s="25">
        <v>-286369100.67</v>
      </c>
      <c r="E6" s="25">
        <v>-287499100.67</v>
      </c>
      <c r="F6" s="25">
        <v>-288634100.67</v>
      </c>
      <c r="G6" s="25">
        <v>-289543100.67</v>
      </c>
      <c r="H6" s="25">
        <v>-290599100.67</v>
      </c>
      <c r="I6" s="25">
        <v>-291631100.67</v>
      </c>
      <c r="J6" s="25">
        <v>-292311100.67</v>
      </c>
      <c r="K6" s="25">
        <v>-293301100.67</v>
      </c>
      <c r="L6" s="25">
        <v>-294291100.67</v>
      </c>
      <c r="M6" s="25">
        <v>-307378217.67</v>
      </c>
      <c r="N6" s="25">
        <v>-308981767.67</v>
      </c>
      <c r="O6" s="25">
        <v>-310585317.67</v>
      </c>
      <c r="P6" s="25">
        <v>-330789143.67</v>
      </c>
      <c r="Q6" s="25">
        <f>SUM(D6+P6+SUM(E6:O6)*2)/24</f>
        <v>-296944519.2116667</v>
      </c>
      <c r="R6" s="87"/>
      <c r="S6" s="87">
        <v>10</v>
      </c>
      <c r="T6" s="88" t="s">
        <v>148</v>
      </c>
      <c r="U6" s="27"/>
      <c r="V6" s="28">
        <f>Q6</f>
        <v>-296944519.2116667</v>
      </c>
      <c r="W6" s="28">
        <f>Q6</f>
        <v>-296944519.2116667</v>
      </c>
      <c r="X6" s="28"/>
      <c r="Y6" s="29"/>
      <c r="Z6" s="22"/>
      <c r="AA6" s="22"/>
      <c r="AB6" s="22"/>
      <c r="AC6" s="22"/>
      <c r="AD6" s="22"/>
      <c r="AE6" s="22"/>
      <c r="AF6" s="22"/>
      <c r="AG6" s="22"/>
    </row>
    <row r="7" spans="1:25" ht="12.75">
      <c r="A7" s="30">
        <v>6</v>
      </c>
      <c r="B7" s="23">
        <v>28200121</v>
      </c>
      <c r="C7" s="24" t="s">
        <v>13</v>
      </c>
      <c r="D7" s="25">
        <v>-726234885.42</v>
      </c>
      <c r="E7" s="25">
        <v>-729898885.42</v>
      </c>
      <c r="F7" s="25">
        <v>-733562885.42</v>
      </c>
      <c r="G7" s="25">
        <v>-736902981.42</v>
      </c>
      <c r="H7" s="25">
        <v>-742864585.42</v>
      </c>
      <c r="I7" s="25">
        <v>-746592690.42</v>
      </c>
      <c r="J7" s="25">
        <v>-753833489.42</v>
      </c>
      <c r="K7" s="25">
        <v>-758031935.42</v>
      </c>
      <c r="L7" s="25">
        <v>-762230381.42</v>
      </c>
      <c r="M7" s="26">
        <v>-814719157.42</v>
      </c>
      <c r="N7" s="26">
        <v>-823429880.42</v>
      </c>
      <c r="O7" s="26">
        <v>-832140603.42</v>
      </c>
      <c r="P7" s="26">
        <v>-848068474.42</v>
      </c>
      <c r="Q7" s="26">
        <f>SUM(D7+P7+SUM(E7:O7)*2)/24</f>
        <v>-768446596.295</v>
      </c>
      <c r="R7" s="87">
        <v>33</v>
      </c>
      <c r="S7" s="87"/>
      <c r="T7" s="87">
        <v>22</v>
      </c>
      <c r="U7" s="27">
        <f>Q7</f>
        <v>-768446596.295</v>
      </c>
      <c r="V7" s="28"/>
      <c r="W7" s="28">
        <f>Q7</f>
        <v>-768446596.295</v>
      </c>
      <c r="X7" s="28"/>
      <c r="Y7" s="29"/>
    </row>
    <row r="8" spans="1:25" ht="13.5" thickBot="1">
      <c r="A8" s="30">
        <v>7</v>
      </c>
      <c r="B8" s="23" t="s">
        <v>0</v>
      </c>
      <c r="C8" s="24"/>
      <c r="D8" s="38">
        <f aca="true" t="shared" si="0" ref="D8:Q8">SUM(D4:D7)</f>
        <v>-914491254.56</v>
      </c>
      <c r="E8" s="39">
        <f t="shared" si="0"/>
        <v>-925169207.56</v>
      </c>
      <c r="F8" s="39">
        <f t="shared" si="0"/>
        <v>-949766399.91</v>
      </c>
      <c r="G8" s="39">
        <f t="shared" si="0"/>
        <v>-959496188.91</v>
      </c>
      <c r="H8" s="39">
        <f t="shared" si="0"/>
        <v>-966930229.91</v>
      </c>
      <c r="I8" s="39">
        <f t="shared" si="0"/>
        <v>-973425069.4</v>
      </c>
      <c r="J8" s="39">
        <f t="shared" si="0"/>
        <v>-961545606.05</v>
      </c>
      <c r="K8" s="39">
        <f t="shared" si="0"/>
        <v>-965930396.05</v>
      </c>
      <c r="L8" s="39">
        <f t="shared" si="0"/>
        <v>-963070754.05</v>
      </c>
      <c r="M8" s="39">
        <f t="shared" si="0"/>
        <v>-994236425.03</v>
      </c>
      <c r="N8" s="39">
        <f t="shared" si="0"/>
        <v>-1003177179.8</v>
      </c>
      <c r="O8" s="39">
        <f t="shared" si="0"/>
        <v>-1022427720.05</v>
      </c>
      <c r="P8" s="39">
        <f t="shared" si="0"/>
        <v>-1019204678.05</v>
      </c>
      <c r="Q8" s="39">
        <f t="shared" si="0"/>
        <v>-971001928.5854167</v>
      </c>
      <c r="R8" s="22"/>
      <c r="S8" s="22"/>
      <c r="T8" s="22"/>
      <c r="U8" s="28">
        <f>SUM(U4:U7)</f>
        <v>-756297393.5114822</v>
      </c>
      <c r="V8" s="28">
        <f>SUM(V4:V7)</f>
        <v>-287268269.2156011</v>
      </c>
      <c r="W8" s="28">
        <f>SUM(W4:W7)</f>
        <v>-1043565662.7270833</v>
      </c>
      <c r="X8" s="28">
        <f>SUM(X4:X7)</f>
        <v>0</v>
      </c>
      <c r="Y8" s="28">
        <f>SUM(Y4:Y7)</f>
        <v>72563734.14166667</v>
      </c>
    </row>
    <row r="9" spans="1:25" ht="13.5" thickTop="1">
      <c r="A9" s="30">
        <v>8</v>
      </c>
      <c r="B9" s="89"/>
      <c r="C9" s="89"/>
      <c r="D9" s="89"/>
      <c r="E9" s="32"/>
      <c r="F9" s="32"/>
      <c r="G9" s="32"/>
      <c r="H9" s="32"/>
      <c r="I9" s="32"/>
      <c r="J9" s="32"/>
      <c r="K9" s="32"/>
      <c r="L9" s="32"/>
      <c r="M9" s="9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2.75">
      <c r="A10" s="30">
        <v>9</v>
      </c>
      <c r="B10" s="75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9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17" s="32" customFormat="1" ht="12.75">
      <c r="A11" s="30">
        <v>10</v>
      </c>
      <c r="B11" s="40" t="s">
        <v>15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32" customFormat="1" ht="12.75">
      <c r="A12" s="30">
        <v>11</v>
      </c>
      <c r="B12" s="35">
        <v>23600033</v>
      </c>
      <c r="C12" s="32" t="s">
        <v>16</v>
      </c>
      <c r="D12" s="41">
        <v>98112731.53</v>
      </c>
      <c r="E12" s="41">
        <v>92228778.53</v>
      </c>
      <c r="F12" s="41">
        <v>72430586.18</v>
      </c>
      <c r="G12" s="41">
        <v>66949893.18</v>
      </c>
      <c r="H12" s="41">
        <v>66533456.18</v>
      </c>
      <c r="I12" s="41">
        <v>64798721.69</v>
      </c>
      <c r="J12" s="41">
        <v>84598984.04000002</v>
      </c>
      <c r="K12" s="41">
        <v>85402640.04000002</v>
      </c>
      <c r="L12" s="41">
        <v>93450728.04000002</v>
      </c>
      <c r="M12" s="41">
        <v>57043858.53</v>
      </c>
      <c r="N12" s="41">
        <v>58417376.76</v>
      </c>
      <c r="O12" s="41">
        <v>49481109.51</v>
      </c>
      <c r="P12" s="41">
        <v>60744622.51</v>
      </c>
      <c r="Q12" s="41">
        <f>SUM(D12+P12+SUM(E12:O12)*2)/24</f>
        <v>72563734.14166667</v>
      </c>
    </row>
    <row r="13" spans="1:17" s="32" customFormat="1" ht="12.75">
      <c r="A13" s="30">
        <v>12</v>
      </c>
      <c r="B13" s="35">
        <v>23600033</v>
      </c>
      <c r="C13" s="32" t="s">
        <v>17</v>
      </c>
      <c r="D13" s="41">
        <v>98112731.53</v>
      </c>
      <c r="E13" s="41">
        <f>+D13-32330860+E12-D12</f>
        <v>59897918.53</v>
      </c>
      <c r="F13" s="41">
        <f aca="true" t="shared" si="1" ref="F13:L13">+E13+F12-E12</f>
        <v>40099726.18000001</v>
      </c>
      <c r="G13" s="41">
        <f t="shared" si="1"/>
        <v>34619033.18000001</v>
      </c>
      <c r="H13" s="41">
        <f t="shared" si="1"/>
        <v>34202596.180000015</v>
      </c>
      <c r="I13" s="41">
        <f t="shared" si="1"/>
        <v>32467861.690000005</v>
      </c>
      <c r="J13" s="41">
        <f t="shared" si="1"/>
        <v>52268124.04000002</v>
      </c>
      <c r="K13" s="41">
        <f t="shared" si="1"/>
        <v>53071780.04000002</v>
      </c>
      <c r="L13" s="41">
        <f t="shared" si="1"/>
        <v>61119868.04000002</v>
      </c>
      <c r="M13" s="41">
        <v>60744623</v>
      </c>
      <c r="N13" s="41">
        <f>+M13</f>
        <v>60744623</v>
      </c>
      <c r="O13" s="41">
        <f>+N13</f>
        <v>60744623</v>
      </c>
      <c r="P13" s="41">
        <f>+O13</f>
        <v>60744623</v>
      </c>
      <c r="Q13" s="41">
        <f>SUM(D13+P13+SUM(E13:O13)*2)/24</f>
        <v>52450787.84541667</v>
      </c>
    </row>
    <row r="14" spans="1:17" s="32" customFormat="1" ht="12.75">
      <c r="A14" s="30">
        <v>13</v>
      </c>
      <c r="B14" s="35" t="s">
        <v>18</v>
      </c>
      <c r="D14" s="42">
        <f aca="true" t="shared" si="2" ref="D14:P14">+D12-D13</f>
        <v>0</v>
      </c>
      <c r="E14" s="42">
        <f t="shared" si="2"/>
        <v>32330860</v>
      </c>
      <c r="F14" s="42">
        <f t="shared" si="2"/>
        <v>32330860</v>
      </c>
      <c r="G14" s="42">
        <f t="shared" si="2"/>
        <v>32330859.999999993</v>
      </c>
      <c r="H14" s="42">
        <f t="shared" si="2"/>
        <v>32330859.999999985</v>
      </c>
      <c r="I14" s="42">
        <f t="shared" si="2"/>
        <v>32330859.999999993</v>
      </c>
      <c r="J14" s="42">
        <f t="shared" si="2"/>
        <v>32330860</v>
      </c>
      <c r="K14" s="42">
        <f t="shared" si="2"/>
        <v>32330860</v>
      </c>
      <c r="L14" s="42">
        <f t="shared" si="2"/>
        <v>32330860</v>
      </c>
      <c r="M14" s="42">
        <f t="shared" si="2"/>
        <v>-3700764.469999999</v>
      </c>
      <c r="N14" s="42">
        <f t="shared" si="2"/>
        <v>-2327246.240000002</v>
      </c>
      <c r="O14" s="42">
        <f t="shared" si="2"/>
        <v>-11263513.490000002</v>
      </c>
      <c r="P14" s="42">
        <f t="shared" si="2"/>
        <v>-0.49000000208616257</v>
      </c>
      <c r="Q14" s="42">
        <f>SUM(D14+P14+SUM(E14:O14)*2)/24</f>
        <v>20112946.296249997</v>
      </c>
    </row>
    <row r="15" spans="1:17" s="32" customFormat="1" ht="12.75">
      <c r="A15" s="30">
        <v>14</v>
      </c>
      <c r="B15" s="3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32" customFormat="1" ht="12.75">
      <c r="A16" s="30">
        <v>15</v>
      </c>
      <c r="B16" s="35">
        <v>19000433</v>
      </c>
      <c r="C16" s="32" t="s">
        <v>19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70817091.53</v>
      </c>
      <c r="N16" s="41">
        <v>70817091.53</v>
      </c>
      <c r="O16" s="41">
        <v>70817091.53</v>
      </c>
      <c r="P16" s="41">
        <v>98908317.53</v>
      </c>
      <c r="Q16" s="41">
        <f>SUM(D16+P16+SUM(E16:O16)*2)/24</f>
        <v>21825452.779583335</v>
      </c>
    </row>
    <row r="17" spans="1:17" s="32" customFormat="1" ht="12.75">
      <c r="A17" s="30">
        <v>16</v>
      </c>
      <c r="B17" s="35" t="s">
        <v>20</v>
      </c>
      <c r="D17" s="41">
        <f aca="true" t="shared" si="3" ref="D17:P17">+D14</f>
        <v>0</v>
      </c>
      <c r="E17" s="41">
        <f t="shared" si="3"/>
        <v>32330860</v>
      </c>
      <c r="F17" s="41">
        <f t="shared" si="3"/>
        <v>32330860</v>
      </c>
      <c r="G17" s="41">
        <f t="shared" si="3"/>
        <v>32330859.999999993</v>
      </c>
      <c r="H17" s="41">
        <f t="shared" si="3"/>
        <v>32330859.999999985</v>
      </c>
      <c r="I17" s="41">
        <f t="shared" si="3"/>
        <v>32330859.999999993</v>
      </c>
      <c r="J17" s="41">
        <f t="shared" si="3"/>
        <v>32330860</v>
      </c>
      <c r="K17" s="41">
        <f t="shared" si="3"/>
        <v>32330860</v>
      </c>
      <c r="L17" s="41">
        <f t="shared" si="3"/>
        <v>32330860</v>
      </c>
      <c r="M17" s="41">
        <f t="shared" si="3"/>
        <v>-3700764.469999999</v>
      </c>
      <c r="N17" s="41">
        <f t="shared" si="3"/>
        <v>-2327246.240000002</v>
      </c>
      <c r="O17" s="41">
        <f t="shared" si="3"/>
        <v>-11263513.490000002</v>
      </c>
      <c r="P17" s="41">
        <f t="shared" si="3"/>
        <v>-0.49000000208616257</v>
      </c>
      <c r="Q17" s="41">
        <f>SUM(D17+P17+SUM(E17:O17)*2)/24</f>
        <v>20112946.296249997</v>
      </c>
    </row>
    <row r="18" spans="1:17" s="32" customFormat="1" ht="12.75">
      <c r="A18" s="30">
        <v>17</v>
      </c>
      <c r="B18" s="35">
        <v>19000433</v>
      </c>
      <c r="C18" s="32" t="s">
        <v>21</v>
      </c>
      <c r="D18" s="42">
        <f aca="true" t="shared" si="4" ref="D18:P18">SUM(D16:D17)</f>
        <v>0</v>
      </c>
      <c r="E18" s="42">
        <f t="shared" si="4"/>
        <v>32330860</v>
      </c>
      <c r="F18" s="42">
        <f t="shared" si="4"/>
        <v>32330860</v>
      </c>
      <c r="G18" s="42">
        <f t="shared" si="4"/>
        <v>32330859.999999993</v>
      </c>
      <c r="H18" s="42">
        <f t="shared" si="4"/>
        <v>32330859.999999985</v>
      </c>
      <c r="I18" s="42">
        <f t="shared" si="4"/>
        <v>32330859.999999993</v>
      </c>
      <c r="J18" s="42">
        <f t="shared" si="4"/>
        <v>32330860</v>
      </c>
      <c r="K18" s="42">
        <f t="shared" si="4"/>
        <v>32330860</v>
      </c>
      <c r="L18" s="42">
        <f t="shared" si="4"/>
        <v>32330860</v>
      </c>
      <c r="M18" s="42">
        <f t="shared" si="4"/>
        <v>67116327.06</v>
      </c>
      <c r="N18" s="42">
        <f t="shared" si="4"/>
        <v>68489845.28999999</v>
      </c>
      <c r="O18" s="42">
        <f t="shared" si="4"/>
        <v>59553578.04</v>
      </c>
      <c r="P18" s="42">
        <f t="shared" si="4"/>
        <v>98908317.03999999</v>
      </c>
      <c r="Q18" s="42">
        <f>SUM(D18+P18+SUM(E18:O18)*2)/24</f>
        <v>41938399.07583333</v>
      </c>
    </row>
    <row r="19" spans="1:17" s="32" customFormat="1" ht="12.75">
      <c r="A19" s="30">
        <v>18</v>
      </c>
      <c r="B19" s="3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2" ht="12.75">
      <c r="A20" s="30">
        <v>19</v>
      </c>
      <c r="B20" s="80" t="s">
        <v>22</v>
      </c>
    </row>
    <row r="21" spans="1:17" ht="12.75">
      <c r="A21" s="30">
        <v>20</v>
      </c>
      <c r="B21" s="15">
        <v>19000433</v>
      </c>
      <c r="C21" s="32" t="s">
        <v>21</v>
      </c>
      <c r="D21" s="91">
        <f aca="true" t="shared" si="5" ref="D21:P21">+D18</f>
        <v>0</v>
      </c>
      <c r="E21" s="91">
        <f t="shared" si="5"/>
        <v>32330860</v>
      </c>
      <c r="F21" s="91">
        <f t="shared" si="5"/>
        <v>32330860</v>
      </c>
      <c r="G21" s="91">
        <f t="shared" si="5"/>
        <v>32330859.999999993</v>
      </c>
      <c r="H21" s="91">
        <f t="shared" si="5"/>
        <v>32330859.999999985</v>
      </c>
      <c r="I21" s="91">
        <f t="shared" si="5"/>
        <v>32330859.999999993</v>
      </c>
      <c r="J21" s="91">
        <f t="shared" si="5"/>
        <v>32330860</v>
      </c>
      <c r="K21" s="91">
        <f t="shared" si="5"/>
        <v>32330860</v>
      </c>
      <c r="L21" s="91">
        <f t="shared" si="5"/>
        <v>32330860</v>
      </c>
      <c r="M21" s="91">
        <f t="shared" si="5"/>
        <v>67116327.06</v>
      </c>
      <c r="N21" s="91">
        <f t="shared" si="5"/>
        <v>68489845.28999999</v>
      </c>
      <c r="O21" s="91">
        <f t="shared" si="5"/>
        <v>59553578.04</v>
      </c>
      <c r="P21" s="91">
        <f t="shared" si="5"/>
        <v>98908317.03999999</v>
      </c>
      <c r="Q21" s="91">
        <f>SUM(D21+P21+SUM(E21:O21)*2)/24</f>
        <v>41938399.07583333</v>
      </c>
    </row>
    <row r="22" spans="1:17" ht="12.75">
      <c r="A22" s="30">
        <v>21</v>
      </c>
      <c r="B22" s="15"/>
      <c r="C22" s="1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12.75">
      <c r="A23" s="30">
        <v>22</v>
      </c>
      <c r="B23" s="15" t="s">
        <v>23</v>
      </c>
      <c r="C23" s="16"/>
      <c r="D23" s="91"/>
      <c r="E23" s="92">
        <v>-248000</v>
      </c>
      <c r="F23" s="92">
        <v>-496000</v>
      </c>
      <c r="G23" s="92">
        <v>-744000</v>
      </c>
      <c r="H23" s="92">
        <v>-992000</v>
      </c>
      <c r="I23" s="92">
        <v>-1240000</v>
      </c>
      <c r="J23" s="92">
        <v>-1488000</v>
      </c>
      <c r="K23" s="92">
        <v>-1736000</v>
      </c>
      <c r="L23" s="92">
        <v>-1984000</v>
      </c>
      <c r="M23" s="92">
        <v>-1046334.95</v>
      </c>
      <c r="N23" s="92">
        <v>-1161993.5</v>
      </c>
      <c r="O23" s="92">
        <v>-1277652.05</v>
      </c>
      <c r="P23" s="92">
        <v>-531293.15</v>
      </c>
      <c r="Q23" s="92">
        <f>SUM(D23+P23+SUM(E23:O23)*2)/24</f>
        <v>-1056635.5895833333</v>
      </c>
    </row>
    <row r="24" spans="1:17" ht="12.75">
      <c r="A24" s="30">
        <v>23</v>
      </c>
      <c r="B24" s="15" t="s">
        <v>24</v>
      </c>
      <c r="C24" s="16"/>
      <c r="D24" s="91"/>
      <c r="E24" s="91"/>
      <c r="F24" s="91"/>
      <c r="G24" s="86">
        <v>546875</v>
      </c>
      <c r="H24" s="86">
        <v>729166.55</v>
      </c>
      <c r="I24" s="86">
        <v>772948.75</v>
      </c>
      <c r="J24" s="86">
        <v>927538.5203926853</v>
      </c>
      <c r="K24" s="86">
        <v>1082128.2907853706</v>
      </c>
      <c r="L24" s="86">
        <v>1236718.061178056</v>
      </c>
      <c r="M24" s="86">
        <v>1391307.8315707413</v>
      </c>
      <c r="N24" s="86">
        <v>1545897.6019634265</v>
      </c>
      <c r="O24" s="86">
        <v>1700487.3723561119</v>
      </c>
      <c r="P24" s="86">
        <v>784753</v>
      </c>
      <c r="Q24" s="86">
        <f>SUM(D24+P24+SUM(E24:O24)*2)/24</f>
        <v>860453.7065205326</v>
      </c>
    </row>
    <row r="25" spans="1:17" ht="13.5" thickBot="1">
      <c r="A25" s="30">
        <v>24</v>
      </c>
      <c r="B25" s="31" t="s">
        <v>25</v>
      </c>
      <c r="D25" s="93">
        <f aca="true" t="shared" si="6" ref="D25:P25">SUM(D23:D24)</f>
        <v>0</v>
      </c>
      <c r="E25" s="93">
        <f t="shared" si="6"/>
        <v>-248000</v>
      </c>
      <c r="F25" s="93">
        <f t="shared" si="6"/>
        <v>-496000</v>
      </c>
      <c r="G25" s="93">
        <f t="shared" si="6"/>
        <v>-197125</v>
      </c>
      <c r="H25" s="93">
        <f t="shared" si="6"/>
        <v>-262833.44999999995</v>
      </c>
      <c r="I25" s="93">
        <f t="shared" si="6"/>
        <v>-467051.25</v>
      </c>
      <c r="J25" s="93">
        <f t="shared" si="6"/>
        <v>-560461.4796073147</v>
      </c>
      <c r="K25" s="93">
        <f t="shared" si="6"/>
        <v>-653871.7092146294</v>
      </c>
      <c r="L25" s="93">
        <f t="shared" si="6"/>
        <v>-747281.938821944</v>
      </c>
      <c r="M25" s="93">
        <f t="shared" si="6"/>
        <v>344972.8815707413</v>
      </c>
      <c r="N25" s="93">
        <f t="shared" si="6"/>
        <v>383904.10196342645</v>
      </c>
      <c r="O25" s="93">
        <f t="shared" si="6"/>
        <v>422835.32235611184</v>
      </c>
      <c r="P25" s="93">
        <f t="shared" si="6"/>
        <v>253459.84999999998</v>
      </c>
      <c r="Q25" s="93">
        <f>SUM(D25+P25+SUM(E25:O25)*2)/24</f>
        <v>-196181.8830628007</v>
      </c>
    </row>
    <row r="26" spans="1:17" ht="13.5" thickBot="1">
      <c r="A26" s="30">
        <v>25</v>
      </c>
      <c r="B26" s="94">
        <v>19000433</v>
      </c>
      <c r="C26" s="95" t="s">
        <v>1</v>
      </c>
      <c r="D26" s="96">
        <f aca="true" t="shared" si="7" ref="D26:P26">+D21+D25</f>
        <v>0</v>
      </c>
      <c r="E26" s="96">
        <f t="shared" si="7"/>
        <v>32082860</v>
      </c>
      <c r="F26" s="96">
        <f t="shared" si="7"/>
        <v>31834860</v>
      </c>
      <c r="G26" s="96">
        <f t="shared" si="7"/>
        <v>32133734.999999993</v>
      </c>
      <c r="H26" s="96">
        <f t="shared" si="7"/>
        <v>32068026.549999986</v>
      </c>
      <c r="I26" s="96">
        <f t="shared" si="7"/>
        <v>31863808.749999993</v>
      </c>
      <c r="J26" s="96">
        <f t="shared" si="7"/>
        <v>31770398.520392686</v>
      </c>
      <c r="K26" s="96">
        <f t="shared" si="7"/>
        <v>31676988.290785372</v>
      </c>
      <c r="L26" s="96">
        <f t="shared" si="7"/>
        <v>31583578.061178055</v>
      </c>
      <c r="M26" s="96">
        <f t="shared" si="7"/>
        <v>67461299.94157074</v>
      </c>
      <c r="N26" s="96">
        <f t="shared" si="7"/>
        <v>68873749.39196342</v>
      </c>
      <c r="O26" s="96">
        <f t="shared" si="7"/>
        <v>59976413.36235611</v>
      </c>
      <c r="P26" s="97">
        <f t="shared" si="7"/>
        <v>99161776.88999999</v>
      </c>
      <c r="Q26" s="97">
        <f>SUM(D26+P26+SUM(E26:O26)*2)/24</f>
        <v>41742217.19277053</v>
      </c>
    </row>
    <row r="27" spans="1:17" ht="12.75">
      <c r="A27" s="30">
        <v>26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2" ht="12.75">
      <c r="A28" s="30">
        <v>27</v>
      </c>
      <c r="B28" s="80" t="s">
        <v>26</v>
      </c>
    </row>
    <row r="29" spans="1:17" ht="12.75">
      <c r="A29" s="30">
        <v>28</v>
      </c>
      <c r="B29" s="30">
        <v>23600033</v>
      </c>
      <c r="C29" s="31" t="s">
        <v>27</v>
      </c>
      <c r="D29" s="91">
        <f aca="true" t="shared" si="8" ref="D29:P29">+D13</f>
        <v>98112731.53</v>
      </c>
      <c r="E29" s="91">
        <f t="shared" si="8"/>
        <v>59897918.53</v>
      </c>
      <c r="F29" s="91">
        <f t="shared" si="8"/>
        <v>40099726.18000001</v>
      </c>
      <c r="G29" s="91">
        <f t="shared" si="8"/>
        <v>34619033.18000001</v>
      </c>
      <c r="H29" s="91">
        <f t="shared" si="8"/>
        <v>34202596.180000015</v>
      </c>
      <c r="I29" s="91">
        <f t="shared" si="8"/>
        <v>32467861.690000005</v>
      </c>
      <c r="J29" s="91">
        <f t="shared" si="8"/>
        <v>52268124.04000002</v>
      </c>
      <c r="K29" s="91">
        <f t="shared" si="8"/>
        <v>53071780.04000002</v>
      </c>
      <c r="L29" s="91">
        <f t="shared" si="8"/>
        <v>61119868.04000002</v>
      </c>
      <c r="M29" s="91">
        <f t="shared" si="8"/>
        <v>60744623</v>
      </c>
      <c r="N29" s="91">
        <f t="shared" si="8"/>
        <v>60744623</v>
      </c>
      <c r="O29" s="91">
        <f t="shared" si="8"/>
        <v>60744623</v>
      </c>
      <c r="P29" s="91">
        <f t="shared" si="8"/>
        <v>60744623</v>
      </c>
      <c r="Q29" s="91">
        <f>SUM(D29+P29+SUM(E29:O29)*2)/24</f>
        <v>52450787.84541667</v>
      </c>
    </row>
    <row r="30" spans="1:17" ht="12.75">
      <c r="A30" s="30">
        <v>29</v>
      </c>
      <c r="B30" s="3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2.75">
      <c r="A31" s="30">
        <v>30</v>
      </c>
      <c r="B31" s="15" t="s">
        <v>23</v>
      </c>
      <c r="C31" s="16"/>
      <c r="D31" s="92">
        <v>-19046784.396242242</v>
      </c>
      <c r="E31" s="92">
        <v>-19046784.396242242</v>
      </c>
      <c r="F31" s="92">
        <v>-2969498.3962422423</v>
      </c>
      <c r="G31" s="92">
        <v>-2969498.3962422423</v>
      </c>
      <c r="H31" s="92">
        <v>-2969498.3962422423</v>
      </c>
      <c r="I31" s="92">
        <v>-2969498.3962422423</v>
      </c>
      <c r="J31" s="92">
        <v>-2969498.3962422423</v>
      </c>
      <c r="K31" s="92">
        <v>-2969498.3962422423</v>
      </c>
      <c r="L31" s="92">
        <v>-2969498.3962422423</v>
      </c>
      <c r="M31" s="92">
        <v>-3514566.696242242</v>
      </c>
      <c r="N31" s="92">
        <v>-3514566.696242242</v>
      </c>
      <c r="O31" s="92">
        <v>-3514566.696242242</v>
      </c>
      <c r="P31" s="92">
        <v>-3514566.696242242</v>
      </c>
      <c r="Q31" s="92">
        <f>SUM(D31+P31+SUM(E31:O31)*2)/24</f>
        <v>-5138137.40040891</v>
      </c>
    </row>
    <row r="32" spans="1:17" ht="12.75">
      <c r="A32" s="30">
        <v>31</v>
      </c>
      <c r="B32" s="15" t="s">
        <v>24</v>
      </c>
      <c r="C32" s="16"/>
      <c r="D32" s="91"/>
      <c r="E32" s="91"/>
      <c r="F32" s="91"/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f>SUM(D32+P32+SUM(E32:O32)*2)/24</f>
        <v>0</v>
      </c>
    </row>
    <row r="33" spans="1:17" ht="13.5" thickBot="1">
      <c r="A33" s="30">
        <v>32</v>
      </c>
      <c r="B33" s="31" t="s">
        <v>25</v>
      </c>
      <c r="D33" s="93">
        <f aca="true" t="shared" si="9" ref="D33:P33">SUM(D31:D32)</f>
        <v>-19046784.396242242</v>
      </c>
      <c r="E33" s="93">
        <f t="shared" si="9"/>
        <v>-19046784.396242242</v>
      </c>
      <c r="F33" s="93">
        <f t="shared" si="9"/>
        <v>-2969498.3962422423</v>
      </c>
      <c r="G33" s="93">
        <f t="shared" si="9"/>
        <v>-2969498.3962422423</v>
      </c>
      <c r="H33" s="93">
        <f t="shared" si="9"/>
        <v>-2969498.3962422423</v>
      </c>
      <c r="I33" s="93">
        <f t="shared" si="9"/>
        <v>-2969498.3962422423</v>
      </c>
      <c r="J33" s="93">
        <f t="shared" si="9"/>
        <v>-2969498.3962422423</v>
      </c>
      <c r="K33" s="93">
        <f t="shared" si="9"/>
        <v>-2969498.3962422423</v>
      </c>
      <c r="L33" s="93">
        <f t="shared" si="9"/>
        <v>-2969498.3962422423</v>
      </c>
      <c r="M33" s="93">
        <f t="shared" si="9"/>
        <v>-3514566.696242242</v>
      </c>
      <c r="N33" s="93">
        <f t="shared" si="9"/>
        <v>-3514566.696242242</v>
      </c>
      <c r="O33" s="93">
        <f t="shared" si="9"/>
        <v>-3514566.696242242</v>
      </c>
      <c r="P33" s="93">
        <f t="shared" si="9"/>
        <v>-3514566.696242242</v>
      </c>
      <c r="Q33" s="93">
        <f>SUM(D33+P33+SUM(E33:O33)*2)/24</f>
        <v>-5138137.40040891</v>
      </c>
    </row>
    <row r="34" spans="1:17" ht="13.5" thickBot="1">
      <c r="A34" s="30">
        <v>33</v>
      </c>
      <c r="B34" s="98">
        <v>23600033</v>
      </c>
      <c r="C34" s="99" t="s">
        <v>153</v>
      </c>
      <c r="D34" s="96">
        <f aca="true" t="shared" si="10" ref="D34:P34">+D29+D33</f>
        <v>79065947.13375776</v>
      </c>
      <c r="E34" s="96">
        <f t="shared" si="10"/>
        <v>40851134.133757755</v>
      </c>
      <c r="F34" s="96">
        <f t="shared" si="10"/>
        <v>37130227.78375776</v>
      </c>
      <c r="G34" s="96">
        <f t="shared" si="10"/>
        <v>31649534.783757765</v>
      </c>
      <c r="H34" s="96">
        <f t="shared" si="10"/>
        <v>31233097.783757772</v>
      </c>
      <c r="I34" s="96">
        <f t="shared" si="10"/>
        <v>29498363.293757763</v>
      </c>
      <c r="J34" s="96">
        <f t="shared" si="10"/>
        <v>49298625.643757775</v>
      </c>
      <c r="K34" s="96">
        <f t="shared" si="10"/>
        <v>50102281.643757775</v>
      </c>
      <c r="L34" s="96">
        <f t="shared" si="10"/>
        <v>58150369.643757775</v>
      </c>
      <c r="M34" s="96">
        <f t="shared" si="10"/>
        <v>57230056.30375776</v>
      </c>
      <c r="N34" s="96">
        <f t="shared" si="10"/>
        <v>57230056.30375776</v>
      </c>
      <c r="O34" s="96">
        <f t="shared" si="10"/>
        <v>57230056.30375776</v>
      </c>
      <c r="P34" s="100">
        <f t="shared" si="10"/>
        <v>57230056.30375776</v>
      </c>
      <c r="Q34" s="100">
        <f>SUM(D34+P34+SUM(E34:O34)*2)/24</f>
        <v>47312650.445007764</v>
      </c>
    </row>
    <row r="35" spans="1:17" ht="12.75">
      <c r="A35" s="30">
        <v>34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2" ht="12.75">
      <c r="A36" s="30">
        <v>35</v>
      </c>
      <c r="B36" s="80" t="s">
        <v>28</v>
      </c>
    </row>
    <row r="37" spans="1:17" ht="12.75">
      <c r="A37" s="30">
        <v>36</v>
      </c>
      <c r="B37" s="15" t="s">
        <v>29</v>
      </c>
      <c r="D37" s="33">
        <v>41211889.9</v>
      </c>
      <c r="E37" s="33">
        <v>41330889.9</v>
      </c>
      <c r="F37" s="33">
        <v>41449889.9</v>
      </c>
      <c r="G37" s="33">
        <v>41568889.9</v>
      </c>
      <c r="H37" s="33">
        <v>41687889.9</v>
      </c>
      <c r="I37" s="33">
        <v>41806889.9</v>
      </c>
      <c r="J37" s="33">
        <v>41925889.9</v>
      </c>
      <c r="K37" s="33">
        <v>42044889.9</v>
      </c>
      <c r="L37" s="33">
        <v>42163889.9</v>
      </c>
      <c r="M37" s="33">
        <v>42156185.699999996</v>
      </c>
      <c r="N37" s="33">
        <v>42208219</v>
      </c>
      <c r="O37" s="33">
        <v>42260250.49999999</v>
      </c>
      <c r="P37" s="33">
        <v>41793952</v>
      </c>
      <c r="Q37" s="33">
        <f>SUM(D37+P37+SUM(E37:O37)*2)/24</f>
        <v>41842224.6125</v>
      </c>
    </row>
    <row r="38" spans="1:17" ht="12.75">
      <c r="A38" s="30">
        <v>37</v>
      </c>
      <c r="B38" s="15" t="s">
        <v>30</v>
      </c>
      <c r="D38" s="33"/>
      <c r="E38" s="33"/>
      <c r="F38" s="33"/>
      <c r="G38" s="33">
        <v>-323904</v>
      </c>
      <c r="H38" s="33">
        <v>-431872</v>
      </c>
      <c r="I38" s="33">
        <v>-367767.4</v>
      </c>
      <c r="J38" s="33">
        <v>-441320.89403525623</v>
      </c>
      <c r="K38" s="33">
        <v>-514874.38807051245</v>
      </c>
      <c r="L38" s="33">
        <v>-588427.8821057687</v>
      </c>
      <c r="M38" s="33">
        <v>-661981.3761410249</v>
      </c>
      <c r="N38" s="33">
        <v>-735534.8701762811</v>
      </c>
      <c r="O38" s="33">
        <v>-809088.3642115373</v>
      </c>
      <c r="P38" s="33">
        <v>-520125</v>
      </c>
      <c r="Q38" s="33">
        <f>SUM(D38+P38+SUM(E38:O38)*2)/24</f>
        <v>-427902.806228365</v>
      </c>
    </row>
    <row r="39" spans="1:17" ht="13.5" thickBot="1">
      <c r="A39" s="30">
        <v>38</v>
      </c>
      <c r="B39" s="31" t="s">
        <v>25</v>
      </c>
      <c r="D39" s="45">
        <f aca="true" t="shared" si="11" ref="D39:P39">SUM(D37:D38)</f>
        <v>41211889.9</v>
      </c>
      <c r="E39" s="45">
        <f t="shared" si="11"/>
        <v>41330889.9</v>
      </c>
      <c r="F39" s="45">
        <f t="shared" si="11"/>
        <v>41449889.9</v>
      </c>
      <c r="G39" s="45">
        <f t="shared" si="11"/>
        <v>41244985.9</v>
      </c>
      <c r="H39" s="45">
        <f t="shared" si="11"/>
        <v>41256017.9</v>
      </c>
      <c r="I39" s="45">
        <f t="shared" si="11"/>
        <v>41439122.5</v>
      </c>
      <c r="J39" s="45">
        <f t="shared" si="11"/>
        <v>41484569.00596474</v>
      </c>
      <c r="K39" s="45">
        <f t="shared" si="11"/>
        <v>41530015.51192949</v>
      </c>
      <c r="L39" s="45">
        <f t="shared" si="11"/>
        <v>41575462.01789423</v>
      </c>
      <c r="M39" s="45">
        <f t="shared" si="11"/>
        <v>41494204.32385897</v>
      </c>
      <c r="N39" s="45">
        <f t="shared" si="11"/>
        <v>41472684.12982372</v>
      </c>
      <c r="O39" s="45">
        <f t="shared" si="11"/>
        <v>41451162.135788456</v>
      </c>
      <c r="P39" s="45">
        <f t="shared" si="11"/>
        <v>41273827</v>
      </c>
      <c r="Q39" s="45">
        <f>SUM(D39+P39+SUM(E39:O39)*2)/24</f>
        <v>41414321.806271635</v>
      </c>
    </row>
    <row r="40" spans="1:17" ht="13.5" thickBot="1">
      <c r="A40" s="30">
        <v>39</v>
      </c>
      <c r="B40" s="101">
        <v>28200121</v>
      </c>
      <c r="C40" s="102" t="s">
        <v>13</v>
      </c>
      <c r="D40" s="103">
        <f aca="true" t="shared" si="12" ref="D40:P40">+D7+D39</f>
        <v>-685022995.52</v>
      </c>
      <c r="E40" s="103">
        <f t="shared" si="12"/>
        <v>-688567995.52</v>
      </c>
      <c r="F40" s="103">
        <f t="shared" si="12"/>
        <v>-692112995.52</v>
      </c>
      <c r="G40" s="103">
        <f t="shared" si="12"/>
        <v>-695657995.52</v>
      </c>
      <c r="H40" s="103">
        <f t="shared" si="12"/>
        <v>-701608567.52</v>
      </c>
      <c r="I40" s="103">
        <f t="shared" si="12"/>
        <v>-705153567.92</v>
      </c>
      <c r="J40" s="103">
        <f t="shared" si="12"/>
        <v>-712348920.4140352</v>
      </c>
      <c r="K40" s="103">
        <f t="shared" si="12"/>
        <v>-716501919.9080704</v>
      </c>
      <c r="L40" s="103">
        <f t="shared" si="12"/>
        <v>-720654919.4021057</v>
      </c>
      <c r="M40" s="103">
        <f t="shared" si="12"/>
        <v>-773224953.096141</v>
      </c>
      <c r="N40" s="103">
        <f t="shared" si="12"/>
        <v>-781957196.2901763</v>
      </c>
      <c r="O40" s="103">
        <f t="shared" si="12"/>
        <v>-790689441.2842115</v>
      </c>
      <c r="P40" s="100">
        <f t="shared" si="12"/>
        <v>-806794647.42</v>
      </c>
      <c r="Q40" s="100">
        <f>SUM(D40+P40+SUM(E40:O40)*2)/24</f>
        <v>-727032274.4887282</v>
      </c>
    </row>
    <row r="41" spans="1:17" ht="12.75">
      <c r="A41" s="30">
        <v>40</v>
      </c>
      <c r="B41" s="43"/>
      <c r="C41" s="4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2" ht="12.75">
      <c r="A42" s="30">
        <v>41</v>
      </c>
      <c r="B42" s="80" t="s">
        <v>31</v>
      </c>
    </row>
    <row r="43" spans="1:17" ht="12.75">
      <c r="A43" s="30">
        <v>42</v>
      </c>
      <c r="B43" s="15" t="s">
        <v>32</v>
      </c>
      <c r="D43" s="104">
        <v>24411570.05</v>
      </c>
      <c r="E43" s="104">
        <v>24540570.05</v>
      </c>
      <c r="F43" s="104">
        <v>24669570.05</v>
      </c>
      <c r="G43" s="104">
        <v>24798570.05</v>
      </c>
      <c r="H43" s="104">
        <v>24927570.05</v>
      </c>
      <c r="I43" s="104">
        <v>25056570.05</v>
      </c>
      <c r="J43" s="104">
        <v>25185570.05</v>
      </c>
      <c r="K43" s="104">
        <v>25314570.05</v>
      </c>
      <c r="L43" s="104">
        <v>25443570.05</v>
      </c>
      <c r="M43" s="104">
        <v>25058677.5</v>
      </c>
      <c r="N43" s="104">
        <v>25122303.65</v>
      </c>
      <c r="O43" s="104">
        <v>25185929.8</v>
      </c>
      <c r="P43" s="104">
        <v>24905870</v>
      </c>
      <c r="Q43" s="104">
        <f>SUM(D43+P43+SUM(E43:O43)*2)/24</f>
        <v>24996849.28125</v>
      </c>
    </row>
    <row r="44" spans="1:17" ht="12.75">
      <c r="A44" s="30">
        <v>43</v>
      </c>
      <c r="B44" s="15" t="s">
        <v>33</v>
      </c>
      <c r="D44" s="33"/>
      <c r="E44" s="33"/>
      <c r="F44" s="33"/>
      <c r="G44" s="33">
        <v>-222971</v>
      </c>
      <c r="H44" s="33">
        <v>-297294.55</v>
      </c>
      <c r="I44" s="33">
        <v>-405181.35</v>
      </c>
      <c r="J44" s="33">
        <v>-486217.6263574291</v>
      </c>
      <c r="K44" s="33">
        <v>-567253.9027148582</v>
      </c>
      <c r="L44" s="33">
        <v>-648290.1790722873</v>
      </c>
      <c r="M44" s="33">
        <v>-729326.4554297164</v>
      </c>
      <c r="N44" s="33">
        <v>-810362.7317871455</v>
      </c>
      <c r="O44" s="33">
        <v>-891399.0081445746</v>
      </c>
      <c r="P44" s="33">
        <v>-264628</v>
      </c>
      <c r="Q44" s="33">
        <f>SUM(D44+P44+SUM(E44:O44)*2)/24</f>
        <v>-432550.9002921676</v>
      </c>
    </row>
    <row r="45" spans="1:17" ht="13.5" thickBot="1">
      <c r="A45" s="30">
        <v>44</v>
      </c>
      <c r="B45" s="31" t="s">
        <v>25</v>
      </c>
      <c r="D45" s="45">
        <f aca="true" t="shared" si="13" ref="D45:P45">SUM(D43:D44)</f>
        <v>24411570.05</v>
      </c>
      <c r="E45" s="45">
        <f t="shared" si="13"/>
        <v>24540570.05</v>
      </c>
      <c r="F45" s="45">
        <f t="shared" si="13"/>
        <v>24669570.05</v>
      </c>
      <c r="G45" s="45">
        <f t="shared" si="13"/>
        <v>24575599.05</v>
      </c>
      <c r="H45" s="45">
        <f t="shared" si="13"/>
        <v>24630275.5</v>
      </c>
      <c r="I45" s="45">
        <f t="shared" si="13"/>
        <v>24651388.7</v>
      </c>
      <c r="J45" s="45">
        <f t="shared" si="13"/>
        <v>24699352.423642572</v>
      </c>
      <c r="K45" s="45">
        <f t="shared" si="13"/>
        <v>24747316.14728514</v>
      </c>
      <c r="L45" s="45">
        <f t="shared" si="13"/>
        <v>24795279.870927714</v>
      </c>
      <c r="M45" s="45">
        <f t="shared" si="13"/>
        <v>24329351.044570282</v>
      </c>
      <c r="N45" s="45">
        <f t="shared" si="13"/>
        <v>24311940.918212853</v>
      </c>
      <c r="O45" s="45">
        <f t="shared" si="13"/>
        <v>24294530.791855425</v>
      </c>
      <c r="P45" s="45">
        <f t="shared" si="13"/>
        <v>24641242</v>
      </c>
      <c r="Q45" s="45">
        <f>SUM(D45+P45+SUM(E45:O45)*2)/24</f>
        <v>24564298.38095783</v>
      </c>
    </row>
    <row r="46" spans="1:17" ht="13.5" thickBot="1">
      <c r="A46" s="30">
        <v>45</v>
      </c>
      <c r="B46" s="101">
        <v>28200002</v>
      </c>
      <c r="C46" s="102" t="s">
        <v>12</v>
      </c>
      <c r="D46" s="103">
        <f aca="true" t="shared" si="14" ref="D46:P46">+D6+D43+D44</f>
        <v>-261957530.62</v>
      </c>
      <c r="E46" s="103">
        <f t="shared" si="14"/>
        <v>-262958530.62</v>
      </c>
      <c r="F46" s="103">
        <f t="shared" si="14"/>
        <v>-263964530.62</v>
      </c>
      <c r="G46" s="103">
        <f t="shared" si="14"/>
        <v>-264967501.62</v>
      </c>
      <c r="H46" s="103">
        <f t="shared" si="14"/>
        <v>-265968825.17000002</v>
      </c>
      <c r="I46" s="103">
        <f t="shared" si="14"/>
        <v>-266979711.97</v>
      </c>
      <c r="J46" s="103">
        <f t="shared" si="14"/>
        <v>-267611748.24635744</v>
      </c>
      <c r="K46" s="103">
        <f t="shared" si="14"/>
        <v>-268553784.52271485</v>
      </c>
      <c r="L46" s="103">
        <f t="shared" si="14"/>
        <v>-269495820.79907227</v>
      </c>
      <c r="M46" s="103">
        <f t="shared" si="14"/>
        <v>-283048866.62542975</v>
      </c>
      <c r="N46" s="103">
        <f t="shared" si="14"/>
        <v>-284669826.7517872</v>
      </c>
      <c r="O46" s="103">
        <f t="shared" si="14"/>
        <v>-286290786.87814456</v>
      </c>
      <c r="P46" s="100">
        <f t="shared" si="14"/>
        <v>-306147901.67</v>
      </c>
      <c r="Q46" s="100">
        <f>SUM(D46+P46+SUM(E46:O46)*2)/24</f>
        <v>-272380220.83070886</v>
      </c>
    </row>
    <row r="47" spans="1:17" ht="12.75">
      <c r="A47" s="30">
        <v>46</v>
      </c>
      <c r="B47" s="43"/>
      <c r="C47" s="4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42" ht="13.5" thickBot="1">
      <c r="A48" s="30">
        <v>52</v>
      </c>
      <c r="B48" s="37"/>
      <c r="C48" s="3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76" t="s">
        <v>69</v>
      </c>
      <c r="S48" s="76" t="s">
        <v>70</v>
      </c>
      <c r="T48" s="77" t="s">
        <v>71</v>
      </c>
      <c r="U48" s="6" t="s">
        <v>5</v>
      </c>
      <c r="V48" s="71" t="s">
        <v>6</v>
      </c>
      <c r="W48" s="105" t="s">
        <v>60</v>
      </c>
      <c r="X48" s="7" t="s">
        <v>7</v>
      </c>
      <c r="Y48" s="118" t="s">
        <v>73</v>
      </c>
      <c r="Z48" s="46"/>
      <c r="AA48" s="46"/>
      <c r="AB48" s="46"/>
      <c r="AC48" s="46"/>
      <c r="AD48" s="46"/>
      <c r="AE48" s="46"/>
      <c r="AF48" s="46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20" ht="14.25" thickBot="1" thickTop="1">
      <c r="A49" s="30">
        <v>53</v>
      </c>
      <c r="B49" s="106" t="s">
        <v>34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181" t="s">
        <v>61</v>
      </c>
      <c r="S49" s="182"/>
      <c r="T49" s="183"/>
    </row>
    <row r="50" spans="1:25" ht="12.75">
      <c r="A50" s="30">
        <v>55</v>
      </c>
      <c r="B50" s="15">
        <v>19000433</v>
      </c>
      <c r="C50" s="16" t="s">
        <v>1</v>
      </c>
      <c r="D50" s="91">
        <f>+D26</f>
        <v>0</v>
      </c>
      <c r="E50" s="91">
        <f>+E26</f>
        <v>32082860</v>
      </c>
      <c r="F50" s="91">
        <f aca="true" t="shared" si="15" ref="F50:P50">+F26</f>
        <v>31834860</v>
      </c>
      <c r="G50" s="91">
        <f t="shared" si="15"/>
        <v>32133734.999999993</v>
      </c>
      <c r="H50" s="91">
        <f t="shared" si="15"/>
        <v>32068026.549999986</v>
      </c>
      <c r="I50" s="91">
        <f t="shared" si="15"/>
        <v>31863808.749999993</v>
      </c>
      <c r="J50" s="91">
        <f t="shared" si="15"/>
        <v>31770398.520392686</v>
      </c>
      <c r="K50" s="91">
        <f t="shared" si="15"/>
        <v>31676988.290785372</v>
      </c>
      <c r="L50" s="91">
        <f t="shared" si="15"/>
        <v>31583578.061178055</v>
      </c>
      <c r="M50" s="91">
        <f t="shared" si="15"/>
        <v>67461299.94157074</v>
      </c>
      <c r="N50" s="91">
        <f t="shared" si="15"/>
        <v>68873749.39196342</v>
      </c>
      <c r="O50" s="91">
        <f t="shared" si="15"/>
        <v>59976413.36235611</v>
      </c>
      <c r="P50" s="91">
        <f t="shared" si="15"/>
        <v>99161776.88999999</v>
      </c>
      <c r="Q50" s="91">
        <f aca="true" t="shared" si="16" ref="Q50:Q57">SUM(D50+P50+SUM(E50:O50)*2)/24</f>
        <v>41742217.19277053</v>
      </c>
      <c r="R50" s="107" t="s">
        <v>161</v>
      </c>
      <c r="S50" s="108" t="s">
        <v>156</v>
      </c>
      <c r="T50" s="109">
        <v>29</v>
      </c>
      <c r="U50" s="86">
        <f>Q50*T58</f>
        <v>23235928.54774631</v>
      </c>
      <c r="V50" s="86">
        <f>Q50*T59</f>
        <v>18506288.645024225</v>
      </c>
      <c r="W50" s="86">
        <f>Q50</f>
        <v>41742217.19277053</v>
      </c>
      <c r="X50" s="86"/>
      <c r="Y50" s="86"/>
    </row>
    <row r="51" spans="1:25" ht="12.75">
      <c r="A51" s="30">
        <v>56</v>
      </c>
      <c r="B51" s="15" t="s">
        <v>62</v>
      </c>
      <c r="C51" s="16" t="s">
        <v>63</v>
      </c>
      <c r="D51" s="91">
        <f>-D25</f>
        <v>0</v>
      </c>
      <c r="E51" s="91">
        <f>-E25</f>
        <v>248000</v>
      </c>
      <c r="F51" s="91">
        <f aca="true" t="shared" si="17" ref="F51:P51">-F25</f>
        <v>496000</v>
      </c>
      <c r="G51" s="91">
        <f t="shared" si="17"/>
        <v>197125</v>
      </c>
      <c r="H51" s="91">
        <f t="shared" si="17"/>
        <v>262833.44999999995</v>
      </c>
      <c r="I51" s="91">
        <f t="shared" si="17"/>
        <v>467051.25</v>
      </c>
      <c r="J51" s="91">
        <f t="shared" si="17"/>
        <v>560461.4796073147</v>
      </c>
      <c r="K51" s="91">
        <f t="shared" si="17"/>
        <v>653871.7092146294</v>
      </c>
      <c r="L51" s="91">
        <f t="shared" si="17"/>
        <v>747281.938821944</v>
      </c>
      <c r="M51" s="91">
        <f t="shared" si="17"/>
        <v>-344972.8815707413</v>
      </c>
      <c r="N51" s="91">
        <f t="shared" si="17"/>
        <v>-383904.10196342645</v>
      </c>
      <c r="O51" s="91">
        <f t="shared" si="17"/>
        <v>-422835.32235611184</v>
      </c>
      <c r="P51" s="91">
        <f t="shared" si="17"/>
        <v>-253459.84999999998</v>
      </c>
      <c r="Q51" s="91">
        <f t="shared" si="16"/>
        <v>196181.8830628007</v>
      </c>
      <c r="R51" s="107"/>
      <c r="S51" s="108"/>
      <c r="T51" s="109">
        <v>28.1</v>
      </c>
      <c r="U51" s="86" t="s">
        <v>157</v>
      </c>
      <c r="V51" s="86" t="s">
        <v>157</v>
      </c>
      <c r="W51" s="86">
        <f>Q51</f>
        <v>196181.8830628007</v>
      </c>
      <c r="X51" s="86"/>
      <c r="Y51" s="86"/>
    </row>
    <row r="52" spans="1:25" ht="12.75">
      <c r="A52" s="30">
        <v>57</v>
      </c>
      <c r="B52" s="30">
        <v>23600033</v>
      </c>
      <c r="C52" s="31" t="s">
        <v>153</v>
      </c>
      <c r="D52" s="86">
        <f>+D34</f>
        <v>79065947.13375776</v>
      </c>
      <c r="E52" s="86">
        <f aca="true" t="shared" si="18" ref="E52:P52">+E34</f>
        <v>40851134.133757755</v>
      </c>
      <c r="F52" s="86">
        <f t="shared" si="18"/>
        <v>37130227.78375776</v>
      </c>
      <c r="G52" s="86">
        <f t="shared" si="18"/>
        <v>31649534.783757765</v>
      </c>
      <c r="H52" s="86">
        <f t="shared" si="18"/>
        <v>31233097.783757772</v>
      </c>
      <c r="I52" s="86">
        <f t="shared" si="18"/>
        <v>29498363.293757763</v>
      </c>
      <c r="J52" s="86">
        <f t="shared" si="18"/>
        <v>49298625.643757775</v>
      </c>
      <c r="K52" s="86">
        <f t="shared" si="18"/>
        <v>50102281.643757775</v>
      </c>
      <c r="L52" s="86">
        <f t="shared" si="18"/>
        <v>58150369.643757775</v>
      </c>
      <c r="M52" s="86">
        <f t="shared" si="18"/>
        <v>57230056.30375776</v>
      </c>
      <c r="N52" s="86">
        <f t="shared" si="18"/>
        <v>57230056.30375776</v>
      </c>
      <c r="O52" s="86">
        <f t="shared" si="18"/>
        <v>57230056.30375776</v>
      </c>
      <c r="P52" s="86">
        <f t="shared" si="18"/>
        <v>57230056.30375776</v>
      </c>
      <c r="Q52" s="86">
        <f t="shared" si="16"/>
        <v>47312650.445007764</v>
      </c>
      <c r="R52" s="107"/>
      <c r="S52" s="108"/>
      <c r="T52" s="109"/>
      <c r="U52" s="86"/>
      <c r="V52" s="86"/>
      <c r="W52" s="86"/>
      <c r="X52" s="86"/>
      <c r="Y52" s="86">
        <f>Q52</f>
        <v>47312650.445007764</v>
      </c>
    </row>
    <row r="53" spans="1:25" ht="12.75">
      <c r="A53" s="30">
        <v>58</v>
      </c>
      <c r="B53" s="30">
        <v>23600033.1</v>
      </c>
      <c r="C53" s="31" t="s">
        <v>64</v>
      </c>
      <c r="D53" s="86">
        <f>-D33</f>
        <v>19046784.396242242</v>
      </c>
      <c r="E53" s="86">
        <f aca="true" t="shared" si="19" ref="E53:P53">-E33</f>
        <v>19046784.396242242</v>
      </c>
      <c r="F53" s="86">
        <f t="shared" si="19"/>
        <v>2969498.3962422423</v>
      </c>
      <c r="G53" s="86">
        <f t="shared" si="19"/>
        <v>2969498.3962422423</v>
      </c>
      <c r="H53" s="86">
        <f t="shared" si="19"/>
        <v>2969498.3962422423</v>
      </c>
      <c r="I53" s="86">
        <f t="shared" si="19"/>
        <v>2969498.3962422423</v>
      </c>
      <c r="J53" s="86">
        <f t="shared" si="19"/>
        <v>2969498.3962422423</v>
      </c>
      <c r="K53" s="86">
        <f t="shared" si="19"/>
        <v>2969498.3962422423</v>
      </c>
      <c r="L53" s="86">
        <f t="shared" si="19"/>
        <v>2969498.3962422423</v>
      </c>
      <c r="M53" s="86">
        <f t="shared" si="19"/>
        <v>3514566.696242242</v>
      </c>
      <c r="N53" s="86">
        <f t="shared" si="19"/>
        <v>3514566.696242242</v>
      </c>
      <c r="O53" s="86">
        <f t="shared" si="19"/>
        <v>3514566.696242242</v>
      </c>
      <c r="P53" s="86">
        <f t="shared" si="19"/>
        <v>3514566.696242242</v>
      </c>
      <c r="Q53" s="86">
        <f t="shared" si="16"/>
        <v>5138137.40040891</v>
      </c>
      <c r="R53" s="107" t="s">
        <v>8</v>
      </c>
      <c r="S53" s="108" t="s">
        <v>8</v>
      </c>
      <c r="T53" s="109">
        <v>28.1</v>
      </c>
      <c r="U53" s="86"/>
      <c r="V53" s="86"/>
      <c r="W53" s="86">
        <f>Q53</f>
        <v>5138137.40040891</v>
      </c>
      <c r="X53" s="86"/>
      <c r="Y53" s="86"/>
    </row>
    <row r="54" spans="1:25" ht="12.75">
      <c r="A54" s="30">
        <v>59</v>
      </c>
      <c r="B54" s="23">
        <v>28200002</v>
      </c>
      <c r="C54" s="24" t="s">
        <v>12</v>
      </c>
      <c r="D54" s="86">
        <f>+D46</f>
        <v>-261957530.62</v>
      </c>
      <c r="E54" s="86">
        <f aca="true" t="shared" si="20" ref="E54:P54">+E46</f>
        <v>-262958530.62</v>
      </c>
      <c r="F54" s="86">
        <f t="shared" si="20"/>
        <v>-263964530.62</v>
      </c>
      <c r="G54" s="86">
        <f t="shared" si="20"/>
        <v>-264967501.62</v>
      </c>
      <c r="H54" s="86">
        <f t="shared" si="20"/>
        <v>-265968825.17000002</v>
      </c>
      <c r="I54" s="86">
        <f t="shared" si="20"/>
        <v>-266979711.97</v>
      </c>
      <c r="J54" s="86">
        <f t="shared" si="20"/>
        <v>-267611748.24635744</v>
      </c>
      <c r="K54" s="86">
        <f t="shared" si="20"/>
        <v>-268553784.52271485</v>
      </c>
      <c r="L54" s="86">
        <f t="shared" si="20"/>
        <v>-269495820.79907227</v>
      </c>
      <c r="M54" s="86">
        <f t="shared" si="20"/>
        <v>-283048866.62542975</v>
      </c>
      <c r="N54" s="86">
        <f t="shared" si="20"/>
        <v>-284669826.7517872</v>
      </c>
      <c r="O54" s="86">
        <f t="shared" si="20"/>
        <v>-286290786.87814456</v>
      </c>
      <c r="P54" s="86">
        <f t="shared" si="20"/>
        <v>-306147901.67</v>
      </c>
      <c r="Q54" s="86">
        <f t="shared" si="16"/>
        <v>-272380220.83070886</v>
      </c>
      <c r="R54" s="107" t="s">
        <v>8</v>
      </c>
      <c r="S54" s="108">
        <v>10</v>
      </c>
      <c r="T54" s="109">
        <v>39</v>
      </c>
      <c r="U54" s="86"/>
      <c r="V54" s="86">
        <f>Q54</f>
        <v>-272380220.83070886</v>
      </c>
      <c r="W54" s="86">
        <f>Q54</f>
        <v>-272380220.83070886</v>
      </c>
      <c r="X54" s="86"/>
      <c r="Y54" s="86"/>
    </row>
    <row r="55" spans="1:25" ht="12.75">
      <c r="A55" s="30">
        <v>60</v>
      </c>
      <c r="B55" s="23" t="s">
        <v>65</v>
      </c>
      <c r="C55" s="24" t="s">
        <v>66</v>
      </c>
      <c r="D55" s="86">
        <f>-D45</f>
        <v>-24411570.05</v>
      </c>
      <c r="E55" s="86">
        <f aca="true" t="shared" si="21" ref="E55:P55">-E45</f>
        <v>-24540570.05</v>
      </c>
      <c r="F55" s="86">
        <f t="shared" si="21"/>
        <v>-24669570.05</v>
      </c>
      <c r="G55" s="86">
        <f t="shared" si="21"/>
        <v>-24575599.05</v>
      </c>
      <c r="H55" s="86">
        <f t="shared" si="21"/>
        <v>-24630275.5</v>
      </c>
      <c r="I55" s="86">
        <f t="shared" si="21"/>
        <v>-24651388.7</v>
      </c>
      <c r="J55" s="86">
        <f t="shared" si="21"/>
        <v>-24699352.423642572</v>
      </c>
      <c r="K55" s="86">
        <f t="shared" si="21"/>
        <v>-24747316.14728514</v>
      </c>
      <c r="L55" s="86">
        <f t="shared" si="21"/>
        <v>-24795279.870927714</v>
      </c>
      <c r="M55" s="86">
        <f t="shared" si="21"/>
        <v>-24329351.044570282</v>
      </c>
      <c r="N55" s="86">
        <f t="shared" si="21"/>
        <v>-24311940.918212853</v>
      </c>
      <c r="O55" s="86">
        <f t="shared" si="21"/>
        <v>-24294530.791855425</v>
      </c>
      <c r="P55" s="86">
        <f t="shared" si="21"/>
        <v>-24641242</v>
      </c>
      <c r="Q55" s="86">
        <f t="shared" si="16"/>
        <v>-24564298.38095783</v>
      </c>
      <c r="R55" s="107"/>
      <c r="S55" s="108"/>
      <c r="T55" s="109">
        <v>39</v>
      </c>
      <c r="U55" s="86"/>
      <c r="W55" s="86">
        <f>Q55</f>
        <v>-24564298.38095783</v>
      </c>
      <c r="X55" s="86"/>
      <c r="Y55" s="86"/>
    </row>
    <row r="56" spans="1:25" ht="12.75">
      <c r="A56" s="30">
        <v>61</v>
      </c>
      <c r="B56" s="23">
        <v>28200121</v>
      </c>
      <c r="C56" s="24" t="s">
        <v>13</v>
      </c>
      <c r="D56" s="41">
        <f>+D40</f>
        <v>-685022995.52</v>
      </c>
      <c r="E56" s="41">
        <f aca="true" t="shared" si="22" ref="E56:P56">+E40</f>
        <v>-688567995.52</v>
      </c>
      <c r="F56" s="41">
        <f t="shared" si="22"/>
        <v>-692112995.52</v>
      </c>
      <c r="G56" s="41">
        <f t="shared" si="22"/>
        <v>-695657995.52</v>
      </c>
      <c r="H56" s="41">
        <f t="shared" si="22"/>
        <v>-701608567.52</v>
      </c>
      <c r="I56" s="41">
        <f t="shared" si="22"/>
        <v>-705153567.92</v>
      </c>
      <c r="J56" s="41">
        <f t="shared" si="22"/>
        <v>-712348920.4140352</v>
      </c>
      <c r="K56" s="41">
        <f t="shared" si="22"/>
        <v>-716501919.9080704</v>
      </c>
      <c r="L56" s="41">
        <f t="shared" si="22"/>
        <v>-720654919.4021057</v>
      </c>
      <c r="M56" s="41">
        <f t="shared" si="22"/>
        <v>-773224953.096141</v>
      </c>
      <c r="N56" s="41">
        <f t="shared" si="22"/>
        <v>-781957196.2901763</v>
      </c>
      <c r="O56" s="41">
        <f t="shared" si="22"/>
        <v>-790689441.2842115</v>
      </c>
      <c r="P56" s="41">
        <f t="shared" si="22"/>
        <v>-806794647.42</v>
      </c>
      <c r="Q56" s="41">
        <f t="shared" si="16"/>
        <v>-727032274.4887282</v>
      </c>
      <c r="R56" s="107">
        <v>33</v>
      </c>
      <c r="S56" s="108" t="s">
        <v>8</v>
      </c>
      <c r="T56" s="109">
        <v>22</v>
      </c>
      <c r="U56" s="41">
        <f>Q56</f>
        <v>-727032274.4887282</v>
      </c>
      <c r="V56" s="41"/>
      <c r="W56" s="41">
        <f>Q56</f>
        <v>-727032274.4887282</v>
      </c>
      <c r="X56" s="86"/>
      <c r="Y56" s="86"/>
    </row>
    <row r="57" spans="1:25" ht="13.5" thickBot="1">
      <c r="A57" s="30">
        <v>62</v>
      </c>
      <c r="B57" s="23" t="s">
        <v>67</v>
      </c>
      <c r="C57" s="24" t="s">
        <v>68</v>
      </c>
      <c r="D57" s="86">
        <f>-D39</f>
        <v>-41211889.9</v>
      </c>
      <c r="E57" s="86">
        <f aca="true" t="shared" si="23" ref="E57:P57">-E39</f>
        <v>-41330889.9</v>
      </c>
      <c r="F57" s="86">
        <f t="shared" si="23"/>
        <v>-41449889.9</v>
      </c>
      <c r="G57" s="86">
        <f t="shared" si="23"/>
        <v>-41244985.9</v>
      </c>
      <c r="H57" s="86">
        <f t="shared" si="23"/>
        <v>-41256017.9</v>
      </c>
      <c r="I57" s="86">
        <f t="shared" si="23"/>
        <v>-41439122.5</v>
      </c>
      <c r="J57" s="86">
        <f t="shared" si="23"/>
        <v>-41484569.00596474</v>
      </c>
      <c r="K57" s="86">
        <f t="shared" si="23"/>
        <v>-41530015.51192949</v>
      </c>
      <c r="L57" s="86">
        <f t="shared" si="23"/>
        <v>-41575462.01789423</v>
      </c>
      <c r="M57" s="86">
        <f t="shared" si="23"/>
        <v>-41494204.32385897</v>
      </c>
      <c r="N57" s="86">
        <f t="shared" si="23"/>
        <v>-41472684.12982372</v>
      </c>
      <c r="O57" s="86">
        <f t="shared" si="23"/>
        <v>-41451162.135788456</v>
      </c>
      <c r="P57" s="86">
        <f t="shared" si="23"/>
        <v>-41273827</v>
      </c>
      <c r="Q57" s="86">
        <f t="shared" si="16"/>
        <v>-41414321.806271635</v>
      </c>
      <c r="R57" s="110"/>
      <c r="S57" s="111"/>
      <c r="T57" s="112">
        <v>22</v>
      </c>
      <c r="U57" s="113"/>
      <c r="V57" s="113"/>
      <c r="W57" s="114">
        <f>Q57</f>
        <v>-41414321.806271635</v>
      </c>
      <c r="X57" s="114"/>
      <c r="Y57" s="114"/>
    </row>
    <row r="58" spans="1:25" ht="12.75">
      <c r="A58" s="30">
        <v>63</v>
      </c>
      <c r="D58" s="115">
        <f>SUM(D49:D57)</f>
        <v>-914491254.56</v>
      </c>
      <c r="E58" s="115">
        <f aca="true" t="shared" si="24" ref="E58:P58">SUM(E49:E57)</f>
        <v>-925169207.56</v>
      </c>
      <c r="F58" s="115">
        <f t="shared" si="24"/>
        <v>-949766399.91</v>
      </c>
      <c r="G58" s="115">
        <f t="shared" si="24"/>
        <v>-959496188.91</v>
      </c>
      <c r="H58" s="115">
        <f t="shared" si="24"/>
        <v>-966930229.91</v>
      </c>
      <c r="I58" s="115">
        <f t="shared" si="24"/>
        <v>-973425069.4</v>
      </c>
      <c r="J58" s="115">
        <f t="shared" si="24"/>
        <v>-961545606.05</v>
      </c>
      <c r="K58" s="115">
        <f t="shared" si="24"/>
        <v>-965930396.05</v>
      </c>
      <c r="L58" s="115">
        <f t="shared" si="24"/>
        <v>-963070754.05</v>
      </c>
      <c r="M58" s="115">
        <f t="shared" si="24"/>
        <v>-994236425.03</v>
      </c>
      <c r="N58" s="115">
        <f t="shared" si="24"/>
        <v>-1003177179.8</v>
      </c>
      <c r="O58" s="115">
        <f t="shared" si="24"/>
        <v>-1022427720.05</v>
      </c>
      <c r="P58" s="115">
        <f t="shared" si="24"/>
        <v>-1019204678.05</v>
      </c>
      <c r="Q58" s="115">
        <f>SUM(Q49:Q57)</f>
        <v>-971001928.5854166</v>
      </c>
      <c r="R58" s="108"/>
      <c r="S58" s="47" t="s">
        <v>163</v>
      </c>
      <c r="T58" s="50">
        <v>0.5566529549793683</v>
      </c>
      <c r="U58" s="41"/>
      <c r="V58" s="32"/>
      <c r="W58" s="41"/>
      <c r="X58" s="32"/>
      <c r="Y58" s="32"/>
    </row>
    <row r="59" spans="1:25" ht="13.5" thickBot="1">
      <c r="A59" s="30">
        <v>64</v>
      </c>
      <c r="B59" s="31" t="s">
        <v>9</v>
      </c>
      <c r="D59" s="116">
        <f aca="true" t="shared" si="25" ref="D59:Q59">+D8-D58</f>
        <v>0</v>
      </c>
      <c r="E59" s="116">
        <f t="shared" si="25"/>
        <v>0</v>
      </c>
      <c r="F59" s="116">
        <f t="shared" si="25"/>
        <v>0</v>
      </c>
      <c r="G59" s="116">
        <f t="shared" si="25"/>
        <v>0</v>
      </c>
      <c r="H59" s="116">
        <f t="shared" si="25"/>
        <v>0</v>
      </c>
      <c r="I59" s="116">
        <f t="shared" si="25"/>
        <v>0</v>
      </c>
      <c r="J59" s="116">
        <f t="shared" si="25"/>
        <v>0</v>
      </c>
      <c r="K59" s="116">
        <f t="shared" si="25"/>
        <v>0</v>
      </c>
      <c r="L59" s="116">
        <f t="shared" si="25"/>
        <v>0</v>
      </c>
      <c r="M59" s="116">
        <f t="shared" si="25"/>
        <v>0</v>
      </c>
      <c r="N59" s="116">
        <f t="shared" si="25"/>
        <v>0</v>
      </c>
      <c r="O59" s="116">
        <f t="shared" si="25"/>
        <v>0</v>
      </c>
      <c r="P59" s="116">
        <f t="shared" si="25"/>
        <v>0</v>
      </c>
      <c r="Q59" s="116">
        <f t="shared" si="25"/>
        <v>0</v>
      </c>
      <c r="S59" s="48" t="s">
        <v>162</v>
      </c>
      <c r="T59" s="49">
        <v>0.4433470450206317</v>
      </c>
      <c r="U59" s="91">
        <f>SUM(U50:U57)</f>
        <v>-703796345.9409819</v>
      </c>
      <c r="V59" s="91">
        <f>SUM(V50:V57)</f>
        <v>-253873932.18568462</v>
      </c>
      <c r="W59" s="91">
        <f>SUM(W50:W57)</f>
        <v>-1018314579.0304242</v>
      </c>
      <c r="X59" s="91">
        <f>SUM(X50:X57)</f>
        <v>0</v>
      </c>
      <c r="Y59" s="91">
        <f>SUM(Y50:Y57)</f>
        <v>47312650.445007764</v>
      </c>
    </row>
    <row r="60" spans="7:25" ht="14.25" thickBot="1" thickTop="1"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U60" s="116">
        <f>U8-U59</f>
        <v>-52501047.570500374</v>
      </c>
      <c r="V60" s="116">
        <f>V8-V59</f>
        <v>-33394337.029916465</v>
      </c>
      <c r="W60" s="116">
        <f>W8-W59</f>
        <v>-25251083.696659088</v>
      </c>
      <c r="X60" s="116">
        <f>X8-X59</f>
        <v>0</v>
      </c>
      <c r="Y60" s="116">
        <f>Y8-Y59</f>
        <v>25251083.696658902</v>
      </c>
    </row>
    <row r="61" spans="4:17" ht="13.5" thickTop="1"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7:21" ht="12.75"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U62" s="86"/>
    </row>
  </sheetData>
  <sheetProtection/>
  <mergeCells count="1">
    <mergeCell ref="R49:T49"/>
  </mergeCells>
  <printOptions/>
  <pageMargins left="0" right="0" top="0.63" bottom="0.38" header="0.3" footer="0.3"/>
  <pageSetup fitToHeight="3" fitToWidth="1" horizontalDpi="600" verticalDpi="600" orientation="landscape" paperSize="5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4.421875" style="51" customWidth="1"/>
    <col min="2" max="2" width="24.421875" style="52" customWidth="1"/>
    <col min="3" max="255" width="12.7109375" style="52" customWidth="1"/>
    <col min="256" max="16384" width="9.140625" style="52" customWidth="1"/>
  </cols>
  <sheetData>
    <row r="1" ht="12.75">
      <c r="B1" s="52" t="s">
        <v>160</v>
      </c>
    </row>
    <row r="2" ht="12.75">
      <c r="B2" s="52" t="s">
        <v>36</v>
      </c>
    </row>
    <row r="3" ht="12.75">
      <c r="B3" s="52" t="s">
        <v>37</v>
      </c>
    </row>
    <row r="6" spans="1:4" ht="12.75">
      <c r="A6" s="51">
        <v>1</v>
      </c>
      <c r="C6" s="53" t="s">
        <v>38</v>
      </c>
      <c r="D6" s="53" t="s">
        <v>39</v>
      </c>
    </row>
    <row r="7" ht="12.75">
      <c r="A7" s="51">
        <v>2</v>
      </c>
    </row>
    <row r="8" spans="1:4" ht="12.75">
      <c r="A8" s="51">
        <v>3</v>
      </c>
      <c r="B8" s="52" t="s">
        <v>40</v>
      </c>
      <c r="C8" s="52">
        <f>+D8/0.35</f>
        <v>92373885.71428572</v>
      </c>
      <c r="D8" s="52">
        <v>32330860</v>
      </c>
    </row>
    <row r="9" spans="1:4" ht="12.75">
      <c r="A9" s="51">
        <v>4</v>
      </c>
      <c r="B9" s="52" t="s">
        <v>41</v>
      </c>
      <c r="C9" s="52">
        <f>+D9/0.35</f>
        <v>190945477.14285716</v>
      </c>
      <c r="D9" s="52">
        <v>66830917</v>
      </c>
    </row>
    <row r="10" spans="1:4" ht="12.75">
      <c r="A10" s="51">
        <v>5</v>
      </c>
      <c r="B10" s="52" t="s">
        <v>42</v>
      </c>
      <c r="C10" s="54">
        <f>+C8+C9</f>
        <v>283319362.85714287</v>
      </c>
      <c r="D10" s="54">
        <f>+D8+D9</f>
        <v>99161777</v>
      </c>
    </row>
    <row r="11" ht="12.75">
      <c r="A11" s="51">
        <v>6</v>
      </c>
    </row>
    <row r="12" ht="12.75">
      <c r="A12" s="51">
        <v>7</v>
      </c>
    </row>
    <row r="13" ht="12.75">
      <c r="A13" s="51">
        <v>8</v>
      </c>
    </row>
    <row r="14" spans="1:4" ht="12.75">
      <c r="A14" s="51">
        <v>9</v>
      </c>
      <c r="B14" s="52" t="s">
        <v>43</v>
      </c>
      <c r="C14" s="52">
        <v>247011874</v>
      </c>
      <c r="D14" s="52">
        <f>+C14*0.35</f>
        <v>86454155.89999999</v>
      </c>
    </row>
    <row r="15" spans="1:4" ht="12.75">
      <c r="A15" s="51">
        <v>10</v>
      </c>
      <c r="B15" s="52" t="s">
        <v>44</v>
      </c>
      <c r="C15" s="52">
        <v>299446088</v>
      </c>
      <c r="D15" s="52">
        <f>+C15*0.35</f>
        <v>104806130.8</v>
      </c>
    </row>
    <row r="16" ht="12.75">
      <c r="A16" s="51">
        <v>11</v>
      </c>
    </row>
    <row r="17" ht="12.75">
      <c r="A17" s="51">
        <v>12</v>
      </c>
    </row>
    <row r="18" ht="12.75">
      <c r="A18" s="51">
        <v>13</v>
      </c>
    </row>
    <row r="19" ht="12.75">
      <c r="A19" s="51">
        <v>14</v>
      </c>
    </row>
    <row r="20" spans="1:8" ht="12.75">
      <c r="A20" s="51">
        <v>15</v>
      </c>
      <c r="C20" s="55"/>
      <c r="D20" s="56" t="s">
        <v>38</v>
      </c>
      <c r="E20" s="57"/>
      <c r="F20" s="55"/>
      <c r="G20" s="56" t="s">
        <v>39</v>
      </c>
      <c r="H20" s="58"/>
    </row>
    <row r="21" spans="1:8" ht="12.75">
      <c r="A21" s="51">
        <v>16</v>
      </c>
      <c r="C21" s="53" t="s">
        <v>163</v>
      </c>
      <c r="D21" s="53" t="s">
        <v>162</v>
      </c>
      <c r="E21" s="53" t="s">
        <v>149</v>
      </c>
      <c r="F21" s="59" t="s">
        <v>163</v>
      </c>
      <c r="G21" s="53" t="s">
        <v>162</v>
      </c>
      <c r="H21" s="53" t="s">
        <v>149</v>
      </c>
    </row>
    <row r="22" spans="1:6" ht="12.75">
      <c r="A22" s="51">
        <v>17</v>
      </c>
      <c r="B22" s="60" t="s">
        <v>45</v>
      </c>
      <c r="F22" s="61"/>
    </row>
    <row r="23" spans="1:8" ht="12.75">
      <c r="A23" s="51">
        <v>18</v>
      </c>
      <c r="B23" s="52" t="s">
        <v>46</v>
      </c>
      <c r="C23" s="52">
        <v>-92580811.26530005</v>
      </c>
      <c r="D23" s="52">
        <v>-82097976.8547</v>
      </c>
      <c r="E23" s="52">
        <f>SUM(C23:D23)</f>
        <v>-174678788.12000006</v>
      </c>
      <c r="F23" s="61">
        <f>+C23*0.35</f>
        <v>-32403283.942855015</v>
      </c>
      <c r="G23" s="52">
        <f>+D23*0.35</f>
        <v>-28734291.899145</v>
      </c>
      <c r="H23" s="52">
        <f>SUM(F23:G23)</f>
        <v>-61137575.842000015</v>
      </c>
    </row>
    <row r="24" spans="1:8" ht="13.5" thickBot="1">
      <c r="A24" s="51">
        <v>19</v>
      </c>
      <c r="B24" s="52" t="s">
        <v>47</v>
      </c>
      <c r="C24" s="62">
        <f>+$E$24*C23/$E$23</f>
        <v>48958716.726001635</v>
      </c>
      <c r="D24" s="62">
        <f>+$E$24*D23/$E$23</f>
        <v>43415169.27399836</v>
      </c>
      <c r="E24" s="62">
        <v>92373886</v>
      </c>
      <c r="F24" s="63">
        <f>+C24*0.35</f>
        <v>17135550.85410057</v>
      </c>
      <c r="G24" s="62">
        <f>+D24*0.35</f>
        <v>15195309.245899424</v>
      </c>
      <c r="H24" s="62">
        <f>SUM(F24:G24)</f>
        <v>32330860.099999994</v>
      </c>
    </row>
    <row r="25" spans="1:6" ht="13.5" thickTop="1">
      <c r="A25" s="51">
        <v>20</v>
      </c>
      <c r="B25" s="52" t="s">
        <v>48</v>
      </c>
      <c r="C25" s="52">
        <v>162028991</v>
      </c>
      <c r="D25" s="52">
        <v>84982883</v>
      </c>
      <c r="E25" s="52">
        <f>+C25+D25</f>
        <v>247011874</v>
      </c>
      <c r="F25" s="61"/>
    </row>
    <row r="26" spans="1:6" ht="12.75">
      <c r="A26" s="51">
        <v>21</v>
      </c>
      <c r="F26" s="61"/>
    </row>
    <row r="27" spans="1:6" ht="12.75">
      <c r="A27" s="51">
        <v>22</v>
      </c>
      <c r="F27" s="61"/>
    </row>
    <row r="28" spans="1:6" ht="12.75">
      <c r="A28" s="51">
        <v>23</v>
      </c>
      <c r="B28" s="60" t="s">
        <v>49</v>
      </c>
      <c r="F28" s="61"/>
    </row>
    <row r="29" spans="1:8" ht="12.75">
      <c r="A29" s="51">
        <v>24</v>
      </c>
      <c r="B29" s="52" t="s">
        <v>50</v>
      </c>
      <c r="C29" s="52">
        <v>-125710407.22509998</v>
      </c>
      <c r="D29" s="52">
        <v>-95010757.7049</v>
      </c>
      <c r="E29" s="52">
        <f>SUM(C29:D29)</f>
        <v>-220721164.92999998</v>
      </c>
      <c r="F29" s="61">
        <f>+C29*0.35</f>
        <v>-43998642.52878499</v>
      </c>
      <c r="G29" s="52">
        <f>+D29*0.35</f>
        <v>-33253765.196714997</v>
      </c>
      <c r="H29" s="52">
        <f>SUM(F29:G29)</f>
        <v>-77252407.72549999</v>
      </c>
    </row>
    <row r="30" spans="1:8" ht="13.5" thickBot="1">
      <c r="A30" s="51">
        <v>25</v>
      </c>
      <c r="B30" s="52" t="s">
        <v>51</v>
      </c>
      <c r="C30" s="62">
        <f>+$E$30*C29/$E$29</f>
        <v>108751843.97034253</v>
      </c>
      <c r="D30" s="62">
        <f>+$E$30*D29/$E$29</f>
        <v>82193633.17251465</v>
      </c>
      <c r="E30" s="62">
        <v>190945477.14285716</v>
      </c>
      <c r="F30" s="63">
        <f>+C30*0.35</f>
        <v>38063145.38961989</v>
      </c>
      <c r="G30" s="62">
        <f>+D30*0.35</f>
        <v>28767771.610380124</v>
      </c>
      <c r="H30" s="62">
        <f>SUM(F30:G30)</f>
        <v>66830917.000000015</v>
      </c>
    </row>
    <row r="31" spans="1:6" ht="13.5" thickTop="1">
      <c r="A31" s="51">
        <v>26</v>
      </c>
      <c r="B31" s="52" t="s">
        <v>48</v>
      </c>
      <c r="C31" s="52">
        <v>215293336</v>
      </c>
      <c r="D31" s="52">
        <v>84152753</v>
      </c>
      <c r="E31" s="52">
        <f>+C31+D31</f>
        <v>299446089</v>
      </c>
      <c r="F31" s="61"/>
    </row>
    <row r="32" spans="1:6" ht="12.75">
      <c r="A32" s="51">
        <v>27</v>
      </c>
      <c r="F32" s="61"/>
    </row>
    <row r="33" spans="1:8" ht="12.75">
      <c r="A33" s="51">
        <v>28</v>
      </c>
      <c r="B33" s="52" t="s">
        <v>52</v>
      </c>
      <c r="C33" s="52">
        <f aca="true" t="shared" si="0" ref="C33:H33">+C24+C30</f>
        <v>157710560.69634417</v>
      </c>
      <c r="D33" s="52">
        <f t="shared" si="0"/>
        <v>125608802.446513</v>
      </c>
      <c r="E33" s="52">
        <f t="shared" si="0"/>
        <v>283319363.1428572</v>
      </c>
      <c r="F33" s="61">
        <f t="shared" si="0"/>
        <v>55198696.24372046</v>
      </c>
      <c r="G33" s="64">
        <f t="shared" si="0"/>
        <v>43963080.85627955</v>
      </c>
      <c r="H33" s="64">
        <f t="shared" si="0"/>
        <v>99161777.10000001</v>
      </c>
    </row>
    <row r="34" spans="1:7" ht="13.5" thickBot="1">
      <c r="A34" s="51">
        <v>29</v>
      </c>
      <c r="E34" s="65" t="s">
        <v>35</v>
      </c>
      <c r="F34" s="66">
        <f>F33/H33</f>
        <v>0.5566529549793683</v>
      </c>
      <c r="G34" s="66">
        <f>G33/H33</f>
        <v>0.4433470450206317</v>
      </c>
    </row>
    <row r="35" ht="13.5" thickTop="1">
      <c r="A35" s="51">
        <v>30</v>
      </c>
    </row>
    <row r="36" spans="1:2" ht="12.75">
      <c r="A36" s="51">
        <v>31</v>
      </c>
      <c r="B36" s="52" t="s">
        <v>53</v>
      </c>
    </row>
    <row r="37" spans="1:7" ht="12.75">
      <c r="A37" s="51">
        <v>32</v>
      </c>
      <c r="C37" s="67" t="s">
        <v>54</v>
      </c>
      <c r="D37" s="67" t="s">
        <v>55</v>
      </c>
      <c r="F37" s="67" t="s">
        <v>54</v>
      </c>
      <c r="G37" s="67" t="s">
        <v>39</v>
      </c>
    </row>
    <row r="38" spans="1:7" ht="12.75">
      <c r="A38" s="51">
        <v>33</v>
      </c>
      <c r="B38" s="52" t="s">
        <v>56</v>
      </c>
      <c r="C38" s="68">
        <v>0.3905</v>
      </c>
      <c r="D38" s="52">
        <f>+C38*C24</f>
        <v>19118378.881503638</v>
      </c>
      <c r="F38" s="68">
        <v>0.3905</v>
      </c>
      <c r="G38" s="52">
        <f>+F38*F24</f>
        <v>6691432.608526273</v>
      </c>
    </row>
    <row r="39" spans="1:7" ht="12.75">
      <c r="A39" s="51">
        <v>34</v>
      </c>
      <c r="B39" s="52" t="s">
        <v>57</v>
      </c>
      <c r="C39" s="68">
        <v>0.2192</v>
      </c>
      <c r="D39" s="52">
        <f>+C39*C30</f>
        <v>23838404.198299084</v>
      </c>
      <c r="F39" s="68">
        <v>0.2192</v>
      </c>
      <c r="G39" s="52">
        <f>+F39*F30</f>
        <v>8343441.46940468</v>
      </c>
    </row>
    <row r="40" spans="1:7" ht="12.75">
      <c r="A40" s="51">
        <v>35</v>
      </c>
      <c r="B40" s="52" t="s">
        <v>58</v>
      </c>
      <c r="D40" s="54">
        <f>SUM(D38:D39)</f>
        <v>42956783.07980272</v>
      </c>
      <c r="G40" s="54">
        <f>SUM(G38:G39)</f>
        <v>15034874.077930953</v>
      </c>
    </row>
    <row r="41" ht="12.75">
      <c r="A41" s="51">
        <v>36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2011-05-26T17:17:32Z</cp:lastPrinted>
  <dcterms:created xsi:type="dcterms:W3CDTF">1999-04-09T16:35:24Z</dcterms:created>
  <dcterms:modified xsi:type="dcterms:W3CDTF">2011-05-27T22:16:48Z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