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0"/>
  </bookViews>
  <sheets>
    <sheet name="2008" sheetId="1" r:id="rId1"/>
    <sheet name="2007" sheetId="2" r:id="rId2"/>
    <sheet name="2006" sheetId="3" r:id="rId3"/>
  </sheets>
  <externalReferences>
    <externalReference r:id="rId6"/>
  </externalReferences>
  <definedNames>
    <definedName name="_xlnm.Print_Area" localSheetId="2">'2006'!#REF!</definedName>
    <definedName name="_xlnm.Print_Area" localSheetId="1">'2007'!$A$1:$Q$66</definedName>
    <definedName name="_xlnm.Print_Area" localSheetId="0">'2008'!$A$1:$Q$67</definedName>
  </definedNames>
  <calcPr fullCalcOnLoad="1"/>
</workbook>
</file>

<file path=xl/comments1.xml><?xml version="1.0" encoding="utf-8"?>
<comments xmlns="http://schemas.openxmlformats.org/spreadsheetml/2006/main">
  <authors>
    <author>KZX5DR</author>
  </authors>
  <commentList>
    <comment ref="D7" authorId="0">
      <text>
        <r>
          <rPr>
            <sz val="10"/>
            <rFont val="Tahoma"/>
            <family val="2"/>
          </rPr>
          <t>includes rounding</t>
        </r>
      </text>
    </comment>
  </commentList>
</comments>
</file>

<file path=xl/comments2.xml><?xml version="1.0" encoding="utf-8"?>
<comments xmlns="http://schemas.openxmlformats.org/spreadsheetml/2006/main">
  <authors>
    <author>KZX5DR</author>
  </authors>
  <commentList>
    <comment ref="D7" authorId="0">
      <text>
        <r>
          <rPr>
            <sz val="11"/>
            <rFont val="Tahoma"/>
            <family val="2"/>
          </rPr>
          <t>add rounding</t>
        </r>
      </text>
    </comment>
  </commentList>
</comments>
</file>

<file path=xl/sharedStrings.xml><?xml version="1.0" encoding="utf-8"?>
<sst xmlns="http://schemas.openxmlformats.org/spreadsheetml/2006/main" count="346" uniqueCount="133">
  <si>
    <t>Actuals</t>
  </si>
  <si>
    <t>Pro-Forma</t>
  </si>
  <si>
    <t>Adjust</t>
  </si>
  <si>
    <t>Uncollectibles</t>
  </si>
  <si>
    <t>Commission Fees</t>
  </si>
  <si>
    <t>Total</t>
  </si>
  <si>
    <t>Operating Income before FIT</t>
  </si>
  <si>
    <t>B&amp;O Tax</t>
  </si>
  <si>
    <t>State Excise Tax</t>
  </si>
  <si>
    <t>Net Operating Income</t>
  </si>
  <si>
    <t>Revenue</t>
  </si>
  <si>
    <t>FIT Expense</t>
  </si>
  <si>
    <t>Norm. Adj.</t>
  </si>
  <si>
    <t>Nominal Rate</t>
  </si>
  <si>
    <t>Effective Rate</t>
  </si>
  <si>
    <t>Rev related exp.</t>
  </si>
  <si>
    <t>check</t>
  </si>
  <si>
    <t>Weather Normalization</t>
  </si>
  <si>
    <t>* zero in Pro-forma revenues</t>
  </si>
  <si>
    <t>Unbilled Revenue</t>
  </si>
  <si>
    <t>Public Purpose Rider</t>
  </si>
  <si>
    <t>Public Purpose Rider Unbilled</t>
  </si>
  <si>
    <t xml:space="preserve">REVENUES  </t>
  </si>
  <si>
    <t xml:space="preserve">EXPENSES  </t>
  </si>
  <si>
    <t xml:space="preserve">Production and Transmission  </t>
  </si>
  <si>
    <t xml:space="preserve">Distribution  </t>
  </si>
  <si>
    <t xml:space="preserve">Administrative &amp; General  </t>
  </si>
  <si>
    <t xml:space="preserve">FEDERAL INCOME TAX  </t>
  </si>
  <si>
    <t xml:space="preserve">Taxes  </t>
  </si>
  <si>
    <t>Conver. Factor b4 FIT</t>
  </si>
  <si>
    <t>Adj. I</t>
  </si>
  <si>
    <t>Tariffed Sales</t>
  </si>
  <si>
    <t>Sales for Resale</t>
  </si>
  <si>
    <t>Unbilled Revenue Transportation</t>
  </si>
  <si>
    <t>Avista Utilities</t>
  </si>
  <si>
    <t>Washington - Gas</t>
  </si>
  <si>
    <t>Pro Forma Gas Costs by Schedule</t>
  </si>
  <si>
    <t>Year Ended 12/31/07</t>
  </si>
  <si>
    <t>Transport</t>
  </si>
  <si>
    <t>Sch 101</t>
  </si>
  <si>
    <t>Sch 111</t>
  </si>
  <si>
    <t>Sch 121</t>
  </si>
  <si>
    <t>Sch 131</t>
  </si>
  <si>
    <t>Sch 146</t>
  </si>
  <si>
    <t>Sp. Contracts</t>
  </si>
  <si>
    <t>Pro Forma Therms(1)</t>
  </si>
  <si>
    <t>Gas Cost Rates(2)</t>
  </si>
  <si>
    <t>Demand</t>
  </si>
  <si>
    <t>Commodity</t>
  </si>
  <si>
    <t>Pro Forma Demand Cost</t>
  </si>
  <si>
    <t>Pro Forma Commodity Cost</t>
  </si>
  <si>
    <t>Pro Forma Gas Cost based on PGA Rates</t>
  </si>
  <si>
    <t>(1) From pro forma revenue study.</t>
  </si>
  <si>
    <t>WA Gas Revenue Normalization Adjustment--2007</t>
  </si>
  <si>
    <t>GTI Funding moved from 804 to Base Rates</t>
  </si>
  <si>
    <t>WA Gas Revenue Normalization Adjustment--2006</t>
  </si>
  <si>
    <t>City Gate Purchases</t>
  </si>
  <si>
    <t>Gas Purchases</t>
  </si>
  <si>
    <t>Net Natural Gas Storage Transactions</t>
  </si>
  <si>
    <t xml:space="preserve">Total General Business </t>
  </si>
  <si>
    <t xml:space="preserve">Total Transportation </t>
  </si>
  <si>
    <t>Other Revenues</t>
  </si>
  <si>
    <t>Net Nat. Gas Storage Trans</t>
  </si>
  <si>
    <t>Customer Accounting</t>
  </si>
  <si>
    <t>Customer Service &amp; Information</t>
  </si>
  <si>
    <t>Operating Expenses</t>
  </si>
  <si>
    <t>Current Accrual (at 35%)</t>
  </si>
  <si>
    <t>NET OPERATING INCOME</t>
  </si>
  <si>
    <t>B&amp;O Tax, Transportation</t>
  </si>
  <si>
    <t>Base + Public Purpose Rider* Rev.</t>
  </si>
  <si>
    <t>Base Revenue, Transportation</t>
  </si>
  <si>
    <t>Total Gas Rev. excl Misc &amp; Other Rev</t>
  </si>
  <si>
    <t>(2) From last (2007) PGA filing.</t>
  </si>
  <si>
    <t>General Business Revenue</t>
  </si>
  <si>
    <t>Revenue Run Total Washington</t>
  </si>
  <si>
    <t>Rate Revenue</t>
  </si>
  <si>
    <t>Includes Adjustment Schedules 150, 155, and 191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</si>
  <si>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</si>
  <si>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</si>
  <si>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</si>
  <si>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</si>
  <si>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</si>
  <si>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</si>
  <si>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</si>
  <si>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Schedule 146</t>
  </si>
  <si>
    <t>Schedule 147</t>
  </si>
  <si>
    <t>Schedule 148</t>
  </si>
  <si>
    <t>WSU capital payments charge</t>
  </si>
  <si>
    <t>less:</t>
  </si>
  <si>
    <t>Schedule 158 B&amp;O Taxes</t>
  </si>
  <si>
    <t>Misc Service Revenues</t>
  </si>
  <si>
    <t>Sales for Resale Revenue</t>
  </si>
  <si>
    <t>Other Gas Revenues</t>
  </si>
  <si>
    <t>less: Misc Service Revenues</t>
  </si>
  <si>
    <t>less: Schedule 158 B&amp;O Taxes</t>
  </si>
  <si>
    <t>per Results of Operations</t>
  </si>
  <si>
    <t>Sch 158 &amp; 158A</t>
  </si>
  <si>
    <t>Billed, incl Misc (Sch 199)</t>
  </si>
  <si>
    <t>Sch 199</t>
  </si>
  <si>
    <t>see above</t>
  </si>
  <si>
    <t>plus: Revenue Recorded by Journal (WSU capital pmts)</t>
  </si>
  <si>
    <t>FERC = 489300, no rev class</t>
  </si>
  <si>
    <t>Rev Class 16,17</t>
  </si>
  <si>
    <t>Base Revenue + Public Purpose Rider* and Decoupling* Revenue</t>
  </si>
  <si>
    <t>Decoupling Amortization</t>
  </si>
  <si>
    <t>Decoupling Surcharge</t>
  </si>
  <si>
    <t>Depreciation</t>
  </si>
  <si>
    <t>for Rev Req Adj file:</t>
  </si>
  <si>
    <t>"Total Genl. Bus." for Rev Req</t>
  </si>
  <si>
    <t>** includes Special Contract revenue (Sch 148); moved to "Other</t>
  </si>
  <si>
    <t>Revenue" in Rev. Req.</t>
  </si>
  <si>
    <t>Transportation For Others**</t>
  </si>
  <si>
    <t>"Total Transp Rev" for Rev Req</t>
  </si>
  <si>
    <t>Sales to Ultimate Consumers / Genl Bus. Rev</t>
  </si>
  <si>
    <t>Net Rev Req b4 PF Adj.</t>
  </si>
  <si>
    <t>Total Gas Revenues, WA (Direct + Allocated)</t>
  </si>
  <si>
    <t>Expense (+ unfav; - fav)</t>
  </si>
  <si>
    <t>Revenue (+ fav; - unfav)</t>
  </si>
  <si>
    <t>Expense</t>
  </si>
  <si>
    <t>Exclude PGA Adjustments b4 B&amp;O Taxes</t>
  </si>
  <si>
    <t>Product Extraction sales in PGA</t>
  </si>
  <si>
    <t>12-months Ended 9/30/08</t>
  </si>
  <si>
    <t>Exclude Sch 158 B&amp;O Taxes</t>
  </si>
  <si>
    <t>addback Comm/Ind refund (net of tax)</t>
  </si>
  <si>
    <t>from Rev Runs</t>
  </si>
  <si>
    <t>Rev Cls 16,17; Sch 199</t>
  </si>
  <si>
    <t>Schedule 132J</t>
  </si>
  <si>
    <t>Schedule 159</t>
  </si>
  <si>
    <t>IDAHO</t>
  </si>
  <si>
    <t>WASH</t>
  </si>
  <si>
    <t>Rent from Gas Property</t>
  </si>
  <si>
    <t>WA Gas Revenue Normalization Adjustment--12-mo. ended 2008</t>
  </si>
  <si>
    <t>(2) From Schedule 156, eff. 11/1/08 (WACOG from 2008 PGA filing--before Rev. Adj. factor)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</si>
</sst>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#,##0.0,"/>
    <numFmt numFmtId="166" formatCode="#,##0.00,"/>
    <numFmt numFmtId="167" formatCode="#,##0.000,"/>
    <numFmt numFmtId="168" formatCode="0.000"/>
    <numFmt numFmtId="169" formatCode="0.000000"/>
    <numFmt numFmtId="170" formatCode="0.0000%"/>
    <numFmt numFmtId="171" formatCode="0.00000"/>
    <numFmt numFmtId="172" formatCode="#,##0.0"/>
    <numFmt numFmtId="173" formatCode="#,##0.000"/>
    <numFmt numFmtId="174" formatCode="&quot;$&quot;#,##0"/>
    <numFmt numFmtId="175" formatCode="#,##0;\-#,##0;"/>
    <numFmt numFmtId="176" formatCode="#,##0;\(#,##0\)"/>
    <numFmt numFmtId="177" formatCode="#,##0\ ;\(#,##0\)"/>
    <numFmt numFmtId="178" formatCode="0.0%"/>
    <numFmt numFmtId="179" formatCode="0.000%"/>
    <numFmt numFmtId="180" formatCode="0.00000%"/>
    <numFmt numFmtId="181" formatCode="#,##0.000000_);\(#,##0.000000\)"/>
    <numFmt numFmtId="182" formatCode="_(* #,##0_);_(* \(#,##0\);_(* &quot;-&quot;??_);_(@_)"/>
    <numFmt numFmtId="183" formatCode="#,##0.0000"/>
    <numFmt numFmtId="184" formatCode="&quot;$&quot;#,##0.0_);[Red]\(&quot;$&quot;#,##0.0\)"/>
    <numFmt numFmtId="185" formatCode="&quot;$&quot;#,##0.0"/>
    <numFmt numFmtId="186" formatCode="&quot;$&quot;#,##0.00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&quot;$&quot;#,##0.000"/>
    <numFmt numFmtId="192" formatCode="&quot;$&quot;#,##0.0000"/>
    <numFmt numFmtId="193" formatCode="&quot;$&quot;#,##0.00000"/>
    <numFmt numFmtId="194" formatCode="&quot;$&quot;#,##0.000_);[Red]\(&quot;$&quot;#,##0.000\)"/>
    <numFmt numFmtId="195" formatCode="&quot;$&quot;#,##0.0000_);[Red]\(&quot;$&quot;#,##0.0000\)"/>
    <numFmt numFmtId="196" formatCode="&quot;$&quot;#,##0.00000_);[Red]\(&quot;$&quot;#,##0.00000\)"/>
    <numFmt numFmtId="197" formatCode="_(&quot;$&quot;* #,##0.00000_);_(&quot;$&quot;* \(#,##0.00000\);_(&quot;$&quot;* &quot;-&quot;??_);_(@_)"/>
    <numFmt numFmtId="198" formatCode="_(&quot;$&quot;* #,##0_);_(&quot;$&quot;* \(#,##0\);_(&quot;$&quot;* &quot;-&quot;??_);_(@_)"/>
    <numFmt numFmtId="199" formatCode="_(* #,##0.00000_);_(* \(#,##0.00000\);_(* &quot;-&quot;?????_);_(@_)"/>
    <numFmt numFmtId="200" formatCode="&quot;$&quot;#,##0.00000_);\(&quot;$&quot;#,##0.00000\)"/>
    <numFmt numFmtId="201" formatCode="#,##0.00000"/>
  </numFmts>
  <fonts count="14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sz val="11"/>
      <name val="Tahoma"/>
      <family val="2"/>
    </font>
    <font>
      <u val="singleAccounting"/>
      <sz val="10"/>
      <color indexed="12"/>
      <name val="Arial"/>
      <family val="0"/>
    </font>
    <font>
      <u val="singleAccounting"/>
      <sz val="10"/>
      <name val="Arial"/>
      <family val="0"/>
    </font>
    <font>
      <sz val="10"/>
      <color indexed="14"/>
      <name val="Arial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3" xfId="0" applyNumberFormat="1" applyFill="1" applyBorder="1" applyAlignment="1">
      <alignment/>
    </xf>
    <xf numFmtId="3" fontId="4" fillId="0" borderId="3" xfId="0" applyNumberFormat="1" applyFont="1" applyFill="1" applyBorder="1" applyAlignment="1" quotePrefix="1">
      <alignment horizontal="right"/>
    </xf>
    <xf numFmtId="3" fontId="0" fillId="0" borderId="3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93" fontId="2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3" fontId="10" fillId="0" borderId="0" xfId="0" applyNumberFormat="1" applyFont="1" applyAlignment="1">
      <alignment/>
    </xf>
    <xf numFmtId="17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75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74" fontId="0" fillId="0" borderId="6" xfId="0" applyNumberFormat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5" fontId="11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5" fontId="0" fillId="0" borderId="7" xfId="0" applyNumberFormat="1" applyBorder="1" applyAlignment="1">
      <alignment/>
    </xf>
    <xf numFmtId="0" fontId="7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17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5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170" fontId="2" fillId="0" borderId="0" xfId="0" applyNumberFormat="1" applyFont="1" applyFill="1" applyAlignment="1">
      <alignment/>
    </xf>
    <xf numFmtId="193" fontId="2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93" fontId="10" fillId="0" borderId="0" xfId="0" applyNumberFormat="1" applyFont="1" applyFill="1" applyAlignment="1">
      <alignment/>
    </xf>
    <xf numFmtId="174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174" fontId="0" fillId="3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85</xdr:row>
      <xdr:rowOff>76200</xdr:rowOff>
    </xdr:from>
    <xdr:to>
      <xdr:col>2</xdr:col>
      <xdr:colOff>714375</xdr:colOff>
      <xdr:row>90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600450" y="14068425"/>
          <a:ext cx="76200" cy="8001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95</xdr:row>
      <xdr:rowOff>76200</xdr:rowOff>
    </xdr:from>
    <xdr:to>
      <xdr:col>2</xdr:col>
      <xdr:colOff>723900</xdr:colOff>
      <xdr:row>109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600450" y="15687675"/>
          <a:ext cx="85725" cy="2295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84</xdr:row>
      <xdr:rowOff>76200</xdr:rowOff>
    </xdr:from>
    <xdr:to>
      <xdr:col>2</xdr:col>
      <xdr:colOff>714375</xdr:colOff>
      <xdr:row>90</xdr:row>
      <xdr:rowOff>66675</xdr:rowOff>
    </xdr:to>
    <xdr:sp>
      <xdr:nvSpPr>
        <xdr:cNvPr id="1" name="AutoShape 20"/>
        <xdr:cNvSpPr>
          <a:spLocks/>
        </xdr:cNvSpPr>
      </xdr:nvSpPr>
      <xdr:spPr>
        <a:xfrm>
          <a:off x="3600450" y="13906500"/>
          <a:ext cx="76200" cy="962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94</xdr:row>
      <xdr:rowOff>76200</xdr:rowOff>
    </xdr:from>
    <xdr:to>
      <xdr:col>2</xdr:col>
      <xdr:colOff>723900</xdr:colOff>
      <xdr:row>108</xdr:row>
      <xdr:rowOff>104775</xdr:rowOff>
    </xdr:to>
    <xdr:sp>
      <xdr:nvSpPr>
        <xdr:cNvPr id="2" name="AutoShape 21"/>
        <xdr:cNvSpPr>
          <a:spLocks/>
        </xdr:cNvSpPr>
      </xdr:nvSpPr>
      <xdr:spPr>
        <a:xfrm>
          <a:off x="3600450" y="15525750"/>
          <a:ext cx="85725" cy="2295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ott\2009%20WA%20Case\Gas\Rate%20Design\WA%20Gas%20revenue%201.6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ROR"/>
      <sheetName val="BFG"/>
      <sheetName val="Bill Determ"/>
      <sheetName val="Big Schedules"/>
      <sheetName val="Usage Adj Summary"/>
      <sheetName val="Usage Adj Detail"/>
      <sheetName val="Rev Runs CY"/>
      <sheetName val="Rev Runs LY"/>
    </sheetNames>
    <sheetDataSet>
      <sheetData sheetId="0">
        <row r="23">
          <cell r="D23">
            <v>118641430.22908077</v>
          </cell>
          <cell r="E23">
            <v>50075941.68157499</v>
          </cell>
          <cell r="F23">
            <v>6664317.08934424</v>
          </cell>
          <cell r="G23">
            <v>654567</v>
          </cell>
          <cell r="H23">
            <v>25326971</v>
          </cell>
          <cell r="I23">
            <v>37417041</v>
          </cell>
          <cell r="J23">
            <v>9099834</v>
          </cell>
        </row>
        <row r="121">
          <cell r="D121">
            <v>157559597.9</v>
          </cell>
          <cell r="E121">
            <v>57331803.919999994</v>
          </cell>
          <cell r="F121">
            <v>6954584.73</v>
          </cell>
          <cell r="G121">
            <v>653477.16</v>
          </cell>
        </row>
        <row r="135">
          <cell r="C135">
            <v>-609591.61</v>
          </cell>
        </row>
        <row r="139">
          <cell r="C139">
            <v>-8013318.6</v>
          </cell>
        </row>
        <row r="145">
          <cell r="C145">
            <v>217337290.90312</v>
          </cell>
          <cell r="D145">
            <v>150653564.04000002</v>
          </cell>
          <cell r="E145">
            <v>55578177.769999996</v>
          </cell>
          <cell r="F145">
            <v>6991334.53</v>
          </cell>
          <cell r="G145">
            <v>653477.16</v>
          </cell>
          <cell r="H145">
            <v>1710689.25</v>
          </cell>
          <cell r="I145">
            <v>1079321.8</v>
          </cell>
          <cell r="J145">
            <v>670726.35312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Q118"/>
  <sheetViews>
    <sheetView showGridLines="0" tabSelected="1" zoomScale="85" zoomScaleNormal="85" workbookViewId="0" topLeftCell="A1">
      <pane ySplit="2" topLeftCell="BM36" activePane="bottomLeft" state="frozen"/>
      <selection pane="topLeft" activeCell="A1" sqref="A1"/>
      <selection pane="bottomLeft" activeCell="F45" sqref="F45:F67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7" width="11.7109375" style="0" customWidth="1"/>
    <col min="8" max="8" width="19.00390625" style="0" customWidth="1"/>
    <col min="9" max="9" width="1.28515625" style="54" customWidth="1"/>
    <col min="10" max="10" width="37.140625" style="0" bestFit="1" customWidth="1"/>
    <col min="11" max="17" width="12.28125" style="0" customWidth="1"/>
  </cols>
  <sheetData>
    <row r="1" spans="1:17" ht="12.75">
      <c r="A1" s="48" t="s">
        <v>131</v>
      </c>
      <c r="E1" s="2" t="s">
        <v>5</v>
      </c>
      <c r="F1" s="23" t="s">
        <v>10</v>
      </c>
      <c r="J1" s="41" t="s">
        <v>34</v>
      </c>
      <c r="K1" s="41"/>
      <c r="L1" s="41"/>
      <c r="M1" s="41"/>
      <c r="N1" s="41"/>
      <c r="O1" s="41"/>
      <c r="P1" s="41"/>
      <c r="Q1" s="41"/>
    </row>
    <row r="2" spans="3:17" ht="12.75">
      <c r="C2" s="2" t="s">
        <v>0</v>
      </c>
      <c r="D2" s="2" t="s">
        <v>1</v>
      </c>
      <c r="E2" s="2" t="s">
        <v>2</v>
      </c>
      <c r="F2" s="24" t="s">
        <v>12</v>
      </c>
      <c r="J2" s="41" t="s">
        <v>35</v>
      </c>
      <c r="K2" s="41"/>
      <c r="L2" s="41"/>
      <c r="M2" s="41"/>
      <c r="N2" s="41"/>
      <c r="O2" s="41"/>
      <c r="P2" s="41"/>
      <c r="Q2" s="41"/>
    </row>
    <row r="3" spans="2:17" ht="12.75">
      <c r="B3" s="18" t="s">
        <v>10</v>
      </c>
      <c r="D3" s="1"/>
      <c r="E3" s="1"/>
      <c r="F3" s="25"/>
      <c r="J3" s="41" t="s">
        <v>36</v>
      </c>
      <c r="K3" s="41"/>
      <c r="L3" s="41"/>
      <c r="M3" s="41"/>
      <c r="N3" s="41"/>
      <c r="O3" s="41"/>
      <c r="P3" s="41"/>
      <c r="Q3" s="41"/>
    </row>
    <row r="4" spans="2:17" ht="25.5">
      <c r="B4" s="22" t="s">
        <v>103</v>
      </c>
      <c r="C4" s="8">
        <f>C8-C6-C7</f>
        <v>212893</v>
      </c>
      <c r="D4" s="58">
        <f>ROUND(SUM('[1]Pres &amp; Prop Rev'!$D$121:$G$121)/1000,0)</f>
        <v>222499</v>
      </c>
      <c r="E4" s="8">
        <f>D4-C4</f>
        <v>9606</v>
      </c>
      <c r="F4" s="34">
        <f>E4</f>
        <v>9606</v>
      </c>
      <c r="J4" s="41" t="s">
        <v>121</v>
      </c>
      <c r="K4" s="41"/>
      <c r="L4" s="41"/>
      <c r="M4" s="41"/>
      <c r="N4" s="41"/>
      <c r="O4" s="41"/>
      <c r="P4" s="41"/>
      <c r="Q4" s="41"/>
    </row>
    <row r="5" spans="2:6" ht="12.75" customHeight="1">
      <c r="B5" t="s">
        <v>17</v>
      </c>
      <c r="C5" s="14"/>
      <c r="D5" s="58">
        <f>ROUND('[1]Pres &amp; Prop Rev'!$C$139/1000,0)</f>
        <v>-8013</v>
      </c>
      <c r="E5" s="8">
        <f>D5-C5</f>
        <v>-8013</v>
      </c>
      <c r="F5" s="34">
        <f>E5</f>
        <v>-8013</v>
      </c>
    </row>
    <row r="6" spans="2:17" ht="12.75">
      <c r="B6" s="3" t="s">
        <v>7</v>
      </c>
      <c r="C6" s="53">
        <v>7839</v>
      </c>
      <c r="D6" s="9">
        <v>0</v>
      </c>
      <c r="E6" s="8">
        <f>D6-C6</f>
        <v>-7839</v>
      </c>
      <c r="F6" s="35" t="s">
        <v>30</v>
      </c>
      <c r="K6" s="31"/>
      <c r="L6" s="31"/>
      <c r="M6" s="31"/>
      <c r="N6" s="31"/>
      <c r="O6" s="31"/>
      <c r="P6" s="31" t="s">
        <v>38</v>
      </c>
      <c r="Q6" s="31" t="s">
        <v>38</v>
      </c>
    </row>
    <row r="7" spans="2:17" ht="12.75">
      <c r="B7" t="s">
        <v>19</v>
      </c>
      <c r="C7" s="53">
        <v>-712</v>
      </c>
      <c r="D7" s="58">
        <f>ROUND('[1]Pres &amp; Prop Rev'!$C$135/1000,0)</f>
        <v>-610</v>
      </c>
      <c r="E7" s="8">
        <f>D7-C7</f>
        <v>102</v>
      </c>
      <c r="F7" s="34">
        <f>E7</f>
        <v>102</v>
      </c>
      <c r="K7" s="42" t="s">
        <v>5</v>
      </c>
      <c r="L7" s="42" t="s">
        <v>39</v>
      </c>
      <c r="M7" s="42" t="s">
        <v>40</v>
      </c>
      <c r="N7" s="42" t="s">
        <v>41</v>
      </c>
      <c r="O7" s="42" t="s">
        <v>42</v>
      </c>
      <c r="P7" s="42" t="s">
        <v>43</v>
      </c>
      <c r="Q7" s="42" t="s">
        <v>44</v>
      </c>
    </row>
    <row r="8" spans="2:6" ht="12.75">
      <c r="B8" s="20" t="s">
        <v>113</v>
      </c>
      <c r="C8" s="50">
        <v>220020</v>
      </c>
      <c r="D8" s="11">
        <f>SUM(D4:D7)</f>
        <v>213876</v>
      </c>
      <c r="E8" s="11">
        <f>D8-C8</f>
        <v>-6144</v>
      </c>
      <c r="F8" s="51">
        <f>SUM(F4:F7)</f>
        <v>1695</v>
      </c>
    </row>
    <row r="9" spans="2:17" ht="12.75">
      <c r="B9" s="20"/>
      <c r="C9" s="8"/>
      <c r="D9" s="56">
        <f>ROUND(SUM('[1]Pres &amp; Prop Rev'!$D$145:$G$145)/1000,0)-D8</f>
        <v>1</v>
      </c>
      <c r="E9" s="8"/>
      <c r="F9" s="34"/>
      <c r="J9" t="s">
        <v>45</v>
      </c>
      <c r="K9" s="1">
        <f>SUM(L9:Q9)</f>
        <v>247880102</v>
      </c>
      <c r="L9" s="1">
        <f>'[1]Pres &amp; Prop Rev'!D23</f>
        <v>118641430.22908077</v>
      </c>
      <c r="M9" s="1">
        <f>'[1]Pres &amp; Prop Rev'!E23</f>
        <v>50075941.68157499</v>
      </c>
      <c r="N9" s="1">
        <f>'[1]Pres &amp; Prop Rev'!F23</f>
        <v>6664317.08934424</v>
      </c>
      <c r="O9" s="1">
        <f>'[1]Pres &amp; Prop Rev'!G23</f>
        <v>654567</v>
      </c>
      <c r="P9" s="1">
        <f>'[1]Pres &amp; Prop Rev'!H23</f>
        <v>25326971</v>
      </c>
      <c r="Q9" s="1">
        <f>SUM('[1]Pres &amp; Prop Rev'!$I$23:$J$23)</f>
        <v>46516875</v>
      </c>
    </row>
    <row r="10" spans="2:6" ht="12.75">
      <c r="B10" s="22" t="s">
        <v>70</v>
      </c>
      <c r="C10" s="8">
        <f>C13-C11-C12</f>
        <v>3419</v>
      </c>
      <c r="D10" s="58">
        <f>ROUND(SUM('[1]Pres &amp; Prop Rev'!$H$145:$J$145)/1000,0)</f>
        <v>3461</v>
      </c>
      <c r="E10" s="8">
        <f>D10-C10</f>
        <v>42</v>
      </c>
      <c r="F10" s="34">
        <f>E10</f>
        <v>42</v>
      </c>
    </row>
    <row r="11" spans="2:10" ht="12.75">
      <c r="B11" s="3" t="s">
        <v>68</v>
      </c>
      <c r="C11" s="53">
        <f>ROUND(7913.87758,0)-C6</f>
        <v>75</v>
      </c>
      <c r="D11" s="9">
        <v>0</v>
      </c>
      <c r="E11" s="8">
        <f>D11-C11</f>
        <v>-75</v>
      </c>
      <c r="F11" s="35" t="s">
        <v>30</v>
      </c>
      <c r="J11" t="s">
        <v>46</v>
      </c>
    </row>
    <row r="12" spans="2:16" ht="12.75">
      <c r="B12" t="s">
        <v>33</v>
      </c>
      <c r="C12" s="9">
        <f>ROUND(-719.502,0)-C7</f>
        <v>-8</v>
      </c>
      <c r="D12" s="9">
        <v>0</v>
      </c>
      <c r="E12" s="8">
        <f>D12-C12</f>
        <v>8</v>
      </c>
      <c r="F12" s="34">
        <f>E12</f>
        <v>8</v>
      </c>
      <c r="J12" s="20" t="s">
        <v>47</v>
      </c>
      <c r="L12" s="71">
        <v>0.09274</v>
      </c>
      <c r="M12" s="71">
        <v>0.09007</v>
      </c>
      <c r="N12" s="71">
        <v>0.07476</v>
      </c>
      <c r="O12" s="71">
        <v>0.05703</v>
      </c>
      <c r="P12" s="71">
        <v>0.00054</v>
      </c>
    </row>
    <row r="13" spans="2:16" ht="15">
      <c r="B13" s="20" t="s">
        <v>111</v>
      </c>
      <c r="C13" s="50">
        <v>3486</v>
      </c>
      <c r="D13" s="11">
        <f>SUM(D10:D12)</f>
        <v>3461</v>
      </c>
      <c r="E13" s="11">
        <f>D13-C13</f>
        <v>-25</v>
      </c>
      <c r="F13" s="51">
        <f>SUM(F10:F12)</f>
        <v>50</v>
      </c>
      <c r="J13" s="20" t="s">
        <v>48</v>
      </c>
      <c r="L13" s="72">
        <v>0.80175</v>
      </c>
      <c r="M13" s="73">
        <f>L13</f>
        <v>0.80175</v>
      </c>
      <c r="N13" s="73">
        <f>M13</f>
        <v>0.80175</v>
      </c>
      <c r="O13" s="73">
        <f>N13</f>
        <v>0.80175</v>
      </c>
      <c r="P13" s="72">
        <v>0</v>
      </c>
    </row>
    <row r="14" spans="2:17" ht="12.75">
      <c r="B14" s="20"/>
      <c r="C14" s="50"/>
      <c r="D14" s="11"/>
      <c r="E14" s="11"/>
      <c r="F14" s="51"/>
      <c r="J14" s="40" t="s">
        <v>5</v>
      </c>
      <c r="L14" s="44">
        <f>L12+L13</f>
        <v>0.89449</v>
      </c>
      <c r="M14" s="44">
        <f>M12+M13</f>
        <v>0.89182</v>
      </c>
      <c r="N14" s="44">
        <f>N12+N13</f>
        <v>0.8765099999999999</v>
      </c>
      <c r="O14" s="44">
        <f>O12+O13</f>
        <v>0.85878</v>
      </c>
      <c r="P14" s="44">
        <f>P12+P13</f>
        <v>0.00054</v>
      </c>
      <c r="Q14" s="44"/>
    </row>
    <row r="15" spans="2:6" ht="12.75">
      <c r="B15" t="s">
        <v>31</v>
      </c>
      <c r="C15" s="39">
        <f>C8+C13</f>
        <v>223506</v>
      </c>
      <c r="D15" s="39">
        <f>D8+D13</f>
        <v>217337</v>
      </c>
      <c r="E15" s="39">
        <f>E8+E13</f>
        <v>-6169</v>
      </c>
      <c r="F15" s="34">
        <f>F8+F13</f>
        <v>1745</v>
      </c>
    </row>
    <row r="16" spans="2:17" ht="12.75">
      <c r="B16" t="s">
        <v>32</v>
      </c>
      <c r="C16" s="9">
        <v>133149</v>
      </c>
      <c r="D16" s="9">
        <v>0</v>
      </c>
      <c r="E16" s="13">
        <f>D16-C16</f>
        <v>-133149</v>
      </c>
      <c r="F16" s="36">
        <f>E16</f>
        <v>-133149</v>
      </c>
      <c r="J16" t="s">
        <v>49</v>
      </c>
      <c r="K16" s="32">
        <f>SUM(L16:Q16)</f>
        <v>16062377.172653785</v>
      </c>
      <c r="L16" s="32">
        <f aca="true" t="shared" si="0" ref="L16:Q17">L$9*L12</f>
        <v>11002806.23944495</v>
      </c>
      <c r="M16" s="32">
        <f t="shared" si="0"/>
        <v>4510340.06725946</v>
      </c>
      <c r="N16" s="32">
        <f t="shared" si="0"/>
        <v>498224.3455993753</v>
      </c>
      <c r="O16" s="32">
        <f t="shared" si="0"/>
        <v>37329.95601</v>
      </c>
      <c r="P16" s="32">
        <f t="shared" si="0"/>
        <v>13676.56434</v>
      </c>
      <c r="Q16" s="32">
        <f t="shared" si="0"/>
        <v>0</v>
      </c>
    </row>
    <row r="17" spans="2:17" ht="12.75">
      <c r="B17" t="s">
        <v>71</v>
      </c>
      <c r="C17" s="37">
        <f>C15+C16</f>
        <v>356655</v>
      </c>
      <c r="D17" s="37">
        <f>D15+D16</f>
        <v>217337</v>
      </c>
      <c r="E17" s="37">
        <f>E15+E16</f>
        <v>-139318</v>
      </c>
      <c r="F17" s="38">
        <f>F15+F16</f>
        <v>-131404</v>
      </c>
      <c r="J17" t="s">
        <v>50</v>
      </c>
      <c r="K17" s="32">
        <f>SUM(L17:Q17)</f>
        <v>141137068.248</v>
      </c>
      <c r="L17" s="32">
        <f t="shared" si="0"/>
        <v>95120766.6861655</v>
      </c>
      <c r="M17" s="32">
        <f t="shared" si="0"/>
        <v>40148386.243202746</v>
      </c>
      <c r="N17" s="32">
        <f t="shared" si="0"/>
        <v>5343116.226381744</v>
      </c>
      <c r="O17" s="32">
        <f t="shared" si="0"/>
        <v>524799.09225</v>
      </c>
      <c r="P17" s="32">
        <f t="shared" si="0"/>
        <v>0</v>
      </c>
      <c r="Q17" s="32">
        <f t="shared" si="0"/>
        <v>0</v>
      </c>
    </row>
    <row r="18" spans="3:17" ht="12.75">
      <c r="C18" s="39"/>
      <c r="D18" s="56">
        <f>ROUND('[1]Pres &amp; Prop Rev'!$C$145/1000,0)-D17</f>
        <v>0</v>
      </c>
      <c r="E18" s="39"/>
      <c r="F18" s="34"/>
      <c r="J18" s="20" t="s">
        <v>51</v>
      </c>
      <c r="K18" s="47">
        <f>IF(ROUND(SUM(L18:Q18),0)&lt;&gt;ROUND(SUM(K16:K17),0),#VALUE!,SUM(K16:K17))</f>
        <v>157199445.4206538</v>
      </c>
      <c r="L18" s="47">
        <f aca="true" t="shared" si="1" ref="L18:Q18">L16+L17</f>
        <v>106123572.92561045</v>
      </c>
      <c r="M18" s="47">
        <f t="shared" si="1"/>
        <v>44658726.31046221</v>
      </c>
      <c r="N18" s="47">
        <f t="shared" si="1"/>
        <v>5841340.57198112</v>
      </c>
      <c r="O18" s="47">
        <f t="shared" si="1"/>
        <v>562129.04826</v>
      </c>
      <c r="P18" s="47">
        <f t="shared" si="1"/>
        <v>13676.56434</v>
      </c>
      <c r="Q18" s="47">
        <f t="shared" si="1"/>
        <v>0</v>
      </c>
    </row>
    <row r="19" spans="2:6" ht="12.75">
      <c r="B19" s="18" t="s">
        <v>118</v>
      </c>
      <c r="C19" s="12"/>
      <c r="D19" s="13"/>
      <c r="E19" s="13"/>
      <c r="F19" s="26"/>
    </row>
    <row r="20" spans="2:6" ht="12.75">
      <c r="B20" s="3" t="s">
        <v>7</v>
      </c>
      <c r="C20" s="53">
        <v>7908</v>
      </c>
      <c r="D20" s="10">
        <v>0</v>
      </c>
      <c r="E20" s="13">
        <f aca="true" t="shared" si="2" ref="E20:E28">D20-C20</f>
        <v>-7908</v>
      </c>
      <c r="F20" s="35" t="s">
        <v>30</v>
      </c>
    </row>
    <row r="21" spans="2:6" ht="12.75">
      <c r="B21" s="3" t="s">
        <v>57</v>
      </c>
      <c r="C21" s="53">
        <v>309146</v>
      </c>
      <c r="D21" s="13">
        <f>ROUND(K18/1000,0)</f>
        <v>157199</v>
      </c>
      <c r="E21" s="13">
        <f t="shared" si="2"/>
        <v>-151947</v>
      </c>
      <c r="F21" s="26">
        <f aca="true" t="shared" si="3" ref="F21:F28">E21</f>
        <v>-151947</v>
      </c>
    </row>
    <row r="22" spans="2:6" ht="12.75">
      <c r="B22" s="3" t="s">
        <v>54</v>
      </c>
      <c r="C22" s="53">
        <v>-82</v>
      </c>
      <c r="D22" s="10">
        <v>0</v>
      </c>
      <c r="E22" s="13">
        <f t="shared" si="2"/>
        <v>82</v>
      </c>
      <c r="F22" s="26">
        <f t="shared" si="3"/>
        <v>82</v>
      </c>
    </row>
    <row r="23" spans="2:10" ht="12.75">
      <c r="B23" s="3" t="s">
        <v>58</v>
      </c>
      <c r="C23" s="53">
        <v>-18003</v>
      </c>
      <c r="D23" s="13">
        <f>ROUND(K19/1000,0)</f>
        <v>0</v>
      </c>
      <c r="E23" s="13">
        <f t="shared" si="2"/>
        <v>18003</v>
      </c>
      <c r="F23" s="26">
        <f t="shared" si="3"/>
        <v>18003</v>
      </c>
      <c r="J23" t="s">
        <v>52</v>
      </c>
    </row>
    <row r="24" spans="2:10" ht="12.75">
      <c r="B24" s="3" t="s">
        <v>120</v>
      </c>
      <c r="C24" s="53">
        <v>-684</v>
      </c>
      <c r="D24" s="13">
        <f>ROUND(K20/1000,0)</f>
        <v>0</v>
      </c>
      <c r="E24" s="13">
        <f>D24-C24</f>
        <v>684</v>
      </c>
      <c r="F24" s="26">
        <f t="shared" si="3"/>
        <v>684</v>
      </c>
      <c r="J24" t="s">
        <v>132</v>
      </c>
    </row>
    <row r="25" spans="2:6" ht="12.75">
      <c r="B25" s="3" t="s">
        <v>20</v>
      </c>
      <c r="C25" s="53">
        <f>ROUND((4275896.33-6183)/1000-C26,0)</f>
        <v>4276</v>
      </c>
      <c r="D25" s="10">
        <v>0</v>
      </c>
      <c r="E25" s="13">
        <f t="shared" si="2"/>
        <v>-4276</v>
      </c>
      <c r="F25" s="26">
        <f t="shared" si="3"/>
        <v>-4276</v>
      </c>
    </row>
    <row r="26" spans="2:6" ht="12.75">
      <c r="B26" s="3" t="s">
        <v>21</v>
      </c>
      <c r="C26" s="53">
        <v>-6</v>
      </c>
      <c r="D26" s="10">
        <v>0</v>
      </c>
      <c r="E26" s="13">
        <f t="shared" si="2"/>
        <v>6</v>
      </c>
      <c r="F26" s="26">
        <f t="shared" si="3"/>
        <v>6</v>
      </c>
    </row>
    <row r="27" spans="2:6" ht="12.75">
      <c r="B27" s="3" t="s">
        <v>105</v>
      </c>
      <c r="C27" s="53">
        <v>301</v>
      </c>
      <c r="D27" s="10">
        <v>0</v>
      </c>
      <c r="E27" s="13">
        <f t="shared" si="2"/>
        <v>-301</v>
      </c>
      <c r="F27" s="26">
        <f t="shared" si="3"/>
        <v>-301</v>
      </c>
    </row>
    <row r="28" spans="2:6" ht="12.75">
      <c r="B28" s="3" t="s">
        <v>104</v>
      </c>
      <c r="C28" s="53">
        <f>ROUND((-657274+301328)/1000-C27,0)</f>
        <v>-657</v>
      </c>
      <c r="D28" s="10">
        <v>0</v>
      </c>
      <c r="E28" s="13">
        <f t="shared" si="2"/>
        <v>657</v>
      </c>
      <c r="F28" s="26">
        <f t="shared" si="3"/>
        <v>657</v>
      </c>
    </row>
    <row r="29" spans="2:8" ht="12.75">
      <c r="B29" s="3" t="s">
        <v>8</v>
      </c>
      <c r="C29" s="14"/>
      <c r="D29" s="15"/>
      <c r="E29" s="16"/>
      <c r="F29" s="26">
        <f>ROUND(F$15*$G29,0)</f>
        <v>67</v>
      </c>
      <c r="G29" s="70">
        <v>0.03842</v>
      </c>
      <c r="H29" t="s">
        <v>13</v>
      </c>
    </row>
    <row r="30" spans="2:8" ht="12.75">
      <c r="B30" s="3" t="s">
        <v>3</v>
      </c>
      <c r="C30" s="14"/>
      <c r="D30" s="15"/>
      <c r="E30" s="16"/>
      <c r="F30" s="26">
        <f>ROUND(F$15*$G30,0)</f>
        <v>5</v>
      </c>
      <c r="G30" s="70">
        <v>0.002599</v>
      </c>
      <c r="H30" t="s">
        <v>14</v>
      </c>
    </row>
    <row r="31" spans="2:8" ht="12.75">
      <c r="B31" s="3" t="s">
        <v>4</v>
      </c>
      <c r="C31" s="14"/>
      <c r="D31" s="15"/>
      <c r="E31" s="16"/>
      <c r="F31" s="26">
        <f>ROUND(F$15*$G31,0)</f>
        <v>3</v>
      </c>
      <c r="G31" s="70">
        <v>0.002</v>
      </c>
      <c r="H31" t="s">
        <v>13</v>
      </c>
    </row>
    <row r="32" spans="3:8" ht="12.75">
      <c r="C32" s="14"/>
      <c r="D32" s="15"/>
      <c r="E32" s="16"/>
      <c r="F32" s="27">
        <f>SUM(F21:F31)</f>
        <v>-137017</v>
      </c>
      <c r="G32" s="21">
        <f>SUM(G29:G31)</f>
        <v>0.043019</v>
      </c>
      <c r="H32" t="s">
        <v>29</v>
      </c>
    </row>
    <row r="33" spans="3:6" ht="12.75">
      <c r="C33" s="14"/>
      <c r="D33" s="15"/>
      <c r="E33" s="16"/>
      <c r="F33" s="26"/>
    </row>
    <row r="34" spans="2:6" ht="12.75">
      <c r="B34" s="19" t="s">
        <v>6</v>
      </c>
      <c r="C34" s="14"/>
      <c r="D34" s="15"/>
      <c r="E34" s="16"/>
      <c r="F34" s="26">
        <f>F17-F32</f>
        <v>5613</v>
      </c>
    </row>
    <row r="35" spans="2:7" ht="12.75">
      <c r="B35" s="20" t="s">
        <v>11</v>
      </c>
      <c r="C35" s="14"/>
      <c r="D35" s="15"/>
      <c r="E35" s="16"/>
      <c r="F35" s="26">
        <f>ROUND(F34*$G35,0)</f>
        <v>1965</v>
      </c>
      <c r="G35" s="6">
        <v>0.35</v>
      </c>
    </row>
    <row r="36" spans="2:6" ht="13.5" thickBot="1">
      <c r="B36" s="19" t="s">
        <v>9</v>
      </c>
      <c r="C36" s="14"/>
      <c r="D36" s="15"/>
      <c r="E36" s="16"/>
      <c r="F36" s="28">
        <f>F34-F35</f>
        <v>3648</v>
      </c>
    </row>
    <row r="37" spans="5:6" ht="13.5" thickTop="1">
      <c r="E37" s="5"/>
      <c r="F37" s="29"/>
    </row>
    <row r="38" spans="2:8" ht="12.75">
      <c r="B38" s="33" t="s">
        <v>18</v>
      </c>
      <c r="C38" s="1"/>
      <c r="D38" s="1"/>
      <c r="E38" s="1"/>
      <c r="G38" s="1">
        <f>F15</f>
        <v>1745</v>
      </c>
      <c r="H38" t="s">
        <v>10</v>
      </c>
    </row>
    <row r="39" spans="2:8" ht="12.75">
      <c r="B39" s="33" t="s">
        <v>109</v>
      </c>
      <c r="C39" s="4"/>
      <c r="D39" s="59">
        <f>ROUND(SUM('[1]Pres &amp; Prop Rev'!$I$145:$J$145)/1000,0)</f>
        <v>1750</v>
      </c>
      <c r="G39" s="64">
        <f>G32</f>
        <v>0.043019</v>
      </c>
      <c r="H39" t="s">
        <v>29</v>
      </c>
    </row>
    <row r="40" spans="2:8" ht="12.75">
      <c r="B40" s="60" t="s">
        <v>110</v>
      </c>
      <c r="D40" s="61">
        <f>D13-D39</f>
        <v>1711</v>
      </c>
      <c r="E40" s="62" t="s">
        <v>112</v>
      </c>
      <c r="F40" s="66"/>
      <c r="G40" s="63">
        <f>ROUND(G38*G39,0)</f>
        <v>75</v>
      </c>
      <c r="H40" t="s">
        <v>15</v>
      </c>
    </row>
    <row r="41" spans="3:8" ht="12.75">
      <c r="C41" s="4"/>
      <c r="G41" s="65">
        <f>SUM(F29:F31)</f>
        <v>75</v>
      </c>
      <c r="H41" t="s">
        <v>16</v>
      </c>
    </row>
    <row r="42" ht="12.75">
      <c r="G42" s="63">
        <f>G40-G41</f>
        <v>0</v>
      </c>
    </row>
    <row r="43" ht="12.75">
      <c r="B43" s="30" t="s">
        <v>107</v>
      </c>
    </row>
    <row r="44" spans="2:8" ht="12.75">
      <c r="B44" t="s">
        <v>22</v>
      </c>
      <c r="H44" s="68" t="s">
        <v>114</v>
      </c>
    </row>
    <row r="45" spans="1:8" ht="12.75">
      <c r="A45" s="31">
        <v>1</v>
      </c>
      <c r="B45" t="s">
        <v>59</v>
      </c>
      <c r="F45" s="74">
        <f>ROUND(F8,0)</f>
        <v>1695</v>
      </c>
      <c r="H45" s="32">
        <f>D8</f>
        <v>213876</v>
      </c>
    </row>
    <row r="46" spans="1:8" ht="12.75">
      <c r="A46" s="31">
        <v>2</v>
      </c>
      <c r="B46" t="s">
        <v>60</v>
      </c>
      <c r="F46" s="75">
        <f>F13-D39</f>
        <v>-1700</v>
      </c>
      <c r="H46" s="1">
        <f>D13-D39</f>
        <v>1711</v>
      </c>
    </row>
    <row r="47" spans="1:8" ht="12.75">
      <c r="A47" s="31">
        <v>3</v>
      </c>
      <c r="B47" t="s">
        <v>61</v>
      </c>
      <c r="F47" s="75">
        <f>F16+D39</f>
        <v>-131399</v>
      </c>
      <c r="H47" s="69">
        <f>(D82+D83+D85)/1000+D39</f>
        <v>4412.669</v>
      </c>
    </row>
    <row r="48" spans="1:8" ht="12.75">
      <c r="A48" s="31"/>
      <c r="F48" s="76"/>
      <c r="H48" s="32">
        <f>SUM(H45:H47)</f>
        <v>219999.669</v>
      </c>
    </row>
    <row r="49" spans="1:6" ht="12.75">
      <c r="A49" s="31"/>
      <c r="B49" t="s">
        <v>23</v>
      </c>
      <c r="F49" s="76"/>
    </row>
    <row r="50" spans="1:6" ht="12.75">
      <c r="A50" s="31"/>
      <c r="B50" t="s">
        <v>24</v>
      </c>
      <c r="F50" s="76"/>
    </row>
    <row r="51" spans="1:6" ht="12.75">
      <c r="A51" s="31">
        <v>6</v>
      </c>
      <c r="B51" s="20" t="s">
        <v>56</v>
      </c>
      <c r="F51" s="75">
        <f>F21+F22</f>
        <v>-151865</v>
      </c>
    </row>
    <row r="52" spans="1:6" ht="12.75">
      <c r="A52" s="31">
        <v>8</v>
      </c>
      <c r="B52" s="20" t="s">
        <v>62</v>
      </c>
      <c r="F52" s="75">
        <f>F23+F24</f>
        <v>18687</v>
      </c>
    </row>
    <row r="53" spans="1:6" ht="12.75">
      <c r="A53" s="31"/>
      <c r="F53" s="76"/>
    </row>
    <row r="54" spans="1:6" ht="12.75">
      <c r="A54" s="31"/>
      <c r="B54" t="s">
        <v>25</v>
      </c>
      <c r="F54" s="76"/>
    </row>
    <row r="55" spans="1:6" ht="12.75">
      <c r="A55" s="31">
        <v>16</v>
      </c>
      <c r="B55" s="20" t="s">
        <v>28</v>
      </c>
      <c r="F55" s="75">
        <f>ROUND(F29,0)</f>
        <v>67</v>
      </c>
    </row>
    <row r="56" spans="1:6" ht="12.75">
      <c r="A56" s="31"/>
      <c r="F56" s="76"/>
    </row>
    <row r="57" spans="1:6" ht="12.75">
      <c r="A57" s="31">
        <v>18</v>
      </c>
      <c r="B57" t="s">
        <v>63</v>
      </c>
      <c r="F57" s="75">
        <f>ROUND(F30,0)</f>
        <v>5</v>
      </c>
    </row>
    <row r="58" spans="1:6" ht="12.75">
      <c r="A58" s="31">
        <v>19</v>
      </c>
      <c r="B58" t="s">
        <v>64</v>
      </c>
      <c r="F58" s="75">
        <f>ROUND(F25+F26,0)</f>
        <v>-4270</v>
      </c>
    </row>
    <row r="59" spans="1:6" ht="12.75">
      <c r="A59" s="31"/>
      <c r="F59" s="76"/>
    </row>
    <row r="60" spans="1:6" ht="12.75">
      <c r="A60" s="31"/>
      <c r="B60" t="s">
        <v>26</v>
      </c>
      <c r="F60" s="76"/>
    </row>
    <row r="61" spans="1:6" ht="12.75">
      <c r="A61" s="31">
        <v>21</v>
      </c>
      <c r="B61" s="20" t="s">
        <v>65</v>
      </c>
      <c r="F61" s="75">
        <f>ROUND(F31,0)</f>
        <v>3</v>
      </c>
    </row>
    <row r="62" spans="1:6" ht="12.75">
      <c r="A62" s="31">
        <v>22</v>
      </c>
      <c r="B62" s="20" t="s">
        <v>106</v>
      </c>
      <c r="F62" s="75">
        <f>F27+F28</f>
        <v>356</v>
      </c>
    </row>
    <row r="63" spans="1:6" ht="12.75">
      <c r="A63" s="31"/>
      <c r="B63" s="20"/>
      <c r="F63" s="75"/>
    </row>
    <row r="64" spans="1:6" ht="12.75">
      <c r="A64" s="31"/>
      <c r="B64" t="s">
        <v>27</v>
      </c>
      <c r="F64" s="76"/>
    </row>
    <row r="65" spans="1:6" ht="12.75">
      <c r="A65" s="31">
        <v>27</v>
      </c>
      <c r="B65" s="20" t="s">
        <v>66</v>
      </c>
      <c r="F65" s="75">
        <f>ROUND((SUM(F45:F47)-SUM(F51:F62))*G35,0)</f>
        <v>1965</v>
      </c>
    </row>
    <row r="66" spans="1:6" ht="12.75">
      <c r="A66" s="31"/>
      <c r="F66" s="76"/>
    </row>
    <row r="67" spans="1:6" ht="13.5" thickBot="1">
      <c r="A67" s="31">
        <v>30</v>
      </c>
      <c r="B67" t="s">
        <v>67</v>
      </c>
      <c r="F67" s="77">
        <f>SUM(F45:F47)-SUM(F49:F65)</f>
        <v>3648</v>
      </c>
    </row>
    <row r="68" ht="13.5" thickTop="1"/>
    <row r="77" spans="4:7" ht="12.75">
      <c r="D77" s="31" t="s">
        <v>129</v>
      </c>
      <c r="G77" s="31" t="s">
        <v>128</v>
      </c>
    </row>
    <row r="79" spans="2:7" ht="12.75">
      <c r="B79" t="s">
        <v>115</v>
      </c>
      <c r="D79" s="57">
        <v>359317525</v>
      </c>
      <c r="E79" s="20" t="s">
        <v>95</v>
      </c>
      <c r="G79" s="57">
        <v>149339468</v>
      </c>
    </row>
    <row r="80" spans="2:7" ht="12.75">
      <c r="B80" t="s">
        <v>88</v>
      </c>
      <c r="D80" s="57"/>
      <c r="G80" s="57"/>
    </row>
    <row r="81" spans="2:7" ht="12.75">
      <c r="B81" s="20" t="s">
        <v>19</v>
      </c>
      <c r="D81" s="57">
        <v>-719502</v>
      </c>
      <c r="E81" s="20" t="s">
        <v>95</v>
      </c>
      <c r="G81" s="53">
        <v>-290308</v>
      </c>
    </row>
    <row r="82" spans="2:7" ht="12.75">
      <c r="B82" s="20" t="s">
        <v>90</v>
      </c>
      <c r="D82" s="53">
        <v>15567</v>
      </c>
      <c r="E82" s="20" t="s">
        <v>95</v>
      </c>
      <c r="G82" s="53">
        <v>13253</v>
      </c>
    </row>
    <row r="83" spans="2:7" ht="12.75">
      <c r="B83" s="20" t="s">
        <v>130</v>
      </c>
      <c r="D83" s="53">
        <v>6045</v>
      </c>
      <c r="E83" s="20" t="s">
        <v>95</v>
      </c>
      <c r="G83" s="53">
        <v>0</v>
      </c>
    </row>
    <row r="84" spans="2:7" ht="12.75">
      <c r="B84" s="20" t="s">
        <v>91</v>
      </c>
      <c r="D84" s="53">
        <v>133149332</v>
      </c>
      <c r="E84" s="20" t="s">
        <v>95</v>
      </c>
      <c r="G84" s="53">
        <v>58864543</v>
      </c>
    </row>
    <row r="85" spans="2:7" ht="12.75">
      <c r="B85" s="20" t="s">
        <v>92</v>
      </c>
      <c r="D85" s="53">
        <v>2641057</v>
      </c>
      <c r="E85" s="20" t="s">
        <v>95</v>
      </c>
      <c r="G85" s="53">
        <v>1083981</v>
      </c>
    </row>
    <row r="86" spans="2:7" ht="12.75">
      <c r="B86" t="s">
        <v>73</v>
      </c>
      <c r="D86" s="37">
        <f>D79-SUM(D81:D85)</f>
        <v>224225026</v>
      </c>
      <c r="G86" s="37">
        <f>G79-SUM(G81:G85)</f>
        <v>89667999</v>
      </c>
    </row>
    <row r="87" spans="4:7" ht="12.75">
      <c r="D87" s="12"/>
      <c r="G87" s="12"/>
    </row>
    <row r="88" spans="2:7" ht="12.75">
      <c r="B88" t="s">
        <v>74</v>
      </c>
      <c r="D88" s="53">
        <v>223927010.24</v>
      </c>
      <c r="E88" s="20" t="s">
        <v>97</v>
      </c>
      <c r="G88" s="53">
        <v>89681253.05000001</v>
      </c>
    </row>
    <row r="89" spans="2:7" ht="12.75">
      <c r="B89" s="20" t="s">
        <v>93</v>
      </c>
      <c r="D89" s="12">
        <f>D82</f>
        <v>15567</v>
      </c>
      <c r="E89" s="20" t="s">
        <v>98</v>
      </c>
      <c r="G89" s="12">
        <f>G82</f>
        <v>13253</v>
      </c>
    </row>
    <row r="90" spans="2:7" ht="12.75">
      <c r="B90" s="20" t="s">
        <v>100</v>
      </c>
      <c r="D90" s="57">
        <v>313584</v>
      </c>
      <c r="E90" s="20" t="s">
        <v>101</v>
      </c>
      <c r="G90" s="57">
        <v>0</v>
      </c>
    </row>
    <row r="91" spans="2:7" ht="12.75">
      <c r="B91" t="s">
        <v>73</v>
      </c>
      <c r="D91" s="17">
        <f>D88-D89+D90</f>
        <v>224225027.24</v>
      </c>
      <c r="E91" s="1"/>
      <c r="G91" s="17">
        <f>G88-SUM(G89:G90)</f>
        <v>89668000.05000001</v>
      </c>
    </row>
    <row r="92" spans="4:7" ht="12.75">
      <c r="D92" s="1">
        <f>D91-D86</f>
        <v>1.2400000095367432</v>
      </c>
      <c r="G92" s="1"/>
    </row>
    <row r="93" spans="4:7" ht="12.75">
      <c r="D93" s="1"/>
      <c r="G93" s="1"/>
    </row>
    <row r="94" spans="2:7" ht="12.75">
      <c r="B94" t="s">
        <v>122</v>
      </c>
      <c r="D94" s="57">
        <v>-7914274</v>
      </c>
      <c r="E94" s="20" t="s">
        <v>124</v>
      </c>
      <c r="G94" s="57">
        <v>-1581339.52</v>
      </c>
    </row>
    <row r="95" spans="2:7" ht="12.75">
      <c r="B95" t="s">
        <v>123</v>
      </c>
      <c r="D95" s="57">
        <v>1043.17</v>
      </c>
      <c r="E95" s="20" t="s">
        <v>125</v>
      </c>
      <c r="G95" s="57">
        <v>2868.6</v>
      </c>
    </row>
    <row r="96" spans="2:7" ht="12.75">
      <c r="B96" t="s">
        <v>75</v>
      </c>
      <c r="D96" s="17">
        <f>SUM(D91:D95)</f>
        <v>216311797.65</v>
      </c>
      <c r="G96" s="17">
        <f>SUM(G91:G95)</f>
        <v>88089529.13000001</v>
      </c>
    </row>
    <row r="97" spans="4:7" ht="12.75">
      <c r="D97" s="1"/>
      <c r="G97" s="1"/>
    </row>
    <row r="98" spans="2:7" ht="12.75">
      <c r="B98" t="s">
        <v>76</v>
      </c>
      <c r="D98" s="1"/>
      <c r="G98" s="1"/>
    </row>
    <row r="99" spans="2:8" ht="12.75">
      <c r="B99" s="20" t="s">
        <v>77</v>
      </c>
      <c r="D99" s="57">
        <v>150899858.35</v>
      </c>
      <c r="G99" s="57">
        <v>68030396.66</v>
      </c>
      <c r="H99" s="1" t="s">
        <v>77</v>
      </c>
    </row>
    <row r="100" spans="2:8" ht="12.75">
      <c r="B100" s="20" t="s">
        <v>78</v>
      </c>
      <c r="D100" s="57">
        <v>53918778.09</v>
      </c>
      <c r="G100" s="57">
        <v>17146980.75</v>
      </c>
      <c r="H100" s="1" t="s">
        <v>78</v>
      </c>
    </row>
    <row r="101" spans="2:8" ht="12.75">
      <c r="B101" s="20" t="s">
        <v>79</v>
      </c>
      <c r="D101" s="57">
        <v>1023331.68</v>
      </c>
      <c r="G101" s="57">
        <v>6195.94</v>
      </c>
      <c r="H101" s="1" t="s">
        <v>79</v>
      </c>
    </row>
    <row r="102" spans="2:8" ht="12.75">
      <c r="B102" s="20" t="s">
        <v>80</v>
      </c>
      <c r="D102" s="57">
        <v>4039864.99</v>
      </c>
      <c r="G102" s="57">
        <v>1988765.83</v>
      </c>
      <c r="H102" s="1" t="s">
        <v>80</v>
      </c>
    </row>
    <row r="103" spans="2:8" ht="12.75">
      <c r="B103" s="20" t="s">
        <v>81</v>
      </c>
      <c r="D103" s="57">
        <v>2395402.25</v>
      </c>
      <c r="G103" s="57">
        <v>17428.73</v>
      </c>
      <c r="H103" s="1" t="s">
        <v>81</v>
      </c>
    </row>
    <row r="104" spans="2:8" ht="12.75">
      <c r="B104" s="20" t="s">
        <v>82</v>
      </c>
      <c r="D104" s="57">
        <v>0</v>
      </c>
      <c r="G104" s="57">
        <v>196403.14</v>
      </c>
      <c r="H104" s="1" t="s">
        <v>83</v>
      </c>
    </row>
    <row r="105" spans="2:8" ht="12.75">
      <c r="B105" s="20" t="s">
        <v>83</v>
      </c>
      <c r="D105" s="57">
        <v>623386.93</v>
      </c>
      <c r="G105" s="57">
        <v>182966.39</v>
      </c>
      <c r="H105" s="1" t="s">
        <v>126</v>
      </c>
    </row>
    <row r="106" spans="2:8" ht="12.75">
      <c r="B106" s="20" t="s">
        <v>84</v>
      </c>
      <c r="D106" s="57">
        <v>1924878.52</v>
      </c>
      <c r="G106" s="57">
        <v>318013.2</v>
      </c>
      <c r="H106" s="1" t="s">
        <v>84</v>
      </c>
    </row>
    <row r="107" spans="2:8" ht="12.75">
      <c r="B107" s="20" t="s">
        <v>85</v>
      </c>
      <c r="D107" s="57">
        <v>59648.47</v>
      </c>
      <c r="G107" s="57">
        <v>46544.86</v>
      </c>
      <c r="H107" s="1" t="s">
        <v>85</v>
      </c>
    </row>
    <row r="108" spans="2:8" ht="12.75">
      <c r="B108" s="20" t="s">
        <v>86</v>
      </c>
      <c r="D108" s="57">
        <v>1113062.7</v>
      </c>
      <c r="G108" s="57">
        <v>155833.34</v>
      </c>
      <c r="H108" s="1" t="s">
        <v>127</v>
      </c>
    </row>
    <row r="109" spans="2:8" ht="12.75">
      <c r="B109" s="20" t="s">
        <v>87</v>
      </c>
      <c r="D109" s="57">
        <v>313584</v>
      </c>
      <c r="E109" s="20" t="s">
        <v>99</v>
      </c>
      <c r="G109" s="1"/>
      <c r="H109" s="1"/>
    </row>
    <row r="110" spans="2:7" ht="12.75">
      <c r="B110" t="s">
        <v>75</v>
      </c>
      <c r="D110" s="17">
        <f>SUM(D99:D109)</f>
        <v>216311795.98000002</v>
      </c>
      <c r="E110" s="1"/>
      <c r="G110" s="17">
        <f>SUM(G99:G109)</f>
        <v>88089528.84</v>
      </c>
    </row>
    <row r="111" spans="4:7" ht="12.75">
      <c r="D111" s="1">
        <f>D110-D96</f>
        <v>-1.6699999868869781</v>
      </c>
      <c r="G111" s="1">
        <f>G110-G96</f>
        <v>-0.2900000065565109</v>
      </c>
    </row>
    <row r="112" spans="4:7" ht="12.75">
      <c r="D112" s="1"/>
      <c r="G112" s="1"/>
    </row>
    <row r="113" spans="4:7" ht="12.75">
      <c r="D113" s="1"/>
      <c r="G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</sheetData>
  <printOptions/>
  <pageMargins left="0.5" right="0.5" top="0.5" bottom="0.5" header="0.5" footer="0.5"/>
  <pageSetup horizontalDpi="600" verticalDpi="600" orientation="portrait" scale="77" r:id="rId4"/>
  <headerFooter alignWithMargins="0">
    <oddFooter>&amp;L&amp;F</oddFooter>
  </headerFooter>
  <colBreaks count="1" manualBreakCount="1">
    <brk id="8" max="6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17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7" width="11.7109375" style="0" customWidth="1"/>
    <col min="8" max="8" width="19.00390625" style="0" customWidth="1"/>
    <col min="9" max="9" width="1.28515625" style="54" customWidth="1"/>
    <col min="10" max="10" width="37.140625" style="0" bestFit="1" customWidth="1"/>
    <col min="11" max="17" width="12.28125" style="0" customWidth="1"/>
  </cols>
  <sheetData>
    <row r="1" spans="1:17" ht="12.75">
      <c r="A1" s="48" t="s">
        <v>53</v>
      </c>
      <c r="E1" s="2" t="s">
        <v>5</v>
      </c>
      <c r="F1" s="23" t="s">
        <v>10</v>
      </c>
      <c r="J1" s="41" t="s">
        <v>34</v>
      </c>
      <c r="K1" s="41"/>
      <c r="L1" s="41"/>
      <c r="M1" s="41"/>
      <c r="N1" s="41"/>
      <c r="O1" s="41"/>
      <c r="P1" s="41"/>
      <c r="Q1" s="41"/>
    </row>
    <row r="2" spans="3:17" ht="12.75">
      <c r="C2" s="2" t="s">
        <v>0</v>
      </c>
      <c r="D2" s="2" t="s">
        <v>1</v>
      </c>
      <c r="E2" s="2" t="s">
        <v>2</v>
      </c>
      <c r="F2" s="24" t="s">
        <v>12</v>
      </c>
      <c r="J2" s="41" t="s">
        <v>35</v>
      </c>
      <c r="K2" s="41"/>
      <c r="L2" s="41"/>
      <c r="M2" s="41"/>
      <c r="N2" s="41"/>
      <c r="O2" s="41"/>
      <c r="P2" s="41"/>
      <c r="Q2" s="41"/>
    </row>
    <row r="3" spans="2:17" ht="12.75">
      <c r="B3" s="18" t="s">
        <v>10</v>
      </c>
      <c r="D3" s="1"/>
      <c r="E3" s="1"/>
      <c r="F3" s="25"/>
      <c r="J3" s="41" t="s">
        <v>36</v>
      </c>
      <c r="K3" s="41"/>
      <c r="L3" s="41"/>
      <c r="M3" s="41"/>
      <c r="N3" s="41"/>
      <c r="O3" s="41"/>
      <c r="P3" s="41"/>
      <c r="Q3" s="41"/>
    </row>
    <row r="4" spans="2:17" ht="25.5">
      <c r="B4" s="22" t="s">
        <v>103</v>
      </c>
      <c r="C4" s="8">
        <f>C8-C6-C7</f>
        <v>206361</v>
      </c>
      <c r="D4" s="58">
        <v>194981</v>
      </c>
      <c r="E4" s="8">
        <f>D4-C4</f>
        <v>-11380</v>
      </c>
      <c r="F4" s="34">
        <f>E4</f>
        <v>-11380</v>
      </c>
      <c r="J4" s="41" t="s">
        <v>37</v>
      </c>
      <c r="K4" s="41"/>
      <c r="L4" s="41"/>
      <c r="M4" s="41"/>
      <c r="N4" s="41"/>
      <c r="O4" s="41"/>
      <c r="P4" s="41"/>
      <c r="Q4" s="41"/>
    </row>
    <row r="5" spans="2:6" ht="12.75" customHeight="1">
      <c r="B5" t="s">
        <v>17</v>
      </c>
      <c r="C5" s="14"/>
      <c r="D5" s="58">
        <v>870</v>
      </c>
      <c r="E5" s="8">
        <f>D5-C5</f>
        <v>870</v>
      </c>
      <c r="F5" s="34">
        <f>E5</f>
        <v>870</v>
      </c>
    </row>
    <row r="6" spans="2:17" ht="12.75">
      <c r="B6" s="3" t="s">
        <v>7</v>
      </c>
      <c r="C6" s="53">
        <f>7696-C11</f>
        <v>7624</v>
      </c>
      <c r="D6" s="9">
        <v>0</v>
      </c>
      <c r="E6" s="8">
        <f>D6-C6</f>
        <v>-7624</v>
      </c>
      <c r="F6" s="35" t="s">
        <v>30</v>
      </c>
      <c r="K6" s="31"/>
      <c r="L6" s="31"/>
      <c r="M6" s="31"/>
      <c r="N6" s="31"/>
      <c r="O6" s="31"/>
      <c r="P6" s="31" t="s">
        <v>38</v>
      </c>
      <c r="Q6" s="31" t="s">
        <v>38</v>
      </c>
    </row>
    <row r="7" spans="2:17" ht="12.75">
      <c r="B7" t="s">
        <v>19</v>
      </c>
      <c r="C7" s="53">
        <f>-1077-C12</f>
        <v>-1000</v>
      </c>
      <c r="D7" s="58">
        <v>472</v>
      </c>
      <c r="E7" s="8">
        <f>D7-C7</f>
        <v>1472</v>
      </c>
      <c r="F7" s="34">
        <f>E7</f>
        <v>1472</v>
      </c>
      <c r="K7" s="42" t="s">
        <v>5</v>
      </c>
      <c r="L7" s="42" t="s">
        <v>39</v>
      </c>
      <c r="M7" s="42" t="s">
        <v>40</v>
      </c>
      <c r="N7" s="42" t="s">
        <v>41</v>
      </c>
      <c r="O7" s="42" t="s">
        <v>42</v>
      </c>
      <c r="P7" s="42" t="s">
        <v>43</v>
      </c>
      <c r="Q7" s="42" t="s">
        <v>44</v>
      </c>
    </row>
    <row r="8" spans="2:6" ht="12.75">
      <c r="B8" s="20" t="s">
        <v>113</v>
      </c>
      <c r="C8" s="50">
        <v>212985</v>
      </c>
      <c r="D8" s="11">
        <v>196323</v>
      </c>
      <c r="E8" s="11">
        <f>D8-C8</f>
        <v>-16662</v>
      </c>
      <c r="F8" s="51">
        <f>SUM(F4:F7)</f>
        <v>-9038</v>
      </c>
    </row>
    <row r="9" spans="2:17" ht="12.75">
      <c r="B9" s="20"/>
      <c r="C9" s="8"/>
      <c r="D9" s="56">
        <v>0</v>
      </c>
      <c r="E9" s="8"/>
      <c r="F9" s="34"/>
      <c r="J9" t="s">
        <v>45</v>
      </c>
      <c r="K9" s="1">
        <f>SUM(L9:Q9)</f>
        <v>241323621</v>
      </c>
      <c r="L9" s="1">
        <v>116591177</v>
      </c>
      <c r="M9" s="1">
        <v>48309718</v>
      </c>
      <c r="N9" s="1">
        <v>6778684</v>
      </c>
      <c r="O9" s="1">
        <v>643460</v>
      </c>
      <c r="P9" s="1">
        <v>24983340</v>
      </c>
      <c r="Q9" s="1">
        <v>44017242</v>
      </c>
    </row>
    <row r="10" spans="2:6" ht="12.75">
      <c r="B10" s="22" t="s">
        <v>70</v>
      </c>
      <c r="C10" s="8">
        <f>C13-C11-C12</f>
        <v>3340</v>
      </c>
      <c r="D10" s="58">
        <v>3345</v>
      </c>
      <c r="E10" s="8">
        <f>D10-C10</f>
        <v>5</v>
      </c>
      <c r="F10" s="34">
        <f>E10</f>
        <v>5</v>
      </c>
    </row>
    <row r="11" spans="2:10" ht="12.75">
      <c r="B11" s="3" t="s">
        <v>68</v>
      </c>
      <c r="C11" s="53">
        <v>72</v>
      </c>
      <c r="D11" s="9">
        <v>0</v>
      </c>
      <c r="E11" s="8">
        <f>D11-C11</f>
        <v>-72</v>
      </c>
      <c r="F11" s="35" t="s">
        <v>30</v>
      </c>
      <c r="J11" t="s">
        <v>46</v>
      </c>
    </row>
    <row r="12" spans="2:16" ht="12.75">
      <c r="B12" t="s">
        <v>33</v>
      </c>
      <c r="C12" s="9">
        <v>-77</v>
      </c>
      <c r="D12" s="9">
        <v>0</v>
      </c>
      <c r="E12" s="8">
        <f>D12-C12</f>
        <v>77</v>
      </c>
      <c r="F12" s="34">
        <f>E12</f>
        <v>77</v>
      </c>
      <c r="J12" s="20" t="s">
        <v>47</v>
      </c>
      <c r="L12" s="43">
        <v>0.09221</v>
      </c>
      <c r="M12" s="43">
        <v>0.08957</v>
      </c>
      <c r="N12" s="43">
        <v>0.0743</v>
      </c>
      <c r="O12" s="43">
        <v>0.05606</v>
      </c>
      <c r="P12" s="43">
        <v>0.00054</v>
      </c>
    </row>
    <row r="13" spans="2:16" ht="15">
      <c r="B13" s="20" t="s">
        <v>111</v>
      </c>
      <c r="C13" s="50">
        <v>3335</v>
      </c>
      <c r="D13" s="11">
        <f>SUM(D10:D12)</f>
        <v>3345</v>
      </c>
      <c r="E13" s="11">
        <f>D13-C13</f>
        <v>10</v>
      </c>
      <c r="F13" s="51">
        <f>SUM(F10:F12)</f>
        <v>82</v>
      </c>
      <c r="J13" s="20" t="s">
        <v>48</v>
      </c>
      <c r="L13" s="45">
        <v>0.75476</v>
      </c>
      <c r="M13" s="46">
        <f>L13</f>
        <v>0.75476</v>
      </c>
      <c r="N13" s="46">
        <f>M13</f>
        <v>0.75476</v>
      </c>
      <c r="O13" s="46">
        <f>N13</f>
        <v>0.75476</v>
      </c>
      <c r="P13" s="45">
        <v>0</v>
      </c>
    </row>
    <row r="14" spans="2:17" ht="12.75">
      <c r="B14" s="20"/>
      <c r="C14" s="50"/>
      <c r="D14" s="11"/>
      <c r="E14" s="11"/>
      <c r="F14" s="51"/>
      <c r="J14" s="40" t="s">
        <v>5</v>
      </c>
      <c r="L14" s="44">
        <f>L12+L13</f>
        <v>0.84697</v>
      </c>
      <c r="M14" s="44">
        <f>M12+M13</f>
        <v>0.84433</v>
      </c>
      <c r="N14" s="44">
        <f>N12+N13</f>
        <v>0.82906</v>
      </c>
      <c r="O14" s="44">
        <f>O12+O13</f>
        <v>0.81082</v>
      </c>
      <c r="P14" s="44">
        <f>P12+P13</f>
        <v>0.00054</v>
      </c>
      <c r="Q14" s="44"/>
    </row>
    <row r="15" spans="2:6" ht="12.75">
      <c r="B15" t="s">
        <v>31</v>
      </c>
      <c r="C15" s="39">
        <f>C8+C13</f>
        <v>216320</v>
      </c>
      <c r="D15" s="39">
        <f>D8+D13</f>
        <v>199668</v>
      </c>
      <c r="E15" s="39">
        <f>E8+E13</f>
        <v>-16652</v>
      </c>
      <c r="F15" s="34">
        <f>F8+F13</f>
        <v>-8956</v>
      </c>
    </row>
    <row r="16" spans="2:17" ht="12.75">
      <c r="B16" t="s">
        <v>32</v>
      </c>
      <c r="C16" s="9">
        <v>66526</v>
      </c>
      <c r="D16" s="9">
        <v>0</v>
      </c>
      <c r="E16" s="13">
        <f>D16-C16</f>
        <v>-66526</v>
      </c>
      <c r="F16" s="36">
        <f>E16</f>
        <v>-66526</v>
      </c>
      <c r="J16" t="s">
        <v>49</v>
      </c>
      <c r="K16" s="32">
        <f>SUM(L16:Q16)</f>
        <v>15631193.46483</v>
      </c>
      <c r="L16" s="32">
        <f aca="true" t="shared" si="0" ref="L16:Q16">L$9*L12</f>
        <v>10750872.43117</v>
      </c>
      <c r="M16" s="32">
        <f t="shared" si="0"/>
        <v>4327101.44126</v>
      </c>
      <c r="N16" s="32">
        <f t="shared" si="0"/>
        <v>503656.2212</v>
      </c>
      <c r="O16" s="32">
        <f t="shared" si="0"/>
        <v>36072.3676</v>
      </c>
      <c r="P16" s="32">
        <f t="shared" si="0"/>
        <v>13491.0036</v>
      </c>
      <c r="Q16" s="32">
        <f t="shared" si="0"/>
        <v>0</v>
      </c>
    </row>
    <row r="17" spans="2:17" ht="12.75">
      <c r="B17" t="s">
        <v>71</v>
      </c>
      <c r="C17" s="37">
        <f>C15+C16</f>
        <v>282846</v>
      </c>
      <c r="D17" s="37">
        <f>D15+D16</f>
        <v>199668</v>
      </c>
      <c r="E17" s="37">
        <f>E15+E16</f>
        <v>-83178</v>
      </c>
      <c r="F17" s="38">
        <f>F15+F16</f>
        <v>-75482</v>
      </c>
      <c r="J17" t="s">
        <v>50</v>
      </c>
      <c r="K17" s="32">
        <f>SUM(L17:Q17)</f>
        <v>130062536.91564</v>
      </c>
      <c r="L17" s="32">
        <f aca="true" t="shared" si="1" ref="L17:Q17">L$9*L13</f>
        <v>87998356.75252</v>
      </c>
      <c r="M17" s="32">
        <f t="shared" si="1"/>
        <v>36462242.75768</v>
      </c>
      <c r="N17" s="32">
        <f t="shared" si="1"/>
        <v>5116279.53584</v>
      </c>
      <c r="O17" s="32">
        <f t="shared" si="1"/>
        <v>485657.8696</v>
      </c>
      <c r="P17" s="32">
        <f t="shared" si="1"/>
        <v>0</v>
      </c>
      <c r="Q17" s="32">
        <f t="shared" si="1"/>
        <v>0</v>
      </c>
    </row>
    <row r="18" spans="3:17" ht="12.75">
      <c r="C18" s="39"/>
      <c r="D18" s="56"/>
      <c r="E18" s="39"/>
      <c r="F18" s="34"/>
      <c r="J18" s="20" t="s">
        <v>51</v>
      </c>
      <c r="K18" s="47">
        <f>IF(ROUND(SUM(L18:Q18),0)&lt;&gt;ROUND(SUM(K16:K17),0),#VALUE!,SUM(K16:K17))</f>
        <v>145693730.38047</v>
      </c>
      <c r="L18" s="47">
        <f aca="true" t="shared" si="2" ref="L18:Q18">L16+L17</f>
        <v>98749229.18369</v>
      </c>
      <c r="M18" s="47">
        <f t="shared" si="2"/>
        <v>40789344.19894</v>
      </c>
      <c r="N18" s="47">
        <f t="shared" si="2"/>
        <v>5619935.75704</v>
      </c>
      <c r="O18" s="47">
        <f t="shared" si="2"/>
        <v>521730.2372</v>
      </c>
      <c r="P18" s="47">
        <f t="shared" si="2"/>
        <v>13491.0036</v>
      </c>
      <c r="Q18" s="47">
        <f t="shared" si="2"/>
        <v>0</v>
      </c>
    </row>
    <row r="19" spans="2:6" ht="12.75">
      <c r="B19" s="18" t="s">
        <v>118</v>
      </c>
      <c r="C19" s="12"/>
      <c r="D19" s="13"/>
      <c r="E19" s="13"/>
      <c r="F19" s="26"/>
    </row>
    <row r="20" spans="2:6" ht="12.75">
      <c r="B20" s="3" t="s">
        <v>7</v>
      </c>
      <c r="C20" s="53">
        <v>7691</v>
      </c>
      <c r="D20" s="10">
        <v>0</v>
      </c>
      <c r="E20" s="13">
        <f aca="true" t="shared" si="3" ref="E20:E25">D20-C20</f>
        <v>-7691</v>
      </c>
      <c r="F20" s="35" t="s">
        <v>30</v>
      </c>
    </row>
    <row r="21" spans="2:6" ht="12.75">
      <c r="B21" s="3" t="s">
        <v>57</v>
      </c>
      <c r="C21" s="53">
        <f>219615-C23</f>
        <v>219332</v>
      </c>
      <c r="D21" s="13">
        <f>ROUND(K18/1000,0)</f>
        <v>145694</v>
      </c>
      <c r="E21" s="13">
        <f t="shared" si="3"/>
        <v>-73638</v>
      </c>
      <c r="F21" s="26">
        <f aca="true" t="shared" si="4" ref="F21:F27">E21</f>
        <v>-73638</v>
      </c>
    </row>
    <row r="22" spans="2:6" ht="12.75">
      <c r="B22" s="3" t="s">
        <v>54</v>
      </c>
      <c r="C22" s="53">
        <v>-77</v>
      </c>
      <c r="D22" s="10">
        <v>0</v>
      </c>
      <c r="E22" s="13">
        <f t="shared" si="3"/>
        <v>77</v>
      </c>
      <c r="F22" s="26">
        <f t="shared" si="4"/>
        <v>77</v>
      </c>
    </row>
    <row r="23" spans="2:10" ht="12.75">
      <c r="B23" s="3" t="s">
        <v>58</v>
      </c>
      <c r="C23" s="53">
        <f>284-1</f>
        <v>283</v>
      </c>
      <c r="D23" s="13">
        <f>ROUND(K19/1000,0)</f>
        <v>0</v>
      </c>
      <c r="E23" s="13">
        <f t="shared" si="3"/>
        <v>-283</v>
      </c>
      <c r="F23" s="26">
        <f t="shared" si="4"/>
        <v>-283</v>
      </c>
      <c r="J23" t="s">
        <v>52</v>
      </c>
    </row>
    <row r="24" spans="2:10" ht="12.75">
      <c r="B24" s="3" t="s">
        <v>20</v>
      </c>
      <c r="C24" s="53">
        <v>3840</v>
      </c>
      <c r="D24" s="10">
        <v>0</v>
      </c>
      <c r="E24" s="13">
        <f t="shared" si="3"/>
        <v>-3840</v>
      </c>
      <c r="F24" s="26">
        <f t="shared" si="4"/>
        <v>-3840</v>
      </c>
      <c r="J24" t="s">
        <v>72</v>
      </c>
    </row>
    <row r="25" spans="2:6" ht="12.75">
      <c r="B25" s="3" t="s">
        <v>21</v>
      </c>
      <c r="C25" s="53">
        <v>-5</v>
      </c>
      <c r="D25" s="10">
        <v>0</v>
      </c>
      <c r="E25" s="13">
        <f t="shared" si="3"/>
        <v>5</v>
      </c>
      <c r="F25" s="26">
        <f t="shared" si="4"/>
        <v>5</v>
      </c>
    </row>
    <row r="26" spans="2:6" ht="12.75">
      <c r="B26" s="3" t="s">
        <v>105</v>
      </c>
      <c r="C26" s="53">
        <v>-900</v>
      </c>
      <c r="D26" s="10">
        <v>0</v>
      </c>
      <c r="E26" s="13">
        <f>D26-C26</f>
        <v>900</v>
      </c>
      <c r="F26" s="26">
        <f t="shared" si="4"/>
        <v>900</v>
      </c>
    </row>
    <row r="27" spans="2:6" ht="12.75">
      <c r="B27" s="3" t="s">
        <v>104</v>
      </c>
      <c r="C27" s="53">
        <v>85</v>
      </c>
      <c r="D27" s="10">
        <v>0</v>
      </c>
      <c r="E27" s="13">
        <f>D27-C27</f>
        <v>-85</v>
      </c>
      <c r="F27" s="26">
        <f t="shared" si="4"/>
        <v>-85</v>
      </c>
    </row>
    <row r="28" spans="2:8" ht="12.75">
      <c r="B28" s="3" t="s">
        <v>8</v>
      </c>
      <c r="C28" s="14"/>
      <c r="D28" s="15"/>
      <c r="E28" s="16"/>
      <c r="F28" s="26">
        <f>ROUND((F$15-F29)*$G28,0)</f>
        <v>-344</v>
      </c>
      <c r="G28" s="7">
        <v>0.03852</v>
      </c>
      <c r="H28" t="s">
        <v>13</v>
      </c>
    </row>
    <row r="29" spans="2:8" ht="12.75">
      <c r="B29" s="3" t="s">
        <v>3</v>
      </c>
      <c r="C29" s="14"/>
      <c r="D29" s="15"/>
      <c r="E29" s="16"/>
      <c r="F29" s="26">
        <f>ROUND(F$15*$G29,0)</f>
        <v>-24</v>
      </c>
      <c r="G29" s="7">
        <v>0.002661</v>
      </c>
      <c r="H29" t="s">
        <v>14</v>
      </c>
    </row>
    <row r="30" spans="2:8" ht="12.75">
      <c r="B30" s="3" t="s">
        <v>4</v>
      </c>
      <c r="C30" s="14"/>
      <c r="D30" s="15"/>
      <c r="E30" s="16"/>
      <c r="F30" s="26">
        <f>ROUND(F$15*$G30,0)</f>
        <v>-18</v>
      </c>
      <c r="G30" s="7">
        <v>0.002</v>
      </c>
      <c r="H30" t="s">
        <v>13</v>
      </c>
    </row>
    <row r="31" spans="3:8" ht="12.75">
      <c r="C31" s="14"/>
      <c r="D31" s="15"/>
      <c r="E31" s="16"/>
      <c r="F31" s="27">
        <f>SUM(F21:F30)</f>
        <v>-77250</v>
      </c>
      <c r="G31" s="21">
        <f>ROUND(G28*(1-G29),6)+G29+G30</f>
        <v>0.043078000000000005</v>
      </c>
      <c r="H31" t="s">
        <v>29</v>
      </c>
    </row>
    <row r="32" spans="3:6" ht="12.75">
      <c r="C32" s="14"/>
      <c r="D32" s="15"/>
      <c r="E32" s="16"/>
      <c r="F32" s="26"/>
    </row>
    <row r="33" spans="2:6" ht="12.75">
      <c r="B33" s="19" t="s">
        <v>6</v>
      </c>
      <c r="C33" s="14"/>
      <c r="D33" s="15"/>
      <c r="E33" s="16"/>
      <c r="F33" s="26">
        <f>F17-F31</f>
        <v>1768</v>
      </c>
    </row>
    <row r="34" spans="2:7" ht="12.75">
      <c r="B34" s="20" t="s">
        <v>11</v>
      </c>
      <c r="C34" s="14"/>
      <c r="D34" s="15"/>
      <c r="E34" s="16"/>
      <c r="F34" s="26">
        <f>ROUND(F33*$G34,0)</f>
        <v>619</v>
      </c>
      <c r="G34" s="6">
        <v>0.35</v>
      </c>
    </row>
    <row r="35" spans="2:6" ht="13.5" thickBot="1">
      <c r="B35" s="19" t="s">
        <v>9</v>
      </c>
      <c r="C35" s="14"/>
      <c r="D35" s="15"/>
      <c r="E35" s="16"/>
      <c r="F35" s="28">
        <f>F33-F34</f>
        <v>1149</v>
      </c>
    </row>
    <row r="36" spans="5:6" ht="13.5" thickTop="1">
      <c r="E36" s="5"/>
      <c r="F36" s="29"/>
    </row>
    <row r="37" spans="2:8" ht="12.75">
      <c r="B37" s="33" t="s">
        <v>18</v>
      </c>
      <c r="C37" s="1"/>
      <c r="D37" s="1"/>
      <c r="E37" s="1"/>
      <c r="G37" s="1">
        <f>F15</f>
        <v>-8956</v>
      </c>
      <c r="H37" t="s">
        <v>10</v>
      </c>
    </row>
    <row r="38" spans="2:8" ht="12.75">
      <c r="B38" s="33" t="s">
        <v>109</v>
      </c>
      <c r="C38" s="4"/>
      <c r="D38" s="59">
        <v>1722</v>
      </c>
      <c r="G38" s="64">
        <f>G31</f>
        <v>0.043078000000000005</v>
      </c>
      <c r="H38" t="s">
        <v>29</v>
      </c>
    </row>
    <row r="39" spans="2:8" ht="12.75">
      <c r="B39" s="60" t="s">
        <v>110</v>
      </c>
      <c r="D39" s="61">
        <f>D13-D38</f>
        <v>1623</v>
      </c>
      <c r="E39" s="62" t="s">
        <v>112</v>
      </c>
      <c r="F39" s="66"/>
      <c r="G39" s="63">
        <f>ROUND(G37*G38,0)</f>
        <v>-386</v>
      </c>
      <c r="H39" t="s">
        <v>15</v>
      </c>
    </row>
    <row r="40" spans="3:8" ht="12.75">
      <c r="C40" s="4"/>
      <c r="G40" s="65">
        <f>SUM(F28:F30)</f>
        <v>-386</v>
      </c>
      <c r="H40" t="s">
        <v>16</v>
      </c>
    </row>
    <row r="41" ht="12.75">
      <c r="G41" s="63">
        <f>G39-G40</f>
        <v>0</v>
      </c>
    </row>
    <row r="42" ht="12.75">
      <c r="B42" s="30" t="s">
        <v>107</v>
      </c>
    </row>
    <row r="43" spans="2:8" ht="12.75">
      <c r="B43" t="s">
        <v>22</v>
      </c>
      <c r="H43" s="68" t="s">
        <v>114</v>
      </c>
    </row>
    <row r="44" spans="1:8" ht="12.75">
      <c r="A44" s="31">
        <v>1</v>
      </c>
      <c r="B44" t="s">
        <v>59</v>
      </c>
      <c r="F44" s="32">
        <f>ROUND(F8,0)</f>
        <v>-9038</v>
      </c>
      <c r="H44" s="32">
        <f>D8</f>
        <v>196323</v>
      </c>
    </row>
    <row r="45" spans="1:8" ht="12.75">
      <c r="A45" s="31">
        <v>2</v>
      </c>
      <c r="B45" t="s">
        <v>60</v>
      </c>
      <c r="F45" s="1">
        <f>F13-D38</f>
        <v>-1640</v>
      </c>
      <c r="H45" s="1">
        <f>D13-D38</f>
        <v>1623</v>
      </c>
    </row>
    <row r="46" spans="1:8" ht="12.75">
      <c r="A46" s="31">
        <v>3</v>
      </c>
      <c r="B46" t="s">
        <v>61</v>
      </c>
      <c r="F46" s="1">
        <f>F16+D38</f>
        <v>-64804</v>
      </c>
      <c r="H46" s="69">
        <f>(D82+D84)/1000+D38</f>
        <v>3611.9390000000003</v>
      </c>
    </row>
    <row r="47" spans="1:8" ht="12.75">
      <c r="A47" s="31"/>
      <c r="H47" s="32">
        <f>SUM(H44:H46)</f>
        <v>201557.939</v>
      </c>
    </row>
    <row r="48" spans="1:2" ht="12.75">
      <c r="A48" s="31"/>
      <c r="B48" t="s">
        <v>23</v>
      </c>
    </row>
    <row r="49" spans="1:2" ht="12.75">
      <c r="A49" s="31"/>
      <c r="B49" t="s">
        <v>24</v>
      </c>
    </row>
    <row r="50" spans="1:6" ht="12.75">
      <c r="A50" s="31">
        <v>6</v>
      </c>
      <c r="B50" s="20" t="s">
        <v>56</v>
      </c>
      <c r="F50" s="1">
        <f>F21+F22</f>
        <v>-73561</v>
      </c>
    </row>
    <row r="51" spans="1:6" ht="12.75">
      <c r="A51" s="31">
        <v>8</v>
      </c>
      <c r="B51" s="20" t="s">
        <v>62</v>
      </c>
      <c r="F51" s="1">
        <f>F23</f>
        <v>-283</v>
      </c>
    </row>
    <row r="52" ht="12.75">
      <c r="A52" s="31"/>
    </row>
    <row r="53" spans="1:2" ht="12.75">
      <c r="A53" s="31"/>
      <c r="B53" t="s">
        <v>25</v>
      </c>
    </row>
    <row r="54" spans="1:6" ht="12.75">
      <c r="A54" s="31">
        <v>16</v>
      </c>
      <c r="B54" s="20" t="s">
        <v>28</v>
      </c>
      <c r="F54" s="1">
        <f>ROUND(F28,0)</f>
        <v>-344</v>
      </c>
    </row>
    <row r="55" ht="12.75">
      <c r="A55" s="31"/>
    </row>
    <row r="56" spans="1:6" ht="12.75">
      <c r="A56" s="31">
        <v>18</v>
      </c>
      <c r="B56" t="s">
        <v>63</v>
      </c>
      <c r="F56" s="1">
        <f>ROUND(F29,0)</f>
        <v>-24</v>
      </c>
    </row>
    <row r="57" spans="1:6" ht="12.75">
      <c r="A57" s="31">
        <v>19</v>
      </c>
      <c r="B57" t="s">
        <v>64</v>
      </c>
      <c r="F57" s="1">
        <f>ROUND(F24+F25,0)</f>
        <v>-3835</v>
      </c>
    </row>
    <row r="58" ht="12.75">
      <c r="A58" s="31"/>
    </row>
    <row r="59" spans="1:2" ht="12.75">
      <c r="A59" s="31"/>
      <c r="B59" t="s">
        <v>26</v>
      </c>
    </row>
    <row r="60" spans="1:6" ht="12.75">
      <c r="A60" s="31">
        <v>21</v>
      </c>
      <c r="B60" s="20" t="s">
        <v>65</v>
      </c>
      <c r="F60" s="1">
        <f>ROUND(F30,0)</f>
        <v>-18</v>
      </c>
    </row>
    <row r="61" spans="1:6" ht="12.75">
      <c r="A61" s="31">
        <v>22</v>
      </c>
      <c r="B61" s="20" t="s">
        <v>106</v>
      </c>
      <c r="F61" s="1">
        <f>F26+F27</f>
        <v>815</v>
      </c>
    </row>
    <row r="62" spans="1:6" ht="12.75">
      <c r="A62" s="31"/>
      <c r="B62" s="20"/>
      <c r="F62" s="1"/>
    </row>
    <row r="63" spans="1:2" ht="12.75">
      <c r="A63" s="31"/>
      <c r="B63" t="s">
        <v>27</v>
      </c>
    </row>
    <row r="64" spans="1:6" ht="12.75">
      <c r="A64" s="31">
        <v>27</v>
      </c>
      <c r="B64" s="20" t="s">
        <v>66</v>
      </c>
      <c r="F64" s="1">
        <f>ROUND((SUM(F44:F46)-SUM(F50:F61))*G34,0)</f>
        <v>619</v>
      </c>
    </row>
    <row r="65" ht="12.75">
      <c r="A65" s="31"/>
    </row>
    <row r="66" spans="1:6" ht="13.5" thickBot="1">
      <c r="A66" s="31">
        <v>30</v>
      </c>
      <c r="B66" t="s">
        <v>67</v>
      </c>
      <c r="F66" s="52">
        <f>SUM(F44:F46)-SUM(F48:F64)</f>
        <v>1149</v>
      </c>
    </row>
    <row r="67" ht="13.5" thickTop="1"/>
    <row r="78" spans="2:7" ht="12.75">
      <c r="B78" t="s">
        <v>115</v>
      </c>
      <c r="D78" s="57">
        <v>284735942</v>
      </c>
      <c r="E78" s="20" t="s">
        <v>95</v>
      </c>
      <c r="G78" s="57">
        <v>113770036</v>
      </c>
    </row>
    <row r="79" spans="2:7" ht="12.75">
      <c r="B79" t="s">
        <v>88</v>
      </c>
      <c r="D79" s="57"/>
      <c r="G79" s="57"/>
    </row>
    <row r="80" spans="2:7" ht="12.75">
      <c r="B80" s="20" t="s">
        <v>19</v>
      </c>
      <c r="D80" s="57">
        <v>-1077288</v>
      </c>
      <c r="E80" s="20" t="s">
        <v>95</v>
      </c>
      <c r="G80" s="53">
        <v>-259073</v>
      </c>
    </row>
    <row r="81" spans="2:7" ht="12.75">
      <c r="B81" s="20" t="s">
        <v>89</v>
      </c>
      <c r="D81" s="53">
        <v>7696618</v>
      </c>
      <c r="E81" s="20" t="s">
        <v>96</v>
      </c>
      <c r="G81" s="53">
        <v>1514343.05</v>
      </c>
    </row>
    <row r="82" spans="2:7" ht="12.75">
      <c r="B82" s="20" t="s">
        <v>90</v>
      </c>
      <c r="D82" s="53">
        <v>13293</v>
      </c>
      <c r="E82" s="20" t="s">
        <v>95</v>
      </c>
      <c r="G82" s="53">
        <v>12145</v>
      </c>
    </row>
    <row r="83" spans="2:7" ht="12.75">
      <c r="B83" s="20" t="s">
        <v>91</v>
      </c>
      <c r="D83" s="53">
        <v>66525977</v>
      </c>
      <c r="E83" s="20" t="s">
        <v>95</v>
      </c>
      <c r="G83" s="53">
        <v>27918811</v>
      </c>
    </row>
    <row r="84" spans="2:7" ht="12.75">
      <c r="B84" s="20" t="s">
        <v>92</v>
      </c>
      <c r="D84" s="53">
        <v>1876646</v>
      </c>
      <c r="E84" s="20" t="s">
        <v>95</v>
      </c>
      <c r="G84" s="53">
        <v>59295</v>
      </c>
    </row>
    <row r="85" spans="2:7" ht="12.75">
      <c r="B85" t="s">
        <v>73</v>
      </c>
      <c r="D85" s="37">
        <f>D78-SUM(D80:D84)</f>
        <v>209700696</v>
      </c>
      <c r="G85" s="37">
        <f>G78-SUM(G80:G84)</f>
        <v>84524514.95</v>
      </c>
    </row>
    <row r="86" spans="4:7" ht="12.75">
      <c r="D86" s="12"/>
      <c r="G86" s="12"/>
    </row>
    <row r="87" spans="2:7" ht="12.75">
      <c r="B87" t="s">
        <v>74</v>
      </c>
      <c r="D87" s="53">
        <v>217097024</v>
      </c>
      <c r="E87" s="20" t="s">
        <v>97</v>
      </c>
      <c r="G87" s="53">
        <v>86051003.94</v>
      </c>
    </row>
    <row r="88" spans="2:7" ht="12.75">
      <c r="B88" s="20" t="s">
        <v>93</v>
      </c>
      <c r="D88" s="12">
        <f>D82</f>
        <v>13293</v>
      </c>
      <c r="E88" s="20" t="s">
        <v>98</v>
      </c>
      <c r="G88" s="12">
        <f>G82</f>
        <v>12145</v>
      </c>
    </row>
    <row r="89" spans="2:7" ht="12.75">
      <c r="B89" s="20" t="s">
        <v>94</v>
      </c>
      <c r="D89" s="12">
        <f>D81</f>
        <v>7696618</v>
      </c>
      <c r="E89" s="20" t="s">
        <v>99</v>
      </c>
      <c r="G89" s="12">
        <f>G81</f>
        <v>1514343.05</v>
      </c>
    </row>
    <row r="90" spans="2:7" ht="12.75">
      <c r="B90" s="20" t="s">
        <v>100</v>
      </c>
      <c r="D90" s="57">
        <v>313584</v>
      </c>
      <c r="E90" s="20" t="s">
        <v>101</v>
      </c>
      <c r="G90" s="57">
        <v>0</v>
      </c>
    </row>
    <row r="91" spans="2:7" ht="12.75">
      <c r="B91" t="s">
        <v>73</v>
      </c>
      <c r="D91" s="17">
        <f>D87-D88-D89+D90</f>
        <v>209700697</v>
      </c>
      <c r="E91" s="1"/>
      <c r="G91" s="17">
        <f>G87-G88-G89+G90</f>
        <v>84524515.89</v>
      </c>
    </row>
    <row r="92" spans="4:7" ht="12.75">
      <c r="D92" s="1">
        <f>D91-D85</f>
        <v>1</v>
      </c>
      <c r="G92" s="1"/>
    </row>
    <row r="93" spans="4:7" ht="12.75">
      <c r="D93" s="1"/>
      <c r="G93" s="1"/>
    </row>
    <row r="94" spans="2:7" ht="12.75">
      <c r="B94" t="s">
        <v>119</v>
      </c>
      <c r="D94" s="1">
        <v>9025</v>
      </c>
      <c r="E94" s="20" t="s">
        <v>102</v>
      </c>
      <c r="G94" s="1"/>
    </row>
    <row r="95" spans="2:7" ht="12.75">
      <c r="B95" t="s">
        <v>75</v>
      </c>
      <c r="D95" s="17">
        <f>SUM(D91:D94)</f>
        <v>209709723</v>
      </c>
      <c r="G95" s="17">
        <f>SUM(G91:G94)</f>
        <v>84524515.89</v>
      </c>
    </row>
    <row r="96" spans="4:7" ht="12.75">
      <c r="D96" s="1"/>
      <c r="G96" s="1"/>
    </row>
    <row r="97" spans="2:7" ht="12.75">
      <c r="B97" t="s">
        <v>76</v>
      </c>
      <c r="D97" s="1"/>
      <c r="G97" s="1"/>
    </row>
    <row r="98" spans="2:8" ht="12.75">
      <c r="B98" s="20" t="s">
        <v>77</v>
      </c>
      <c r="D98" s="1">
        <v>145309262</v>
      </c>
      <c r="G98" s="1">
        <v>140722990.23</v>
      </c>
      <c r="H98" s="1"/>
    </row>
    <row r="99" spans="2:8" ht="12.75">
      <c r="B99" s="20" t="s">
        <v>78</v>
      </c>
      <c r="D99" s="1">
        <v>52550774</v>
      </c>
      <c r="G99" s="1">
        <v>50914005.61</v>
      </c>
      <c r="H99" s="1"/>
    </row>
    <row r="100" spans="2:8" ht="12.75">
      <c r="B100" s="20" t="s">
        <v>79</v>
      </c>
      <c r="D100" s="1">
        <v>878584</v>
      </c>
      <c r="G100" s="1">
        <v>909004.48</v>
      </c>
      <c r="H100" s="1"/>
    </row>
    <row r="101" spans="2:8" ht="12.75">
      <c r="B101" s="20" t="s">
        <v>80</v>
      </c>
      <c r="D101" s="1">
        <v>4779186</v>
      </c>
      <c r="G101" s="1">
        <v>5340790.56</v>
      </c>
      <c r="H101" s="1"/>
    </row>
    <row r="102" spans="2:8" ht="12.75">
      <c r="B102" s="20" t="s">
        <v>81</v>
      </c>
      <c r="D102" s="1">
        <v>2314912</v>
      </c>
      <c r="G102" s="1">
        <v>2688354.5</v>
      </c>
      <c r="H102" s="1"/>
    </row>
    <row r="103" spans="2:8" ht="12.75">
      <c r="B103" s="20" t="s">
        <v>82</v>
      </c>
      <c r="D103" s="1">
        <v>0</v>
      </c>
      <c r="G103" s="1">
        <v>0</v>
      </c>
      <c r="H103" s="1"/>
    </row>
    <row r="104" spans="2:8" ht="12.75">
      <c r="B104" s="20" t="s">
        <v>83</v>
      </c>
      <c r="D104" s="1">
        <v>614535</v>
      </c>
      <c r="G104" s="1">
        <v>655644.06</v>
      </c>
      <c r="H104" s="1"/>
    </row>
    <row r="105" spans="2:8" ht="12.75">
      <c r="B105" s="20" t="s">
        <v>84</v>
      </c>
      <c r="D105" s="1">
        <v>1833959</v>
      </c>
      <c r="G105" s="1">
        <v>1659686.31</v>
      </c>
      <c r="H105" s="1"/>
    </row>
    <row r="106" spans="2:8" ht="12.75">
      <c r="B106" s="20" t="s">
        <v>85</v>
      </c>
      <c r="D106" s="1">
        <v>46940</v>
      </c>
      <c r="G106" s="1">
        <v>53960.38</v>
      </c>
      <c r="H106" s="1"/>
    </row>
    <row r="107" spans="2:8" ht="12.75">
      <c r="B107" s="20" t="s">
        <v>86</v>
      </c>
      <c r="D107" s="1">
        <v>1067985</v>
      </c>
      <c r="G107" s="1">
        <v>1039821.77</v>
      </c>
      <c r="H107" s="1"/>
    </row>
    <row r="108" spans="2:8" ht="12.75">
      <c r="B108" s="20" t="s">
        <v>87</v>
      </c>
      <c r="D108" s="1">
        <v>313584</v>
      </c>
      <c r="E108" s="20" t="s">
        <v>99</v>
      </c>
      <c r="G108" s="1">
        <v>339716</v>
      </c>
      <c r="H108" s="1"/>
    </row>
    <row r="109" spans="2:7" ht="12.75">
      <c r="B109" t="s">
        <v>75</v>
      </c>
      <c r="D109" s="17">
        <f>SUM(D98:D108)</f>
        <v>209709721</v>
      </c>
      <c r="E109" s="1"/>
      <c r="G109" s="1">
        <v>204323973.89999998</v>
      </c>
    </row>
    <row r="110" spans="4:7" ht="12.75">
      <c r="D110" s="1">
        <f>D109-D95</f>
        <v>-2</v>
      </c>
      <c r="G110" s="1"/>
    </row>
    <row r="111" spans="4:7" ht="12.75">
      <c r="D111" s="1"/>
      <c r="G111" s="1"/>
    </row>
    <row r="112" spans="4:7" ht="12.75">
      <c r="D112" s="1"/>
      <c r="G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</sheetData>
  <printOptions/>
  <pageMargins left="0.5" right="0.5" top="0.5" bottom="0.5" header="0.5" footer="0.5"/>
  <pageSetup horizontalDpi="600" verticalDpi="600" orientation="portrait" scale="77" r:id="rId4"/>
  <headerFooter alignWithMargins="0">
    <oddFooter>&amp;L&amp;F</oddFooter>
  </headerFooter>
  <colBreaks count="1" manualBreakCount="1">
    <brk id="8" max="6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63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6" width="10.7109375" style="0" customWidth="1"/>
    <col min="7" max="7" width="11.7109375" style="0" customWidth="1"/>
    <col min="8" max="8" width="19.00390625" style="0" customWidth="1"/>
  </cols>
  <sheetData>
    <row r="1" spans="1:6" ht="12.75">
      <c r="A1" s="48" t="s">
        <v>55</v>
      </c>
      <c r="E1" s="2" t="s">
        <v>5</v>
      </c>
      <c r="F1" s="23" t="s">
        <v>10</v>
      </c>
    </row>
    <row r="2" spans="3:6" ht="12.75">
      <c r="C2" s="2" t="s">
        <v>0</v>
      </c>
      <c r="D2" s="2" t="s">
        <v>1</v>
      </c>
      <c r="E2" s="2" t="s">
        <v>2</v>
      </c>
      <c r="F2" s="24" t="s">
        <v>12</v>
      </c>
    </row>
    <row r="3" spans="2:6" ht="12.75">
      <c r="B3" s="18" t="s">
        <v>117</v>
      </c>
      <c r="D3" s="1"/>
      <c r="E3" s="1"/>
      <c r="F3" s="25"/>
    </row>
    <row r="4" spans="2:6" ht="12.75" customHeight="1">
      <c r="B4" s="22" t="s">
        <v>69</v>
      </c>
      <c r="C4" s="8">
        <f>C8-C6-C7</f>
        <v>201207</v>
      </c>
      <c r="D4" s="9">
        <f>193096-D13</f>
        <v>189984</v>
      </c>
      <c r="E4" s="8">
        <f>D4-C4</f>
        <v>-11223</v>
      </c>
      <c r="F4" s="34">
        <f>E4</f>
        <v>-11223</v>
      </c>
    </row>
    <row r="5" spans="2:6" ht="12.75">
      <c r="B5" t="s">
        <v>17</v>
      </c>
      <c r="C5" s="14"/>
      <c r="D5" s="9">
        <v>8365</v>
      </c>
      <c r="E5" s="8">
        <f>D5-C5</f>
        <v>8365</v>
      </c>
      <c r="F5" s="34">
        <f>E5</f>
        <v>8365</v>
      </c>
    </row>
    <row r="6" spans="2:6" ht="12.75">
      <c r="B6" s="3" t="s">
        <v>7</v>
      </c>
      <c r="C6" s="53">
        <f>7452-C11</f>
        <v>7380</v>
      </c>
      <c r="D6" s="9">
        <v>0</v>
      </c>
      <c r="E6" s="8">
        <f>D6-C6</f>
        <v>-7380</v>
      </c>
      <c r="F6" s="35" t="s">
        <v>30</v>
      </c>
    </row>
    <row r="7" spans="2:6" ht="12.75">
      <c r="B7" t="s">
        <v>19</v>
      </c>
      <c r="C7" s="53">
        <f>216-C12</f>
        <v>296</v>
      </c>
      <c r="D7" s="9">
        <v>-528</v>
      </c>
      <c r="E7" s="8">
        <f>D7-C7</f>
        <v>-824</v>
      </c>
      <c r="F7" s="34">
        <f>E7</f>
        <v>-824</v>
      </c>
    </row>
    <row r="8" spans="2:6" ht="12.75">
      <c r="B8" s="20" t="s">
        <v>113</v>
      </c>
      <c r="C8" s="50">
        <v>208883</v>
      </c>
      <c r="D8" s="11">
        <f>SUM(D4:D7)</f>
        <v>197821</v>
      </c>
      <c r="E8" s="11">
        <f>IF(ROUND(D8-C8,3)&lt;&gt;ROUND(SUM(E4:E7),3),#VALUE!,SUM(E4:E7))</f>
        <v>-11062</v>
      </c>
      <c r="F8" s="51">
        <f>SUM(F4:F7)</f>
        <v>-3682</v>
      </c>
    </row>
    <row r="9" spans="2:6" ht="12.75">
      <c r="B9" s="3"/>
      <c r="C9" s="54"/>
      <c r="D9" s="9"/>
      <c r="E9" s="8"/>
      <c r="F9" s="35"/>
    </row>
    <row r="10" spans="2:6" ht="12.75" customHeight="1">
      <c r="B10" s="22" t="s">
        <v>70</v>
      </c>
      <c r="C10" s="8">
        <f>C13-C11-C12</f>
        <v>3173</v>
      </c>
      <c r="D10" s="9">
        <f>ROUND((1446369+986279+678939)/1000,0)</f>
        <v>3112</v>
      </c>
      <c r="E10" s="8">
        <f>D10-C10</f>
        <v>-61</v>
      </c>
      <c r="F10" s="34">
        <f>E10</f>
        <v>-61</v>
      </c>
    </row>
    <row r="11" spans="2:6" ht="12.75">
      <c r="B11" s="3" t="s">
        <v>68</v>
      </c>
      <c r="C11" s="53">
        <v>72</v>
      </c>
      <c r="D11" s="9">
        <v>0</v>
      </c>
      <c r="E11" s="8">
        <f>D11-C11</f>
        <v>-72</v>
      </c>
      <c r="F11" s="35" t="s">
        <v>30</v>
      </c>
    </row>
    <row r="12" spans="2:6" ht="12.75">
      <c r="B12" t="s">
        <v>33</v>
      </c>
      <c r="C12" s="9">
        <v>-80</v>
      </c>
      <c r="D12" s="9">
        <v>0</v>
      </c>
      <c r="E12" s="8">
        <f>D12-C12</f>
        <v>80</v>
      </c>
      <c r="F12" s="34">
        <f>E12</f>
        <v>80</v>
      </c>
    </row>
    <row r="13" spans="2:6" ht="15" customHeight="1">
      <c r="B13" s="20" t="s">
        <v>111</v>
      </c>
      <c r="C13" s="50">
        <v>3165</v>
      </c>
      <c r="D13" s="11">
        <f>SUM(D10:D12)</f>
        <v>3112</v>
      </c>
      <c r="E13" s="11">
        <f>D13-C13</f>
        <v>-53</v>
      </c>
      <c r="F13" s="51">
        <f>SUM(F10:F12)</f>
        <v>19</v>
      </c>
    </row>
    <row r="14" spans="2:6" ht="12.75">
      <c r="B14" s="20"/>
      <c r="C14" s="55"/>
      <c r="D14" s="9"/>
      <c r="E14" s="13"/>
      <c r="F14" s="36"/>
    </row>
    <row r="15" spans="2:6" ht="12.75">
      <c r="B15" t="s">
        <v>31</v>
      </c>
      <c r="C15" s="39">
        <f>C8+C13</f>
        <v>212048</v>
      </c>
      <c r="D15" s="39">
        <f>D8+D13</f>
        <v>200933</v>
      </c>
      <c r="E15" s="39">
        <f>E8+E13</f>
        <v>-11115</v>
      </c>
      <c r="F15" s="34">
        <f>F8+F13</f>
        <v>-3663</v>
      </c>
    </row>
    <row r="16" spans="2:6" ht="12.75">
      <c r="B16" t="s">
        <v>32</v>
      </c>
      <c r="C16" s="9">
        <v>36725</v>
      </c>
      <c r="D16" s="9">
        <v>0</v>
      </c>
      <c r="E16" s="13">
        <f>D16-C16</f>
        <v>-36725</v>
      </c>
      <c r="F16" s="36">
        <f>E16</f>
        <v>-36725</v>
      </c>
    </row>
    <row r="17" spans="2:6" ht="12.75">
      <c r="B17" t="s">
        <v>71</v>
      </c>
      <c r="C17" s="37">
        <f>C15+C16</f>
        <v>248773</v>
      </c>
      <c r="D17" s="37">
        <f>D15+D16</f>
        <v>200933</v>
      </c>
      <c r="E17" s="37">
        <f>E15+E16</f>
        <v>-47840</v>
      </c>
      <c r="F17" s="38">
        <f>F15+F16</f>
        <v>-40388</v>
      </c>
    </row>
    <row r="18" spans="3:6" ht="12.75">
      <c r="C18" s="49">
        <f>ROUND((249265823-11127-481536)/1000-C17,0)</f>
        <v>0</v>
      </c>
      <c r="D18" s="39"/>
      <c r="E18" s="39"/>
      <c r="F18" s="34"/>
    </row>
    <row r="19" spans="2:6" ht="12.75">
      <c r="B19" s="18" t="s">
        <v>116</v>
      </c>
      <c r="C19" s="12"/>
      <c r="D19" s="13"/>
      <c r="E19" s="13"/>
      <c r="F19" s="26"/>
    </row>
    <row r="20" spans="2:6" ht="12.75">
      <c r="B20" s="3" t="s">
        <v>7</v>
      </c>
      <c r="C20" s="53">
        <v>7461</v>
      </c>
      <c r="D20" s="10">
        <v>0</v>
      </c>
      <c r="E20" s="13">
        <f aca="true" t="shared" si="0" ref="E20:E25">D20-C20</f>
        <v>-7461</v>
      </c>
      <c r="F20" s="35" t="s">
        <v>30</v>
      </c>
    </row>
    <row r="21" spans="2:6" ht="12.75">
      <c r="B21" s="3" t="s">
        <v>57</v>
      </c>
      <c r="C21" s="53">
        <v>188395</v>
      </c>
      <c r="D21" s="10">
        <v>149727</v>
      </c>
      <c r="E21" s="13">
        <f t="shared" si="0"/>
        <v>-38668</v>
      </c>
      <c r="F21" s="26">
        <f>E21</f>
        <v>-38668</v>
      </c>
    </row>
    <row r="22" spans="2:6" ht="12.75">
      <c r="B22" s="3" t="s">
        <v>54</v>
      </c>
      <c r="C22" s="53">
        <v>-75</v>
      </c>
      <c r="D22" s="10">
        <v>0</v>
      </c>
      <c r="E22" s="13">
        <f t="shared" si="0"/>
        <v>75</v>
      </c>
      <c r="F22" s="26">
        <f>E22</f>
        <v>75</v>
      </c>
    </row>
    <row r="23" spans="2:6" ht="12.75">
      <c r="B23" s="3" t="s">
        <v>58</v>
      </c>
      <c r="C23" s="53">
        <v>495</v>
      </c>
      <c r="D23" s="10">
        <v>0</v>
      </c>
      <c r="E23" s="13">
        <f t="shared" si="0"/>
        <v>-495</v>
      </c>
      <c r="F23" s="26">
        <f>E23</f>
        <v>-495</v>
      </c>
    </row>
    <row r="24" spans="2:6" ht="12.75">
      <c r="B24" s="3" t="s">
        <v>20</v>
      </c>
      <c r="C24" s="53">
        <v>2032</v>
      </c>
      <c r="D24" s="10">
        <v>0</v>
      </c>
      <c r="E24" s="13">
        <f t="shared" si="0"/>
        <v>-2032</v>
      </c>
      <c r="F24" s="26">
        <f>E24</f>
        <v>-2032</v>
      </c>
    </row>
    <row r="25" spans="2:6" ht="12.75">
      <c r="B25" s="3" t="s">
        <v>21</v>
      </c>
      <c r="C25" s="53">
        <v>167</v>
      </c>
      <c r="D25" s="10">
        <v>0</v>
      </c>
      <c r="E25" s="13">
        <f t="shared" si="0"/>
        <v>-167</v>
      </c>
      <c r="F25" s="26">
        <f>E25</f>
        <v>-167</v>
      </c>
    </row>
    <row r="26" spans="2:8" ht="12.75">
      <c r="B26" s="3" t="s">
        <v>8</v>
      </c>
      <c r="C26" s="14"/>
      <c r="D26" s="15"/>
      <c r="E26" s="16"/>
      <c r="F26" s="26">
        <f>ROUND((F$15-F27)*$G26,0)</f>
        <v>-141</v>
      </c>
      <c r="G26" s="7">
        <v>0.03852</v>
      </c>
      <c r="H26" t="s">
        <v>13</v>
      </c>
    </row>
    <row r="27" spans="2:8" ht="12.75">
      <c r="B27" s="3" t="s">
        <v>3</v>
      </c>
      <c r="C27" s="14"/>
      <c r="D27" s="15"/>
      <c r="E27" s="16"/>
      <c r="F27" s="26">
        <f>ROUND(F$15*$G27,0)</f>
        <v>-10</v>
      </c>
      <c r="G27" s="7">
        <v>0.002661</v>
      </c>
      <c r="H27" t="s">
        <v>14</v>
      </c>
    </row>
    <row r="28" spans="2:8" ht="12.75">
      <c r="B28" s="3" t="s">
        <v>4</v>
      </c>
      <c r="C28" s="14"/>
      <c r="D28" s="15"/>
      <c r="E28" s="16"/>
      <c r="F28" s="26">
        <f>ROUND(F$15*$G28,0)</f>
        <v>-7</v>
      </c>
      <c r="G28" s="7">
        <v>0.002</v>
      </c>
      <c r="H28" t="s">
        <v>13</v>
      </c>
    </row>
    <row r="29" spans="3:8" ht="12.75">
      <c r="C29" s="14"/>
      <c r="D29" s="15"/>
      <c r="E29" s="16"/>
      <c r="F29" s="27">
        <f>SUM(F21:F28)</f>
        <v>-41445</v>
      </c>
      <c r="G29" s="21">
        <f>ROUND(G26*(1-G27),6)+G27+G28</f>
        <v>0.043078000000000005</v>
      </c>
      <c r="H29" t="s">
        <v>29</v>
      </c>
    </row>
    <row r="30" spans="3:6" ht="12.75">
      <c r="C30" s="14"/>
      <c r="D30" s="15"/>
      <c r="E30" s="16"/>
      <c r="F30" s="26"/>
    </row>
    <row r="31" spans="2:6" ht="12.75">
      <c r="B31" s="19" t="s">
        <v>6</v>
      </c>
      <c r="C31" s="14"/>
      <c r="D31" s="15"/>
      <c r="E31" s="16"/>
      <c r="F31" s="26">
        <f>F17-F29</f>
        <v>1057</v>
      </c>
    </row>
    <row r="32" spans="2:7" ht="12.75">
      <c r="B32" s="20" t="s">
        <v>11</v>
      </c>
      <c r="C32" s="14"/>
      <c r="D32" s="15"/>
      <c r="E32" s="16"/>
      <c r="F32" s="26">
        <f>ROUND(F31*$G32,0)</f>
        <v>370</v>
      </c>
      <c r="G32" s="6">
        <v>0.35</v>
      </c>
    </row>
    <row r="33" spans="2:6" ht="13.5" thickBot="1">
      <c r="B33" s="19" t="s">
        <v>9</v>
      </c>
      <c r="C33" s="14"/>
      <c r="D33" s="15"/>
      <c r="E33" s="16"/>
      <c r="F33" s="28">
        <f>F31-F32</f>
        <v>687</v>
      </c>
    </row>
    <row r="34" spans="5:6" ht="13.5" thickTop="1">
      <c r="E34" s="5"/>
      <c r="F34" s="29"/>
    </row>
    <row r="35" spans="2:8" ht="12.75">
      <c r="B35" s="33" t="s">
        <v>18</v>
      </c>
      <c r="C35" s="1"/>
      <c r="D35" s="1"/>
      <c r="E35" s="1"/>
      <c r="G35" s="1">
        <f>F15</f>
        <v>-3663</v>
      </c>
      <c r="H35" t="s">
        <v>10</v>
      </c>
    </row>
    <row r="36" spans="2:8" ht="12.75">
      <c r="B36" s="33" t="s">
        <v>109</v>
      </c>
      <c r="C36" s="4"/>
      <c r="D36" s="67">
        <v>1665</v>
      </c>
      <c r="G36" s="64">
        <f>G29</f>
        <v>0.043078000000000005</v>
      </c>
      <c r="H36" t="s">
        <v>29</v>
      </c>
    </row>
    <row r="37" spans="2:8" ht="12.75">
      <c r="B37" s="60" t="s">
        <v>110</v>
      </c>
      <c r="D37" s="61">
        <f>D8-D36</f>
        <v>196156</v>
      </c>
      <c r="E37" s="62" t="s">
        <v>108</v>
      </c>
      <c r="F37" s="66"/>
      <c r="G37" s="63">
        <f>ROUND(G35*G36,0)</f>
        <v>-158</v>
      </c>
      <c r="H37" t="s">
        <v>15</v>
      </c>
    </row>
    <row r="38" spans="3:8" ht="12.75">
      <c r="C38" s="4"/>
      <c r="G38" s="65">
        <f>SUM(F26:F28)</f>
        <v>-158</v>
      </c>
      <c r="H38" t="s">
        <v>16</v>
      </c>
    </row>
    <row r="39" ht="12.75">
      <c r="G39" s="63">
        <f>G37-G38</f>
        <v>0</v>
      </c>
    </row>
    <row r="40" ht="12.75">
      <c r="B40" s="30" t="s">
        <v>107</v>
      </c>
    </row>
    <row r="41" spans="2:8" ht="12.75">
      <c r="B41" t="s">
        <v>22</v>
      </c>
      <c r="H41" s="68" t="s">
        <v>114</v>
      </c>
    </row>
    <row r="42" spans="1:8" ht="12.75">
      <c r="A42" s="31">
        <v>1</v>
      </c>
      <c r="B42" t="s">
        <v>59</v>
      </c>
      <c r="F42" s="32">
        <f>ROUND(F8,0)-D36</f>
        <v>-5347</v>
      </c>
      <c r="H42" s="32">
        <f>D8</f>
        <v>197821</v>
      </c>
    </row>
    <row r="43" spans="1:8" ht="12.75">
      <c r="A43" s="31">
        <v>2</v>
      </c>
      <c r="B43" t="s">
        <v>60</v>
      </c>
      <c r="F43" s="1">
        <f>F13</f>
        <v>19</v>
      </c>
      <c r="H43" s="1">
        <f>D13-D36</f>
        <v>1447</v>
      </c>
    </row>
    <row r="44" spans="1:8" ht="12.75">
      <c r="A44" s="31">
        <v>3</v>
      </c>
      <c r="B44" t="s">
        <v>61</v>
      </c>
      <c r="F44" s="1">
        <f>F16</f>
        <v>-36725</v>
      </c>
      <c r="H44" s="69">
        <f>(11127+481536+1879548)/1000+D36</f>
        <v>4037.211</v>
      </c>
    </row>
    <row r="45" spans="1:8" ht="12.75">
      <c r="A45" s="31"/>
      <c r="H45" s="32">
        <f>SUM(H42:H44)</f>
        <v>203305.211</v>
      </c>
    </row>
    <row r="46" spans="1:2" ht="12.75">
      <c r="A46" s="31"/>
      <c r="B46" t="s">
        <v>23</v>
      </c>
    </row>
    <row r="47" spans="1:2" ht="12.75">
      <c r="A47" s="31"/>
      <c r="B47" t="s">
        <v>24</v>
      </c>
    </row>
    <row r="48" spans="1:6" ht="12.75">
      <c r="A48" s="31">
        <v>6</v>
      </c>
      <c r="B48" s="20" t="s">
        <v>56</v>
      </c>
      <c r="F48" s="1">
        <f>F21+F22</f>
        <v>-38593</v>
      </c>
    </row>
    <row r="49" spans="1:6" ht="12.75">
      <c r="A49" s="31">
        <v>8</v>
      </c>
      <c r="B49" s="20" t="s">
        <v>62</v>
      </c>
      <c r="F49" s="1">
        <f>F23</f>
        <v>-495</v>
      </c>
    </row>
    <row r="50" ht="12.75">
      <c r="A50" s="31"/>
    </row>
    <row r="51" spans="1:2" ht="12.75">
      <c r="A51" s="31"/>
      <c r="B51" t="s">
        <v>25</v>
      </c>
    </row>
    <row r="52" spans="1:6" ht="12.75">
      <c r="A52" s="31">
        <v>16</v>
      </c>
      <c r="B52" s="20" t="s">
        <v>28</v>
      </c>
      <c r="F52" s="1">
        <f>ROUND(F26,0)</f>
        <v>-141</v>
      </c>
    </row>
    <row r="53" ht="12.75">
      <c r="A53" s="31"/>
    </row>
    <row r="54" spans="1:6" ht="12.75">
      <c r="A54" s="31">
        <v>18</v>
      </c>
      <c r="B54" t="s">
        <v>63</v>
      </c>
      <c r="F54" s="1">
        <f>ROUND(F27,0)</f>
        <v>-10</v>
      </c>
    </row>
    <row r="55" spans="1:6" ht="12.75">
      <c r="A55" s="31">
        <v>19</v>
      </c>
      <c r="B55" t="s">
        <v>64</v>
      </c>
      <c r="F55" s="1">
        <f>ROUND(F24+F25,0)</f>
        <v>-2199</v>
      </c>
    </row>
    <row r="56" ht="12.75">
      <c r="A56" s="31"/>
    </row>
    <row r="57" spans="1:2" ht="12.75">
      <c r="A57" s="31"/>
      <c r="B57" t="s">
        <v>26</v>
      </c>
    </row>
    <row r="58" spans="1:6" ht="12.75">
      <c r="A58" s="31">
        <v>21</v>
      </c>
      <c r="B58" s="20" t="s">
        <v>65</v>
      </c>
      <c r="F58" s="1">
        <f>ROUND(F28,0)</f>
        <v>-7</v>
      </c>
    </row>
    <row r="59" spans="1:6" ht="12.75">
      <c r="A59" s="31"/>
      <c r="B59" s="20"/>
      <c r="F59" s="1"/>
    </row>
    <row r="60" spans="1:2" ht="12.75">
      <c r="A60" s="31"/>
      <c r="B60" t="s">
        <v>27</v>
      </c>
    </row>
    <row r="61" spans="1:6" ht="12.75">
      <c r="A61" s="31">
        <v>27</v>
      </c>
      <c r="B61" s="20" t="s">
        <v>66</v>
      </c>
      <c r="F61" s="1">
        <f>ROUND((SUM(F42:F44)-SUM(F48:F58))*G32,0)</f>
        <v>-213</v>
      </c>
    </row>
    <row r="62" ht="12.75">
      <c r="A62" s="31"/>
    </row>
    <row r="63" spans="1:6" ht="13.5" thickBot="1">
      <c r="A63" s="31">
        <v>30</v>
      </c>
      <c r="B63" t="s">
        <v>67</v>
      </c>
      <c r="F63" s="52">
        <f>SUM(F42:F44)-SUM(F46:F61)</f>
        <v>-395</v>
      </c>
    </row>
    <row r="64" ht="13.5" thickTop="1"/>
  </sheetData>
  <printOptions/>
  <pageMargins left="0.5" right="0.5" top="0.75" bottom="0.75" header="0.5" footer="0.5"/>
  <pageSetup fitToHeight="1" fitToWidth="1" horizontalDpi="600" verticalDpi="600" orientation="portrait" scale="83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KZX5DR</dc:creator>
  <cp:keywords/>
  <dc:description/>
  <cp:lastModifiedBy>Corp Employee</cp:lastModifiedBy>
  <cp:lastPrinted>2009-01-06T22:45:55Z</cp:lastPrinted>
  <dcterms:created xsi:type="dcterms:W3CDTF">2007-03-14T20:24:40Z</dcterms:created>
  <dcterms:modified xsi:type="dcterms:W3CDTF">2009-04-30T00:57:37Z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