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2850" windowWidth="16350" windowHeight="4170" tabRatio="780" activeTab="0"/>
  </bookViews>
  <sheets>
    <sheet name="1 - Cost of Capital" sheetId="1" r:id="rId1"/>
    <sheet name="2 - Cost of Total Debt" sheetId="2" r:id="rId2"/>
    <sheet name="3 - STD Int &amp; Fees-Details AMA" sheetId="3" r:id="rId3"/>
    <sheet name="4 - Reacquired Debt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C_._DOWN_TERM_">'[2]CST STD!'!#REF!</definedName>
    <definedName name="_DOWN___COUPON_">'[2]CST STD!'!#REF!</definedName>
    <definedName name="_END__DOWN__DOW">'[2]CST STD!'!#REF!</definedName>
    <definedName name="_GOTO_TABLE__PR">'[2]CST STD!'!#REF!</definedName>
    <definedName name="_HOME__GOTO_YIE">'[2]CST STD!'!#REF!</definedName>
    <definedName name="_LET_YIELD__IRR">'[2]CST STD!'!#REF!</definedName>
    <definedName name="_RECASHFLOWS_">'[2]CST STD!'!#REF!</definedName>
    <definedName name="_RNCCASHFLOWS__">'[2]CST STD!'!#REF!</definedName>
    <definedName name="_WINDOWSOFF__PA">'[2]CST STD!'!#REF!</definedName>
    <definedName name="_xlfn.IFERROR" hidden="1">#NAME?</definedName>
    <definedName name="a">'[1]STD Cost'!#REF!</definedName>
    <definedName name="CASHFLOWS">'[2]CST STD!'!#REF!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">#REF!</definedName>
    <definedName name="pagea">#REF!</definedName>
    <definedName name="pageb">#REF!</definedName>
    <definedName name="_xlnm.Print_Area" localSheetId="0">'1 - Cost of Capital'!$A$1:$F$42</definedName>
    <definedName name="_xlnm.Print_Area" localSheetId="1">'2 - Cost of Total Debt'!$A$1:$J$45</definedName>
    <definedName name="_xlnm.Print_Area" localSheetId="2">'3 - STD Int &amp; Fees-Details AMA'!$A$1:$P$65</definedName>
    <definedName name="_xlnm.Print_Area" localSheetId="3">'4 - Reacquired Debt'!$A$1:$K$31</definedName>
    <definedName name="_xlnm.Print_Titles" localSheetId="3">'4 - Reacquired Debt'!$1:$7</definedName>
    <definedName name="TABLE">'[2]CST STD!'!#REF!</definedName>
    <definedName name="Total_Annual_Charge">'[1]BONDRATE'!#REF!</definedName>
    <definedName name="Total_OS_Amount">'[1]BONDRATE'!#REF!</definedName>
  </definedNames>
  <calcPr fullCalcOnLoad="1"/>
</workbook>
</file>

<file path=xl/sharedStrings.xml><?xml version="1.0" encoding="utf-8"?>
<sst xmlns="http://schemas.openxmlformats.org/spreadsheetml/2006/main" count="227" uniqueCount="152">
  <si>
    <t xml:space="preserve"> </t>
  </si>
  <si>
    <t>(A)</t>
  </si>
  <si>
    <t>Utility Capital Structure</t>
  </si>
  <si>
    <t>Cost of</t>
  </si>
  <si>
    <t>Description</t>
  </si>
  <si>
    <t>Ratio</t>
  </si>
  <si>
    <t>Cost</t>
  </si>
  <si>
    <t>Capital</t>
  </si>
  <si>
    <t>Long Term Debt</t>
  </si>
  <si>
    <t>Issue</t>
  </si>
  <si>
    <t>Annual</t>
  </si>
  <si>
    <t>Rate</t>
  </si>
  <si>
    <t>MTN-A</t>
  </si>
  <si>
    <t>MTN-B</t>
  </si>
  <si>
    <t>MTN-C</t>
  </si>
  <si>
    <t>PCB</t>
  </si>
  <si>
    <t>Schedule of Annual Charges on Reacquired Debt</t>
  </si>
  <si>
    <t>(B)</t>
  </si>
  <si>
    <t>8.40% Capital Trust II</t>
  </si>
  <si>
    <t>Interest</t>
  </si>
  <si>
    <t>PCB Series 1991A</t>
  </si>
  <si>
    <t>PCB Series 1991B</t>
  </si>
  <si>
    <t>PCB Series 1992</t>
  </si>
  <si>
    <t>PCB Series 1993</t>
  </si>
  <si>
    <t>(C)</t>
  </si>
  <si>
    <t>Commitment Fees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</si>
  <si>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</si>
  <si>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</si>
  <si>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</si>
  <si>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</si>
  <si>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</si>
  <si>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</si>
  <si>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</si>
  <si>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</si>
  <si>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</si>
  <si>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</si>
  <si>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</si>
  <si>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</si>
  <si>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</si>
  <si>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Annual Charge</t>
  </si>
  <si>
    <t>Cost Rate (ii)</t>
  </si>
  <si>
    <t>SN</t>
  </si>
  <si>
    <t>$200mm VRN</t>
  </si>
  <si>
    <t>30 Yr 5.483%</t>
  </si>
  <si>
    <t>Maturity</t>
  </si>
  <si>
    <t>Date</t>
  </si>
  <si>
    <t>8.231% Capital Trust I (Tender)</t>
  </si>
  <si>
    <t>30 Yr 7.350%</t>
  </si>
  <si>
    <t>2003 PCB's</t>
  </si>
  <si>
    <t>30 Yr 6.724%</t>
  </si>
  <si>
    <t>9.625% PP</t>
  </si>
  <si>
    <t>Amortization (i)</t>
  </si>
  <si>
    <t>Redemption</t>
  </si>
  <si>
    <t>Refinance</t>
  </si>
  <si>
    <t>for Amort.</t>
  </si>
  <si>
    <t>WNG 7.19%</t>
  </si>
  <si>
    <t>Totals</t>
  </si>
  <si>
    <t>$25M 9.57% Gas FMB's</t>
  </si>
  <si>
    <t>40 Yr 4.70%</t>
  </si>
  <si>
    <t>PCB Series 2003</t>
  </si>
  <si>
    <t>2013 PCB's</t>
  </si>
  <si>
    <t>SN 5.197%</t>
  </si>
  <si>
    <t>SN 6.75%</t>
  </si>
  <si>
    <t>30 Yr 4.30%</t>
  </si>
  <si>
    <t>Interest Rate Components:</t>
  </si>
  <si>
    <t>Monthly</t>
  </si>
  <si>
    <t>No. of Months</t>
  </si>
  <si>
    <t>in Period</t>
  </si>
  <si>
    <t>Weighted Cost of Reacquired Debt</t>
  </si>
  <si>
    <t>(i) Amortization is over life of replacement issue or remaining life of called bond if no replacement issue.</t>
  </si>
  <si>
    <t>Puget Sound Energy</t>
  </si>
  <si>
    <t>Short Term Debt Interest and Fees Details</t>
  </si>
  <si>
    <t>Borrowings (000's):</t>
  </si>
  <si>
    <t>Commercial Paper (CP)</t>
  </si>
  <si>
    <t>Credit Facilities</t>
  </si>
  <si>
    <t>Total Short-term Debt</t>
  </si>
  <si>
    <t>Est'd CP Spread</t>
  </si>
  <si>
    <t>Credit Facilities Margin</t>
  </si>
  <si>
    <t>Annual Interest Rates:</t>
  </si>
  <si>
    <t>CP</t>
  </si>
  <si>
    <t>Number of Days in Month</t>
  </si>
  <si>
    <t>Interest Expense (i):</t>
  </si>
  <si>
    <t>CP Interest</t>
  </si>
  <si>
    <t>Credit Facilities Interest</t>
  </si>
  <si>
    <t>Total Interest</t>
  </si>
  <si>
    <t>Avg Monthly Borrowing Rate</t>
  </si>
  <si>
    <t>Loan Commitments (000's):</t>
  </si>
  <si>
    <t>Credit Facility Commitments</t>
  </si>
  <si>
    <t>Loan &amp; LOC Utilization</t>
  </si>
  <si>
    <t>Unutilized Portion</t>
  </si>
  <si>
    <t>Commitment Fees:</t>
  </si>
  <si>
    <t>Commitment Fees (Unutilized portion)</t>
  </si>
  <si>
    <t>Total Commitment Fees</t>
  </si>
  <si>
    <t>Letters of Credit:</t>
  </si>
  <si>
    <t>LC Outstanding under Cr Agrmt (000's)</t>
  </si>
  <si>
    <t>LC Outstanding with Wells (000's)</t>
  </si>
  <si>
    <t>Commitment Fees + Letter of Credit</t>
  </si>
  <si>
    <t>Weight Cost of Commitment Fees</t>
  </si>
  <si>
    <t>Total Amortization</t>
  </si>
  <si>
    <t>Weight Cost of Short-Term Debt Issuance Cost Amortization</t>
  </si>
  <si>
    <t xml:space="preserve">Amortization of Short-Term Debt Issue Cost </t>
  </si>
  <si>
    <t>Amortization of Reacquired Debt</t>
  </si>
  <si>
    <t>Total Debt</t>
  </si>
  <si>
    <t>Common Equity</t>
  </si>
  <si>
    <t xml:space="preserve">Total </t>
  </si>
  <si>
    <t>Rates</t>
  </si>
  <si>
    <t>Short-Term Debt Cost of Interest</t>
  </si>
  <si>
    <t>Blended Cost of Interest (ST&amp;LT Debt)</t>
  </si>
  <si>
    <t>Implied Rate Year Capitalization</t>
  </si>
  <si>
    <t>Bond</t>
  </si>
  <si>
    <t>Net Proceeds Per $100 (i)</t>
  </si>
  <si>
    <t>Proposed Cost of Capital and Rate of Return</t>
  </si>
  <si>
    <t xml:space="preserve">($ in 000's) </t>
  </si>
  <si>
    <t>General Rate Case Request</t>
  </si>
  <si>
    <t>Test Year Capital Structure and Cost of Capital</t>
  </si>
  <si>
    <t xml:space="preserve">Amount (i) </t>
  </si>
  <si>
    <t>Requested Long-term Debt Ratio in Rate Year</t>
  </si>
  <si>
    <t>Projected AMA Long-term Debt in Rate year ($ in 000's)</t>
  </si>
  <si>
    <t>Implied AMA Total Capitalization in Rate Year ($ in 000's)</t>
  </si>
  <si>
    <t>Annual Charge ($'000)</t>
  </si>
  <si>
    <t>Requested Cost of Debt</t>
  </si>
  <si>
    <t>Principal    
in 000's</t>
  </si>
  <si>
    <t>Weighted Short-Term Debt Rate</t>
  </si>
  <si>
    <t>Marginal Short-Term Debt Rate</t>
  </si>
  <si>
    <t>Marginal Long-Term Debt Rate</t>
  </si>
  <si>
    <t>Weighted Long-Term Debt Rate</t>
  </si>
  <si>
    <t>Short Term Debt Issue Cost Amortization:</t>
  </si>
  <si>
    <t>PUGET SOUND ENERGY</t>
  </si>
  <si>
    <r>
      <t xml:space="preserve">(i) </t>
    </r>
    <r>
      <rPr>
        <sz val="8"/>
        <rFont val="Times New Roman"/>
        <family val="1"/>
      </rPr>
      <t>Net proceeds are face amount less underwriter's fees and issuance expenses.</t>
    </r>
  </si>
  <si>
    <r>
      <t>(ii)</t>
    </r>
    <r>
      <rPr>
        <sz val="8"/>
        <rFont val="Times New Roman"/>
        <family val="1"/>
      </rPr>
      <t xml:space="preserve"> Cost Rate for each bond is the yield to maturity based on net proceeds.</t>
    </r>
  </si>
  <si>
    <r>
      <t xml:space="preserve">Total LC Fees </t>
    </r>
    <r>
      <rPr>
        <sz val="8"/>
        <rFont val="Times New Roman"/>
        <family val="1"/>
      </rPr>
      <t>($ not in 000's)</t>
    </r>
  </si>
  <si>
    <r>
      <t xml:space="preserve">(i) </t>
    </r>
    <r>
      <rPr>
        <sz val="8"/>
        <rFont val="Times New Roman"/>
        <family val="1"/>
      </rPr>
      <t>Monthly short-term interest is calculated on the average balance for the month times the interest rate for the month times the actual days in the month divided by 360 days.</t>
    </r>
  </si>
  <si>
    <t>Jr. Subordinated Notes</t>
  </si>
  <si>
    <t>$800mm Liquidity Fac (18100683)</t>
  </si>
  <si>
    <r>
      <t>(iii)</t>
    </r>
    <r>
      <rPr>
        <sz val="8"/>
        <rFont val="Times New Roman"/>
        <family val="1"/>
      </rPr>
      <t xml:space="preserve"> For blended cost of interest for short-term debt and long-term debt, the cost rate is the total annual interest charge divided by the average outstanding balance for the period.</t>
    </r>
  </si>
  <si>
    <t>(iii)</t>
  </si>
  <si>
    <t>LTD Average Balance (in 000's)</t>
  </si>
  <si>
    <t>Total STD and LTD</t>
  </si>
  <si>
    <t>Total Long-term Debt Cost of Interest on AMA basis</t>
  </si>
  <si>
    <r>
      <t xml:space="preserve">Projected </t>
    </r>
    <r>
      <rPr>
        <sz val="8"/>
        <color indexed="8"/>
        <rFont val="Times New Roman"/>
        <family val="1"/>
      </rPr>
      <t>LIBOR Rates (1 mo)</t>
    </r>
  </si>
  <si>
    <t>Debt Allocation of the Total Capitalization</t>
  </si>
  <si>
    <t>Short Term Debt Allocation</t>
  </si>
  <si>
    <t>Long Term Debt Allocation</t>
  </si>
  <si>
    <t>Short Term Debt Average Balance (in 000's)</t>
  </si>
  <si>
    <t>Total First Mortgage Bonds and Senior Notes at the end of the year</t>
  </si>
  <si>
    <t>Average</t>
  </si>
  <si>
    <t>$650mm Liquidity Fac (18100673)</t>
  </si>
  <si>
    <t>$650mm Liquidity Refinance (18900473)</t>
  </si>
  <si>
    <t>For The 12 Months Ended December 31, 2022</t>
  </si>
  <si>
    <t>WNG 8.4%</t>
  </si>
  <si>
    <t>WNG 8.39%</t>
  </si>
  <si>
    <t>Projected for January 2022 through December 2022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</si>
</sst>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#,##0.000_);\(#,##0.000\)"/>
    <numFmt numFmtId="184" formatCode="&quot;$&quot;#,###.000,;\(&quot;$&quot;#,###.000,\)"/>
    <numFmt numFmtId="185" formatCode="&quot;$&quot;#,##0\ ;\(&quot;$&quot;#,##0\)"/>
    <numFmt numFmtId="186" formatCode="#,###.0,;\(#,###.0,\)"/>
    <numFmt numFmtId="187" formatCode="#,###.00,;\(#,###.00,\)"/>
    <numFmt numFmtId="188" formatCode="&quot;$&quot;#,##0.0_);\(&quot;$&quot;#,##0.0\)"/>
    <numFmt numFmtId="189" formatCode="0.000000%"/>
    <numFmt numFmtId="190" formatCode="dd\-mmm\-yy"/>
    <numFmt numFmtId="191" formatCode="#.0,,;\(&quot;$&quot;#.0,,\)"/>
    <numFmt numFmtId="192" formatCode="&quot;$&quot;#,000,;\(&quot;$&quot;#,000,\)"/>
    <numFmt numFmtId="193" formatCode="mmmmm\-yy"/>
    <numFmt numFmtId="194" formatCode="_(&quot;$&quot;* #,##0_);_(&quot;$&quot;* \(#,##0\);_(&quot;$&quot;* &quot;-&quot;??_);_(@_)"/>
    <numFmt numFmtId="195" formatCode="[$-409]d\-mmm\-yy;@"/>
    <numFmt numFmtId="196" formatCode="0.000"/>
    <numFmt numFmtId="197" formatCode="&quot;$&quot;#,000.000,;\(&quot;$&quot;#,000.000,\)"/>
    <numFmt numFmtId="198" formatCode="#,##0.0_);\(#,##0.0\)"/>
    <numFmt numFmtId="199" formatCode="&quot;$&quot;#,##0.000_);\(&quot;$&quot;#,##0.000\)"/>
    <numFmt numFmtId="200" formatCode="&quot;$&quot;#,000.00,;\(&quot;$&quot;#,000.00,\)"/>
    <numFmt numFmtId="201" formatCode="&quot;$&quot;#,000.0,;\(&quot;$&quot;#,000.0,\)"/>
    <numFmt numFmtId="202" formatCode="[$-409]mmm\-yy;@"/>
    <numFmt numFmtId="203" formatCode="[$-409]dddd\,\ mmmm\ dd\,\ yyyy"/>
    <numFmt numFmtId="204" formatCode="_(* #,##0.0_);_(* \(#,##0.0\);_(* &quot;-&quot;??_);_(@_)"/>
    <numFmt numFmtId="205" formatCode="0.0_);[Red]\(0.0\)"/>
    <numFmt numFmtId="206" formatCode="0.00_);[Red]\(0.00\)"/>
    <numFmt numFmtId="207" formatCode="mmm\-yyyy"/>
    <numFmt numFmtId="208" formatCode="&quot;$&quot;#,##0.0000_);\(&quot;$&quot;#,##0.0000\)"/>
    <numFmt numFmtId="209" formatCode="&quot;$&quot;#,##0.00000_);\(&quot;$&quot;#,##0.00000\)"/>
    <numFmt numFmtId="210" formatCode="_(* #,##0.000_);_(* \(#,##0.000\);_(* &quot;-&quot;??_);_(@_)"/>
    <numFmt numFmtId="211" formatCode="&quot;$&quot;#,###.0,;\(&quot;$&quot;#,###.0,\)"/>
    <numFmt numFmtId="212" formatCode="&quot;$&quot;#,###.00,;\(&quot;$&quot;#,###.00,\)"/>
    <numFmt numFmtId="213" formatCode="0.0000000%"/>
    <numFmt numFmtId="214" formatCode="0.0000"/>
    <numFmt numFmtId="215" formatCode="#,##0.0"/>
    <numFmt numFmtId="216" formatCode="_(* #,##0.0000_);_(* \(#,##0.0000\);_(* &quot;-&quot;??_);_(@_)"/>
    <numFmt numFmtId="217" formatCode="_(&quot;$&quot;* #,##0.0_);_(&quot;$&quot;* \(#,##0.0\);_(&quot;$&quot;* &quot;-&quot;??_);_(@_)"/>
    <numFmt numFmtId="218" formatCode="0.000000000000000000%"/>
    <numFmt numFmtId="219" formatCode="0.0000000000000000%"/>
  </numFmts>
  <fonts count="53">
    <font>
      <sz val="8"/>
      <name val="Arial"/>
      <family val="2"/>
    </font>
    <font>
      <sz val="10"/>
      <name val="Arial"/>
      <family val="0"/>
    </font>
    <font>
      <sz val="10"/>
      <name val="Geneva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24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2"/>
      <name val="Times New Roman"/>
      <family val="1"/>
    </font>
    <font>
      <b/>
      <u val="double"/>
      <sz val="10"/>
      <name val="Times New Roman"/>
      <family val="1"/>
    </font>
    <font>
      <i/>
      <sz val="9"/>
      <name val="Times New Roman"/>
      <family val="1"/>
    </font>
    <font>
      <u val="double"/>
      <sz val="10"/>
      <name val="Times New Roman"/>
      <family val="1"/>
    </font>
    <font>
      <b/>
      <sz val="7"/>
      <name val="Times New Roman"/>
      <family val="1"/>
    </font>
    <font>
      <u val="single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9"/>
      <color indexed="10"/>
      <name val="Times New Roman"/>
      <family val="1"/>
    </font>
    <font>
      <b/>
      <u val="single"/>
      <sz val="8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sz val="8"/>
      <color rgb="FF0000FF"/>
      <name val="Times New Roman"/>
      <family val="1"/>
    </font>
    <font>
      <sz val="9"/>
      <color rgb="FFFF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177" fontId="0" fillId="0" borderId="0">
      <alignment/>
      <protection/>
    </xf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0" fillId="0" borderId="0">
      <alignment/>
      <protection/>
    </xf>
    <xf numFmtId="37" fontId="9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" fontId="9" fillId="0" borderId="0">
      <alignment/>
      <protection/>
    </xf>
    <xf numFmtId="10" fontId="2" fillId="0" borderId="0">
      <alignment/>
      <protection/>
    </xf>
    <xf numFmtId="0" fontId="2" fillId="0" borderId="0">
      <alignment/>
      <protection/>
    </xf>
    <xf numFmtId="0" fontId="9" fillId="4" borderId="7" applyNumberFormat="0" applyFont="0" applyAlignment="0" applyProtection="0"/>
    <xf numFmtId="0" fontId="9" fillId="4" borderId="7" applyNumberFormat="0" applyFon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303">
    <xf numFmtId="37" fontId="0" fillId="0" borderId="0" xfId="0" applyAlignment="1">
      <alignment/>
    </xf>
    <xf numFmtId="10" fontId="3" fillId="0" borderId="0" xfId="110" applyFont="1">
      <alignment/>
      <protection/>
    </xf>
    <xf numFmtId="10" fontId="3" fillId="0" borderId="0" xfId="110" applyFont="1" applyAlignment="1">
      <alignment horizontal="centerContinuous"/>
      <protection/>
    </xf>
    <xf numFmtId="1" fontId="3" fillId="0" borderId="0" xfId="110" applyNumberFormat="1" applyFont="1" applyAlignment="1" applyProtection="1">
      <alignment horizontal="center"/>
      <protection/>
    </xf>
    <xf numFmtId="37" fontId="3" fillId="0" borderId="0" xfId="0" applyFont="1" applyAlignment="1">
      <alignment/>
    </xf>
    <xf numFmtId="5" fontId="3" fillId="0" borderId="0" xfId="110" applyNumberFormat="1" applyFont="1" applyProtection="1">
      <alignment/>
      <protection/>
    </xf>
    <xf numFmtId="165" fontId="3" fillId="0" borderId="0" xfId="110" applyNumberFormat="1" applyFont="1" applyProtection="1">
      <alignment/>
      <protection/>
    </xf>
    <xf numFmtId="10" fontId="3" fillId="0" borderId="0" xfId="110" applyNumberFormat="1" applyFont="1" applyProtection="1">
      <alignment/>
      <protection/>
    </xf>
    <xf numFmtId="37" fontId="3" fillId="0" borderId="0" xfId="108" applyFont="1">
      <alignment/>
      <protection/>
    </xf>
    <xf numFmtId="37" fontId="3" fillId="0" borderId="0" xfId="108" applyFont="1" applyAlignment="1" applyProtection="1">
      <alignment horizontal="center"/>
      <protection/>
    </xf>
    <xf numFmtId="37" fontId="5" fillId="0" borderId="0" xfId="108" applyFont="1" applyAlignment="1">
      <alignment horizontal="center"/>
      <protection/>
    </xf>
    <xf numFmtId="5" fontId="3" fillId="0" borderId="0" xfId="108" applyNumberFormat="1" applyFont="1">
      <alignment/>
      <protection/>
    </xf>
    <xf numFmtId="37" fontId="6" fillId="0" borderId="0" xfId="108" applyFont="1">
      <alignment/>
      <protection/>
    </xf>
    <xf numFmtId="37" fontId="6" fillId="0" borderId="0" xfId="108" applyFont="1" applyFill="1">
      <alignment/>
      <protection/>
    </xf>
    <xf numFmtId="15" fontId="3" fillId="0" borderId="0" xfId="108" applyNumberFormat="1" applyFont="1" applyProtection="1">
      <alignment/>
      <protection/>
    </xf>
    <xf numFmtId="0" fontId="3" fillId="0" borderId="0" xfId="111" applyFont="1" applyAlignment="1" applyProtection="1">
      <alignment horizontal="left"/>
      <protection/>
    </xf>
    <xf numFmtId="0" fontId="4" fillId="0" borderId="0" xfId="111" applyFont="1">
      <alignment/>
      <protection/>
    </xf>
    <xf numFmtId="5" fontId="4" fillId="0" borderId="0" xfId="111" applyNumberFormat="1" applyFont="1" applyProtection="1">
      <alignment/>
      <protection/>
    </xf>
    <xf numFmtId="37" fontId="7" fillId="0" borderId="0" xfId="108" applyFont="1" applyFill="1" applyAlignment="1">
      <alignment horizontal="center"/>
      <protection/>
    </xf>
    <xf numFmtId="5" fontId="6" fillId="0" borderId="0" xfId="108" applyNumberFormat="1" applyFont="1" applyFill="1">
      <alignment/>
      <protection/>
    </xf>
    <xf numFmtId="37" fontId="6" fillId="0" borderId="0" xfId="108" applyFont="1" applyFill="1" applyAlignment="1">
      <alignment horizontal="center"/>
      <protection/>
    </xf>
    <xf numFmtId="37" fontId="6" fillId="0" borderId="0" xfId="0" applyFont="1" applyFill="1" applyAlignment="1">
      <alignment/>
    </xf>
    <xf numFmtId="10" fontId="6" fillId="0" borderId="0" xfId="0" applyNumberFormat="1" applyFont="1" applyFill="1" applyAlignment="1">
      <alignment horizontal="left"/>
    </xf>
    <xf numFmtId="15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37" fontId="7" fillId="0" borderId="0" xfId="108" applyFont="1" applyFill="1" applyAlignment="1" applyProtection="1">
      <alignment horizontal="center"/>
      <protection/>
    </xf>
    <xf numFmtId="10" fontId="6" fillId="0" borderId="0" xfId="108" applyNumberFormat="1" applyFont="1" applyFill="1" applyProtection="1">
      <alignment/>
      <protection/>
    </xf>
    <xf numFmtId="168" fontId="6" fillId="0" borderId="0" xfId="108" applyNumberFormat="1" applyFont="1" applyFill="1" applyAlignment="1" applyProtection="1">
      <alignment horizontal="fill"/>
      <protection/>
    </xf>
    <xf numFmtId="166" fontId="3" fillId="0" borderId="0" xfId="108" applyNumberFormat="1" applyFont="1" applyFill="1">
      <alignment/>
      <protection/>
    </xf>
    <xf numFmtId="15" fontId="11" fillId="0" borderId="0" xfId="111" applyNumberFormat="1" applyFont="1" applyBorder="1" applyAlignment="1">
      <alignment horizontal="left"/>
      <protection/>
    </xf>
    <xf numFmtId="37" fontId="10" fillId="0" borderId="0" xfId="0" applyFont="1" applyBorder="1" applyAlignment="1">
      <alignment/>
    </xf>
    <xf numFmtId="37" fontId="12" fillId="0" borderId="0" xfId="108" applyFont="1">
      <alignment/>
      <protection/>
    </xf>
    <xf numFmtId="0" fontId="15" fillId="0" borderId="0" xfId="111" applyFont="1">
      <alignment/>
      <protection/>
    </xf>
    <xf numFmtId="0" fontId="4" fillId="0" borderId="0" xfId="111" applyFont="1" applyFill="1">
      <alignment/>
      <protection/>
    </xf>
    <xf numFmtId="0" fontId="4" fillId="0" borderId="0" xfId="111" applyFont="1" applyAlignment="1">
      <alignment horizontal="center"/>
      <protection/>
    </xf>
    <xf numFmtId="37" fontId="3" fillId="0" borderId="0" xfId="110" applyNumberFormat="1" applyFont="1">
      <alignment/>
      <protection/>
    </xf>
    <xf numFmtId="5" fontId="12" fillId="0" borderId="0" xfId="108" applyNumberFormat="1" applyFont="1" applyFill="1">
      <alignment/>
      <protection/>
    </xf>
    <xf numFmtId="5" fontId="3" fillId="0" borderId="0" xfId="108" applyNumberFormat="1" applyFont="1" applyFill="1">
      <alignment/>
      <protection/>
    </xf>
    <xf numFmtId="37" fontId="3" fillId="0" borderId="0" xfId="108" applyFont="1" applyFill="1">
      <alignment/>
      <protection/>
    </xf>
    <xf numFmtId="5" fontId="32" fillId="0" borderId="0" xfId="106" applyNumberFormat="1" applyFont="1" applyFill="1" applyBorder="1" applyAlignment="1" applyProtection="1">
      <alignment horizontal="left"/>
      <protection/>
    </xf>
    <xf numFmtId="170" fontId="3" fillId="0" borderId="0" xfId="110" applyNumberFormat="1" applyFont="1">
      <alignment/>
      <protection/>
    </xf>
    <xf numFmtId="43" fontId="3" fillId="0" borderId="0" xfId="71" applyFont="1" applyAlignment="1">
      <alignment/>
    </xf>
    <xf numFmtId="10" fontId="3" fillId="0" borderId="0" xfId="116" applyNumberFormat="1" applyFont="1" applyAlignment="1">
      <alignment/>
    </xf>
    <xf numFmtId="0" fontId="33" fillId="0" borderId="0" xfId="106" applyFont="1" applyBorder="1" applyAlignment="1" applyProtection="1">
      <alignment horizontal="centerContinuous" vertical="center" wrapText="1"/>
      <protection/>
    </xf>
    <xf numFmtId="10" fontId="5" fillId="0" borderId="0" xfId="110" applyFont="1" applyAlignment="1">
      <alignment horizontal="centerContinuous"/>
      <protection/>
    </xf>
    <xf numFmtId="172" fontId="5" fillId="0" borderId="0" xfId="110" applyNumberFormat="1" applyFont="1" applyBorder="1" applyAlignment="1" applyProtection="1">
      <alignment horizontal="centerContinuous" vertical="center" wrapText="1"/>
      <protection/>
    </xf>
    <xf numFmtId="1" fontId="12" fillId="0" borderId="0" xfId="110" applyNumberFormat="1" applyFont="1" applyAlignment="1" applyProtection="1">
      <alignment horizontal="center"/>
      <protection/>
    </xf>
    <xf numFmtId="37" fontId="34" fillId="0" borderId="0" xfId="107" applyFont="1" applyAlignment="1" applyProtection="1">
      <alignment horizontal="center"/>
      <protection/>
    </xf>
    <xf numFmtId="10" fontId="5" fillId="0" borderId="0" xfId="110" applyFont="1" applyFill="1" applyBorder="1" applyAlignment="1" applyProtection="1">
      <alignment horizontal="center" wrapText="1"/>
      <protection/>
    </xf>
    <xf numFmtId="10" fontId="5" fillId="0" borderId="0" xfId="110" applyFont="1" applyAlignment="1">
      <alignment horizontal="center"/>
      <protection/>
    </xf>
    <xf numFmtId="10" fontId="5" fillId="0" borderId="0" xfId="110" applyFont="1" applyAlignment="1" applyProtection="1">
      <alignment horizontal="center"/>
      <protection/>
    </xf>
    <xf numFmtId="10" fontId="35" fillId="0" borderId="0" xfId="110" applyFont="1" applyAlignment="1" applyProtection="1">
      <alignment horizontal="left"/>
      <protection/>
    </xf>
    <xf numFmtId="10" fontId="35" fillId="0" borderId="0" xfId="110" applyFont="1" applyAlignment="1" applyProtection="1">
      <alignment horizontal="center"/>
      <protection/>
    </xf>
    <xf numFmtId="10" fontId="3" fillId="0" borderId="0" xfId="110" applyFont="1" applyAlignment="1" applyProtection="1">
      <alignment horizontal="left"/>
      <protection/>
    </xf>
    <xf numFmtId="10" fontId="3" fillId="0" borderId="0" xfId="110" applyFont="1" applyAlignment="1" applyProtection="1">
      <alignment horizontal="left" indent="2"/>
      <protection/>
    </xf>
    <xf numFmtId="10" fontId="3" fillId="0" borderId="0" xfId="110" applyNumberFormat="1" applyFont="1" applyAlignment="1" applyProtection="1">
      <alignment/>
      <protection/>
    </xf>
    <xf numFmtId="10" fontId="3" fillId="0" borderId="0" xfId="110" applyFont="1" applyAlignment="1">
      <alignment horizontal="left" indent="2"/>
      <protection/>
    </xf>
    <xf numFmtId="10" fontId="3" fillId="0" borderId="10" xfId="110" applyFont="1" applyBorder="1" applyAlignment="1">
      <alignment horizontal="left" indent="2"/>
      <protection/>
    </xf>
    <xf numFmtId="37" fontId="34" fillId="0" borderId="10" xfId="107" applyFont="1" applyBorder="1" applyAlignment="1" applyProtection="1">
      <alignment horizontal="center"/>
      <protection/>
    </xf>
    <xf numFmtId="165" fontId="3" fillId="0" borderId="10" xfId="110" applyNumberFormat="1" applyFont="1" applyBorder="1" applyAlignment="1" applyProtection="1">
      <alignment/>
      <protection/>
    </xf>
    <xf numFmtId="10" fontId="3" fillId="0" borderId="10" xfId="110" applyNumberFormat="1" applyFont="1" applyBorder="1" applyAlignment="1" applyProtection="1">
      <alignment/>
      <protection/>
    </xf>
    <xf numFmtId="10" fontId="5" fillId="0" borderId="0" xfId="110" applyFont="1" applyAlignment="1" applyProtection="1">
      <alignment horizontal="left" indent="1"/>
      <protection/>
    </xf>
    <xf numFmtId="10" fontId="5" fillId="0" borderId="0" xfId="110" applyNumberFormat="1" applyFont="1" applyAlignment="1" applyProtection="1">
      <alignment/>
      <protection/>
    </xf>
    <xf numFmtId="5" fontId="3" fillId="0" borderId="0" xfId="110" applyNumberFormat="1" applyFont="1" applyAlignment="1" applyProtection="1">
      <alignment/>
      <protection/>
    </xf>
    <xf numFmtId="10" fontId="5" fillId="0" borderId="11" xfId="110" applyFont="1" applyBorder="1" applyAlignment="1" applyProtection="1">
      <alignment horizontal="left" indent="1"/>
      <protection/>
    </xf>
    <xf numFmtId="37" fontId="34" fillId="0" borderId="11" xfId="107" applyFont="1" applyBorder="1" applyAlignment="1" applyProtection="1">
      <alignment horizontal="center"/>
      <protection/>
    </xf>
    <xf numFmtId="165" fontId="3" fillId="0" borderId="11" xfId="110" applyNumberFormat="1" applyFont="1" applyBorder="1" applyAlignment="1" applyProtection="1">
      <alignment/>
      <protection/>
    </xf>
    <xf numFmtId="10" fontId="3" fillId="0" borderId="11" xfId="110" applyNumberFormat="1" applyFont="1" applyBorder="1" applyAlignment="1" applyProtection="1">
      <alignment/>
      <protection/>
    </xf>
    <xf numFmtId="10" fontId="5" fillId="0" borderId="11" xfId="110" applyNumberFormat="1" applyFont="1" applyBorder="1" applyAlignment="1" applyProtection="1">
      <alignment/>
      <protection/>
    </xf>
    <xf numFmtId="10" fontId="5" fillId="0" borderId="0" xfId="110" applyFont="1" applyAlignment="1" applyProtection="1">
      <alignment horizontal="left"/>
      <protection/>
    </xf>
    <xf numFmtId="165" fontId="5" fillId="0" borderId="0" xfId="110" applyNumberFormat="1" applyFont="1" applyAlignment="1" applyProtection="1">
      <alignment/>
      <protection/>
    </xf>
    <xf numFmtId="10" fontId="35" fillId="0" borderId="0" xfId="110" applyNumberFormat="1" applyFont="1" applyAlignment="1" applyProtection="1">
      <alignment/>
      <protection/>
    </xf>
    <xf numFmtId="5" fontId="37" fillId="0" borderId="0" xfId="110" applyNumberFormat="1" applyFont="1" applyBorder="1" applyAlignment="1" applyProtection="1">
      <alignment/>
      <protection/>
    </xf>
    <xf numFmtId="165" fontId="37" fillId="0" borderId="0" xfId="110" applyNumberFormat="1" applyFont="1" applyBorder="1" applyAlignment="1" applyProtection="1">
      <alignment horizontal="right"/>
      <protection/>
    </xf>
    <xf numFmtId="10" fontId="37" fillId="0" borderId="0" xfId="110" applyNumberFormat="1" applyFont="1" applyBorder="1" applyAlignment="1" applyProtection="1">
      <alignment horizontal="right"/>
      <protection/>
    </xf>
    <xf numFmtId="10" fontId="3" fillId="0" borderId="0" xfId="110" applyNumberFormat="1" applyFont="1" applyBorder="1">
      <alignment/>
      <protection/>
    </xf>
    <xf numFmtId="10" fontId="3" fillId="0" borderId="0" xfId="110" applyFont="1" applyBorder="1" applyAlignment="1">
      <alignment horizontal="right"/>
      <protection/>
    </xf>
    <xf numFmtId="10" fontId="3" fillId="0" borderId="0" xfId="110" applyFont="1" applyBorder="1" applyAlignment="1">
      <alignment horizontal="center"/>
      <protection/>
    </xf>
    <xf numFmtId="10" fontId="3" fillId="0" borderId="0" xfId="110" applyNumberFormat="1" applyFont="1" applyBorder="1" applyAlignment="1">
      <alignment horizontal="right"/>
      <protection/>
    </xf>
    <xf numFmtId="10" fontId="10" fillId="0" borderId="0" xfId="110" applyFont="1" applyAlignment="1" applyProtection="1">
      <alignment horizontal="left"/>
      <protection/>
    </xf>
    <xf numFmtId="5" fontId="3" fillId="0" borderId="0" xfId="76" applyNumberFormat="1" applyFont="1" applyAlignment="1">
      <alignment horizontal="right"/>
    </xf>
    <xf numFmtId="38" fontId="3" fillId="0" borderId="0" xfId="110" applyNumberFormat="1" applyFont="1">
      <alignment/>
      <protection/>
    </xf>
    <xf numFmtId="37" fontId="11" fillId="0" borderId="0" xfId="108" applyNumberFormat="1" applyFont="1" applyAlignment="1" applyProtection="1">
      <alignment horizontal="centerContinuous"/>
      <protection/>
    </xf>
    <xf numFmtId="0" fontId="5" fillId="0" borderId="0" xfId="111" applyFont="1" applyFill="1" applyBorder="1" applyAlignment="1" applyProtection="1" quotePrefix="1">
      <alignment horizontal="centerContinuous" vertical="center" wrapText="1"/>
      <protection/>
    </xf>
    <xf numFmtId="0" fontId="11" fillId="0" borderId="0" xfId="111" applyFont="1" applyFill="1" applyBorder="1" applyAlignment="1" applyProtection="1" quotePrefix="1">
      <alignment horizontal="centerContinuous" vertical="center" wrapText="1"/>
      <protection/>
    </xf>
    <xf numFmtId="181" fontId="11" fillId="0" borderId="0" xfId="108" applyNumberFormat="1" applyFont="1" applyFill="1" applyAlignment="1" applyProtection="1" quotePrefix="1">
      <alignment horizontal="centerContinuous"/>
      <protection/>
    </xf>
    <xf numFmtId="181" fontId="11" fillId="0" borderId="0" xfId="108" applyNumberFormat="1" applyFont="1" applyFill="1" applyAlignment="1" applyProtection="1">
      <alignment horizontal="centerContinuous"/>
      <protection/>
    </xf>
    <xf numFmtId="3" fontId="12" fillId="0" borderId="0" xfId="109" applyFont="1" applyAlignment="1">
      <alignment horizontal="center"/>
      <protection/>
    </xf>
    <xf numFmtId="37" fontId="40" fillId="0" borderId="0" xfId="107" applyFont="1" applyAlignment="1" applyProtection="1">
      <alignment horizontal="center"/>
      <protection/>
    </xf>
    <xf numFmtId="3" fontId="3" fillId="0" borderId="0" xfId="109" applyFont="1" applyAlignment="1">
      <alignment horizontal="center"/>
      <protection/>
    </xf>
    <xf numFmtId="168" fontId="34" fillId="0" borderId="0" xfId="109" applyNumberFormat="1" applyFont="1" applyAlignment="1" applyProtection="1">
      <alignment horizontal="center"/>
      <protection/>
    </xf>
    <xf numFmtId="3" fontId="34" fillId="0" borderId="0" xfId="109" applyFont="1" applyAlignment="1">
      <alignment horizontal="center"/>
      <protection/>
    </xf>
    <xf numFmtId="3" fontId="34" fillId="0" borderId="10" xfId="109" applyFont="1" applyBorder="1" applyAlignment="1" applyProtection="1">
      <alignment horizontal="center"/>
      <protection/>
    </xf>
    <xf numFmtId="3" fontId="34" fillId="0" borderId="10" xfId="109" applyFont="1" applyBorder="1" applyAlignment="1" applyProtection="1" quotePrefix="1">
      <alignment horizontal="center"/>
      <protection/>
    </xf>
    <xf numFmtId="17" fontId="12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right"/>
    </xf>
    <xf numFmtId="175" fontId="12" fillId="0" borderId="0" xfId="106" applyNumberFormat="1" applyFont="1" applyFill="1" applyProtection="1">
      <alignment/>
      <protection/>
    </xf>
    <xf numFmtId="175" fontId="12" fillId="0" borderId="0" xfId="106" applyNumberFormat="1" applyFont="1" applyFill="1" applyBorder="1" applyProtection="1">
      <alignment/>
      <protection/>
    </xf>
    <xf numFmtId="37" fontId="34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39" fontId="12" fillId="0" borderId="0" xfId="0" applyNumberFormat="1" applyFont="1" applyFill="1" applyAlignment="1">
      <alignment horizontal="right"/>
    </xf>
    <xf numFmtId="175" fontId="34" fillId="0" borderId="0" xfId="106" applyNumberFormat="1" applyFont="1" applyFill="1" applyBorder="1" applyProtection="1">
      <alignment/>
      <protection/>
    </xf>
    <xf numFmtId="37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75" fontId="34" fillId="0" borderId="0" xfId="106" applyNumberFormat="1" applyFont="1" applyFill="1" applyProtection="1">
      <alignment/>
      <protection/>
    </xf>
    <xf numFmtId="17" fontId="12" fillId="0" borderId="0" xfId="108" applyNumberFormat="1" applyFont="1" applyAlignment="1" applyProtection="1">
      <alignment horizontal="left"/>
      <protection/>
    </xf>
    <xf numFmtId="37" fontId="34" fillId="0" borderId="0" xfId="108" applyNumberFormat="1" applyFont="1" applyAlignment="1" applyProtection="1">
      <alignment horizontal="left"/>
      <protection/>
    </xf>
    <xf numFmtId="10" fontId="34" fillId="0" borderId="0" xfId="116" applyNumberFormat="1" applyFont="1" applyFill="1" applyAlignment="1">
      <alignment/>
    </xf>
    <xf numFmtId="175" fontId="34" fillId="0" borderId="12" xfId="106" applyNumberFormat="1" applyFont="1" applyFill="1" applyBorder="1" applyProtection="1">
      <alignment/>
      <protection/>
    </xf>
    <xf numFmtId="192" fontId="42" fillId="0" borderId="12" xfId="106" applyNumberFormat="1" applyFont="1" applyBorder="1" applyProtection="1">
      <alignment/>
      <protection/>
    </xf>
    <xf numFmtId="171" fontId="12" fillId="0" borderId="0" xfId="0" applyNumberFormat="1" applyFont="1" applyFill="1" applyAlignment="1">
      <alignment/>
    </xf>
    <xf numFmtId="3" fontId="12" fillId="0" borderId="0" xfId="109" applyFont="1">
      <alignment/>
      <protection/>
    </xf>
    <xf numFmtId="10" fontId="12" fillId="0" borderId="0" xfId="116" applyNumberFormat="1" applyFont="1" applyFill="1" applyAlignment="1">
      <alignment/>
    </xf>
    <xf numFmtId="37" fontId="34" fillId="0" borderId="0" xfId="105" applyNumberFormat="1" applyFont="1" applyFill="1" applyBorder="1">
      <alignment/>
      <protection/>
    </xf>
    <xf numFmtId="10" fontId="34" fillId="0" borderId="12" xfId="0" applyNumberFormat="1" applyFont="1" applyFill="1" applyBorder="1" applyAlignment="1">
      <alignment/>
    </xf>
    <xf numFmtId="171" fontId="12" fillId="0" borderId="0" xfId="0" applyNumberFormat="1" applyFont="1" applyFill="1" applyAlignment="1">
      <alignment horizontal="center"/>
    </xf>
    <xf numFmtId="10" fontId="34" fillId="0" borderId="0" xfId="108" applyNumberFormat="1" applyFont="1" applyFill="1" applyBorder="1" applyProtection="1">
      <alignment/>
      <protection/>
    </xf>
    <xf numFmtId="187" fontId="44" fillId="0" borderId="0" xfId="106" applyNumberFormat="1" applyFont="1" applyFill="1" applyBorder="1" applyProtection="1">
      <alignment/>
      <protection/>
    </xf>
    <xf numFmtId="192" fontId="42" fillId="0" borderId="0" xfId="106" applyNumberFormat="1" applyFont="1" applyBorder="1" applyProtection="1">
      <alignment/>
      <protection/>
    </xf>
    <xf numFmtId="3" fontId="34" fillId="0" borderId="0" xfId="109" applyFont="1" quotePrefix="1">
      <alignment/>
      <protection/>
    </xf>
    <xf numFmtId="37" fontId="34" fillId="0" borderId="0" xfId="108" applyNumberFormat="1" applyFont="1">
      <alignment/>
      <protection/>
    </xf>
    <xf numFmtId="37" fontId="12" fillId="0" borderId="0" xfId="108" applyNumberFormat="1" applyFont="1">
      <alignment/>
      <protection/>
    </xf>
    <xf numFmtId="171" fontId="12" fillId="0" borderId="0" xfId="0" applyNumberFormat="1" applyFont="1" applyAlignment="1">
      <alignment/>
    </xf>
    <xf numFmtId="179" fontId="43" fillId="0" borderId="0" xfId="106" applyNumberFormat="1" applyFont="1" applyFill="1" applyProtection="1">
      <alignment/>
      <protection/>
    </xf>
    <xf numFmtId="37" fontId="12" fillId="0" borderId="0" xfId="105" applyFont="1" applyFill="1">
      <alignment/>
      <protection/>
    </xf>
    <xf numFmtId="37" fontId="10" fillId="0" borderId="0" xfId="105" applyFont="1" applyFill="1">
      <alignment/>
      <protection/>
    </xf>
    <xf numFmtId="37" fontId="7" fillId="0" borderId="0" xfId="105" applyFont="1" applyFill="1">
      <alignment/>
      <protection/>
    </xf>
    <xf numFmtId="37" fontId="12" fillId="0" borderId="0" xfId="107" applyFont="1" applyFill="1" applyAlignment="1" applyProtection="1">
      <alignment horizontal="center"/>
      <protection/>
    </xf>
    <xf numFmtId="37" fontId="34" fillId="0" borderId="0" xfId="107" applyFont="1" applyFill="1" applyAlignment="1" applyProtection="1">
      <alignment horizontal="center"/>
      <protection/>
    </xf>
    <xf numFmtId="17" fontId="41" fillId="0" borderId="0" xfId="105" applyNumberFormat="1" applyFont="1" applyFill="1" applyBorder="1" applyAlignment="1">
      <alignment horizontal="center"/>
      <protection/>
    </xf>
    <xf numFmtId="37" fontId="41" fillId="0" borderId="0" xfId="105" applyFont="1" applyFill="1" applyBorder="1" applyAlignment="1">
      <alignment horizontal="center" wrapText="1"/>
      <protection/>
    </xf>
    <xf numFmtId="37" fontId="34" fillId="0" borderId="0" xfId="105" applyFont="1" applyFill="1" applyBorder="1">
      <alignment/>
      <protection/>
    </xf>
    <xf numFmtId="5" fontId="12" fillId="0" borderId="0" xfId="106" applyNumberFormat="1" applyFont="1" applyFill="1" applyBorder="1" applyProtection="1">
      <alignment/>
      <protection/>
    </xf>
    <xf numFmtId="5" fontId="43" fillId="0" borderId="0" xfId="106" applyNumberFormat="1" applyFont="1" applyFill="1" applyBorder="1" applyProtection="1">
      <alignment/>
      <protection/>
    </xf>
    <xf numFmtId="5" fontId="42" fillId="0" borderId="0" xfId="106" applyNumberFormat="1" applyFont="1" applyFill="1" applyBorder="1" applyProtection="1">
      <alignment/>
      <protection/>
    </xf>
    <xf numFmtId="37" fontId="12" fillId="0" borderId="0" xfId="105" applyFont="1" applyFill="1" applyBorder="1">
      <alignment/>
      <protection/>
    </xf>
    <xf numFmtId="170" fontId="12" fillId="0" borderId="0" xfId="71" applyNumberFormat="1" applyFont="1" applyFill="1" applyBorder="1" applyAlignment="1" applyProtection="1">
      <alignment/>
      <protection/>
    </xf>
    <xf numFmtId="37" fontId="43" fillId="0" borderId="0" xfId="106" applyNumberFormat="1" applyFont="1" applyFill="1" applyBorder="1" applyProtection="1">
      <alignment/>
      <protection/>
    </xf>
    <xf numFmtId="37" fontId="12" fillId="0" borderId="0" xfId="105" applyFont="1" applyFill="1" applyBorder="1" applyAlignment="1">
      <alignment horizontal="left" indent="1"/>
      <protection/>
    </xf>
    <xf numFmtId="5" fontId="43" fillId="0" borderId="13" xfId="106" applyNumberFormat="1" applyFont="1" applyFill="1" applyBorder="1" applyProtection="1">
      <alignment/>
      <protection/>
    </xf>
    <xf numFmtId="5" fontId="42" fillId="0" borderId="13" xfId="106" applyNumberFormat="1" applyFont="1" applyFill="1" applyBorder="1" applyProtection="1">
      <alignment/>
      <protection/>
    </xf>
    <xf numFmtId="37" fontId="10" fillId="0" borderId="0" xfId="105" applyFont="1" applyFill="1" applyBorder="1">
      <alignment/>
      <protection/>
    </xf>
    <xf numFmtId="37" fontId="34" fillId="0" borderId="0" xfId="105" applyFont="1" applyFill="1" applyBorder="1" applyAlignment="1">
      <alignment horizontal="centerContinuous" vertical="center" wrapText="1"/>
      <protection/>
    </xf>
    <xf numFmtId="37" fontId="11" fillId="0" borderId="0" xfId="105" applyFont="1" applyFill="1" applyBorder="1" applyAlignment="1">
      <alignment horizontal="centerContinuous" vertical="center" wrapText="1"/>
      <protection/>
    </xf>
    <xf numFmtId="165" fontId="43" fillId="0" borderId="0" xfId="117" applyNumberFormat="1" applyFont="1" applyFill="1" applyBorder="1" applyAlignment="1" applyProtection="1">
      <alignment/>
      <protection/>
    </xf>
    <xf numFmtId="10" fontId="51" fillId="0" borderId="0" xfId="105" applyNumberFormat="1" applyFont="1" applyFill="1">
      <alignment/>
      <protection/>
    </xf>
    <xf numFmtId="168" fontId="12" fillId="0" borderId="0" xfId="105" applyNumberFormat="1" applyFont="1" applyFill="1">
      <alignment/>
      <protection/>
    </xf>
    <xf numFmtId="37" fontId="12" fillId="0" borderId="0" xfId="105" applyFont="1" applyFill="1" applyBorder="1" applyAlignment="1">
      <alignment horizontal="left"/>
      <protection/>
    </xf>
    <xf numFmtId="10" fontId="43" fillId="0" borderId="11" xfId="106" applyNumberFormat="1" applyFont="1" applyFill="1" applyBorder="1" applyProtection="1">
      <alignment/>
      <protection/>
    </xf>
    <xf numFmtId="37" fontId="45" fillId="0" borderId="0" xfId="105" applyFont="1" applyFill="1" applyBorder="1" applyAlignment="1">
      <alignment horizontal="center"/>
      <protection/>
    </xf>
    <xf numFmtId="37" fontId="46" fillId="0" borderId="0" xfId="105" applyFont="1" applyFill="1" applyBorder="1" applyAlignment="1">
      <alignment horizontal="center" wrapText="1"/>
      <protection/>
    </xf>
    <xf numFmtId="37" fontId="34" fillId="0" borderId="0" xfId="105" applyFont="1" applyFill="1" applyBorder="1" applyAlignment="1">
      <alignment horizontal="left" indent="1"/>
      <protection/>
    </xf>
    <xf numFmtId="37" fontId="12" fillId="0" borderId="12" xfId="105" applyFont="1" applyFill="1" applyBorder="1">
      <alignment/>
      <protection/>
    </xf>
    <xf numFmtId="5" fontId="42" fillId="0" borderId="12" xfId="106" applyNumberFormat="1" applyFont="1" applyFill="1" applyBorder="1" applyProtection="1">
      <alignment/>
      <protection/>
    </xf>
    <xf numFmtId="10" fontId="12" fillId="0" borderId="0" xfId="105" applyNumberFormat="1" applyFont="1" applyFill="1">
      <alignment/>
      <protection/>
    </xf>
    <xf numFmtId="5" fontId="51" fillId="0" borderId="0" xfId="106" applyNumberFormat="1" applyFont="1" applyFill="1" applyBorder="1" applyProtection="1">
      <alignment/>
      <protection/>
    </xf>
    <xf numFmtId="37" fontId="12" fillId="0" borderId="0" xfId="105" applyFont="1" applyFill="1" applyBorder="1" applyAlignment="1">
      <alignment horizontal="left" indent="2"/>
      <protection/>
    </xf>
    <xf numFmtId="5" fontId="43" fillId="0" borderId="11" xfId="106" applyNumberFormat="1" applyFont="1" applyFill="1" applyBorder="1" applyProtection="1">
      <alignment/>
      <protection/>
    </xf>
    <xf numFmtId="37" fontId="41" fillId="0" borderId="0" xfId="105" applyFont="1" applyFill="1" applyBorder="1" applyAlignment="1">
      <alignment horizontal="center"/>
      <protection/>
    </xf>
    <xf numFmtId="168" fontId="12" fillId="0" borderId="0" xfId="117" applyNumberFormat="1" applyFont="1" applyFill="1" applyAlignment="1">
      <alignment/>
    </xf>
    <xf numFmtId="5" fontId="43" fillId="0" borderId="12" xfId="106" applyNumberFormat="1" applyFont="1" applyFill="1" applyBorder="1" applyProtection="1">
      <alignment/>
      <protection/>
    </xf>
    <xf numFmtId="10" fontId="12" fillId="0" borderId="0" xfId="117" applyNumberFormat="1" applyFont="1" applyFill="1" applyAlignment="1">
      <alignment/>
    </xf>
    <xf numFmtId="195" fontId="12" fillId="0" borderId="0" xfId="105" applyNumberFormat="1" applyFont="1" applyFill="1" applyBorder="1" applyAlignment="1">
      <alignment horizontal="left"/>
      <protection/>
    </xf>
    <xf numFmtId="10" fontId="12" fillId="0" borderId="0" xfId="105" applyNumberFormat="1" applyFont="1" applyFill="1" applyBorder="1">
      <alignment/>
      <protection/>
    </xf>
    <xf numFmtId="168" fontId="47" fillId="0" borderId="0" xfId="117" applyNumberFormat="1" applyFont="1" applyFill="1" applyAlignment="1">
      <alignment horizontal="center"/>
    </xf>
    <xf numFmtId="10" fontId="47" fillId="0" borderId="0" xfId="117" applyNumberFormat="1" applyFont="1" applyFill="1" applyAlignment="1">
      <alignment horizontal="center"/>
    </xf>
    <xf numFmtId="199" fontId="43" fillId="0" borderId="0" xfId="106" applyNumberFormat="1" applyFont="1" applyFill="1" applyBorder="1" applyProtection="1">
      <alignment/>
      <protection/>
    </xf>
    <xf numFmtId="37" fontId="10" fillId="0" borderId="0" xfId="105" applyFont="1" applyFill="1" applyAlignment="1">
      <alignment horizontal="right"/>
      <protection/>
    </xf>
    <xf numFmtId="10" fontId="42" fillId="0" borderId="0" xfId="117" applyNumberFormat="1" applyFont="1" applyFill="1" applyBorder="1" applyAlignment="1" applyProtection="1">
      <alignment/>
      <protection/>
    </xf>
    <xf numFmtId="5" fontId="12" fillId="0" borderId="0" xfId="105" applyNumberFormat="1" applyFont="1" applyFill="1" applyBorder="1">
      <alignment/>
      <protection/>
    </xf>
    <xf numFmtId="37" fontId="48" fillId="0" borderId="0" xfId="105" applyFont="1" applyFill="1">
      <alignment/>
      <protection/>
    </xf>
    <xf numFmtId="171" fontId="10" fillId="0" borderId="0" xfId="105" applyNumberFormat="1" applyFont="1" applyFill="1">
      <alignment/>
      <protection/>
    </xf>
    <xf numFmtId="0" fontId="10" fillId="0" borderId="0" xfId="111" applyFont="1">
      <alignment/>
      <protection/>
    </xf>
    <xf numFmtId="172" fontId="11" fillId="0" borderId="0" xfId="111" applyNumberFormat="1" applyFont="1" applyFill="1" applyAlignment="1">
      <alignment horizontal="left"/>
      <protection/>
    </xf>
    <xf numFmtId="0" fontId="49" fillId="0" borderId="0" xfId="111" applyFont="1" applyFill="1" applyAlignment="1" applyProtection="1" quotePrefix="1">
      <alignment horizontal="center"/>
      <protection/>
    </xf>
    <xf numFmtId="1" fontId="10" fillId="0" borderId="0" xfId="111" applyNumberFormat="1" applyFont="1" applyFill="1" applyAlignment="1" applyProtection="1">
      <alignment horizontal="center"/>
      <protection/>
    </xf>
    <xf numFmtId="37" fontId="34" fillId="0" borderId="0" xfId="107" applyFont="1" applyAlignment="1" applyProtection="1" quotePrefix="1">
      <alignment horizontal="center"/>
      <protection/>
    </xf>
    <xf numFmtId="0" fontId="11" fillId="0" borderId="0" xfId="111" applyFont="1" applyFill="1" applyAlignment="1" applyProtection="1">
      <alignment horizontal="center"/>
      <protection/>
    </xf>
    <xf numFmtId="0" fontId="34" fillId="0" borderId="0" xfId="111" applyFont="1" applyFill="1" applyAlignment="1" applyProtection="1">
      <alignment horizontal="center"/>
      <protection/>
    </xf>
    <xf numFmtId="0" fontId="34" fillId="0" borderId="0" xfId="111" applyFont="1" applyFill="1" applyAlignment="1">
      <alignment horizontal="center"/>
      <protection/>
    </xf>
    <xf numFmtId="0" fontId="34" fillId="0" borderId="0" xfId="111" applyFont="1" applyFill="1" applyBorder="1" applyAlignment="1" applyProtection="1">
      <alignment horizontal="center" wrapText="1"/>
      <protection/>
    </xf>
    <xf numFmtId="0" fontId="34" fillId="0" borderId="10" xfId="111" applyFont="1" applyFill="1" applyBorder="1" applyAlignment="1" applyProtection="1">
      <alignment horizontal="left"/>
      <protection/>
    </xf>
    <xf numFmtId="0" fontId="34" fillId="0" borderId="10" xfId="111" applyFont="1" applyFill="1" applyBorder="1" applyAlignment="1" applyProtection="1">
      <alignment horizontal="center" wrapText="1"/>
      <protection/>
    </xf>
    <xf numFmtId="0" fontId="34" fillId="0" borderId="10" xfId="111" applyFont="1" applyFill="1" applyBorder="1" applyAlignment="1" applyProtection="1">
      <alignment horizontal="center"/>
      <protection/>
    </xf>
    <xf numFmtId="7" fontId="10" fillId="0" borderId="0" xfId="111" applyNumberFormat="1" applyFont="1" applyFill="1">
      <alignment/>
      <protection/>
    </xf>
    <xf numFmtId="5" fontId="10" fillId="0" borderId="0" xfId="111" applyNumberFormat="1" applyFont="1" applyFill="1">
      <alignment/>
      <protection/>
    </xf>
    <xf numFmtId="0" fontId="10" fillId="0" borderId="0" xfId="111" applyNumberFormat="1" applyFont="1" applyFill="1" applyAlignment="1">
      <alignment horizontal="center"/>
      <protection/>
    </xf>
    <xf numFmtId="0" fontId="11" fillId="0" borderId="0" xfId="111" applyFont="1" applyFill="1" applyBorder="1" applyAlignment="1" applyProtection="1" quotePrefix="1">
      <alignment horizontal="left"/>
      <protection/>
    </xf>
    <xf numFmtId="5" fontId="11" fillId="0" borderId="12" xfId="111" applyNumberFormat="1" applyFont="1" applyFill="1" applyBorder="1" applyAlignment="1" applyProtection="1">
      <alignment horizontal="right"/>
      <protection/>
    </xf>
    <xf numFmtId="5" fontId="11" fillId="0" borderId="0" xfId="110" applyNumberFormat="1" applyFont="1" applyBorder="1" applyAlignment="1" applyProtection="1">
      <alignment/>
      <protection/>
    </xf>
    <xf numFmtId="5" fontId="10" fillId="0" borderId="0" xfId="111" applyNumberFormat="1" applyFont="1" applyProtection="1">
      <alignment/>
      <protection/>
    </xf>
    <xf numFmtId="10" fontId="10" fillId="0" borderId="0" xfId="116" applyNumberFormat="1" applyFont="1" applyFill="1" applyAlignment="1">
      <alignment/>
    </xf>
    <xf numFmtId="0" fontId="11" fillId="0" borderId="0" xfId="111" applyFont="1" applyFill="1" applyAlignment="1" applyProtection="1">
      <alignment horizontal="left"/>
      <protection/>
    </xf>
    <xf numFmtId="0" fontId="11" fillId="0" borderId="0" xfId="111" applyFont="1" applyAlignment="1" applyProtection="1">
      <alignment horizontal="left"/>
      <protection/>
    </xf>
    <xf numFmtId="170" fontId="6" fillId="0" borderId="0" xfId="69" applyNumberFormat="1" applyFont="1" applyAlignment="1">
      <alignment/>
    </xf>
    <xf numFmtId="170" fontId="6" fillId="0" borderId="0" xfId="69" applyNumberFormat="1" applyFont="1" applyFill="1" applyAlignment="1">
      <alignment/>
    </xf>
    <xf numFmtId="170" fontId="3" fillId="0" borderId="0" xfId="69" applyNumberFormat="1" applyFont="1" applyAlignment="1">
      <alignment/>
    </xf>
    <xf numFmtId="37" fontId="35" fillId="0" borderId="0" xfId="108" applyFont="1" applyAlignment="1">
      <alignment horizontal="center"/>
      <protection/>
    </xf>
    <xf numFmtId="175" fontId="50" fillId="0" borderId="0" xfId="106" applyNumberFormat="1" applyFont="1" applyFill="1" applyProtection="1">
      <alignment/>
      <protection/>
    </xf>
    <xf numFmtId="10" fontId="3" fillId="0" borderId="0" xfId="110" applyFont="1" applyFill="1">
      <alignment/>
      <protection/>
    </xf>
    <xf numFmtId="10" fontId="5" fillId="0" borderId="0" xfId="110" applyFont="1" applyFill="1" applyAlignment="1">
      <alignment horizontal="center"/>
      <protection/>
    </xf>
    <xf numFmtId="10" fontId="38" fillId="0" borderId="0" xfId="110" applyFont="1" applyFill="1" applyAlignment="1" applyProtection="1">
      <alignment horizontal="right"/>
      <protection/>
    </xf>
    <xf numFmtId="10" fontId="5" fillId="0" borderId="0" xfId="110" applyFont="1" applyFill="1" applyAlignment="1" applyProtection="1">
      <alignment horizontal="center"/>
      <protection/>
    </xf>
    <xf numFmtId="10" fontId="35" fillId="0" borderId="0" xfId="110" applyFont="1" applyFill="1" applyAlignment="1" applyProtection="1">
      <alignment horizontal="left"/>
      <protection/>
    </xf>
    <xf numFmtId="10" fontId="35" fillId="0" borderId="0" xfId="110" applyFont="1" applyFill="1" applyAlignment="1" applyProtection="1">
      <alignment horizontal="right"/>
      <protection/>
    </xf>
    <xf numFmtId="10" fontId="35" fillId="0" borderId="0" xfId="110" applyFont="1" applyFill="1" applyAlignment="1" applyProtection="1">
      <alignment horizontal="center"/>
      <protection/>
    </xf>
    <xf numFmtId="10" fontId="3" fillId="0" borderId="0" xfId="110" applyFont="1" applyFill="1" applyAlignment="1" applyProtection="1">
      <alignment horizontal="left"/>
      <protection/>
    </xf>
    <xf numFmtId="10" fontId="3" fillId="0" borderId="0" xfId="110" applyNumberFormat="1" applyFont="1" applyFill="1" applyAlignment="1" applyProtection="1">
      <alignment horizontal="left"/>
      <protection/>
    </xf>
    <xf numFmtId="10" fontId="3" fillId="0" borderId="0" xfId="110" applyNumberFormat="1" applyFont="1" applyFill="1" applyBorder="1" applyAlignment="1" applyProtection="1">
      <alignment horizontal="left"/>
      <protection/>
    </xf>
    <xf numFmtId="10" fontId="3" fillId="0" borderId="0" xfId="110" applyFont="1" applyFill="1" applyAlignment="1" applyProtection="1">
      <alignment horizontal="left" indent="2"/>
      <protection/>
    </xf>
    <xf numFmtId="5" fontId="3" fillId="0" borderId="0" xfId="71" applyNumberFormat="1" applyFont="1" applyFill="1" applyAlignment="1" applyProtection="1">
      <alignment/>
      <protection/>
    </xf>
    <xf numFmtId="165" fontId="3" fillId="0" borderId="0" xfId="110" applyNumberFormat="1" applyFont="1" applyFill="1" applyAlignment="1" applyProtection="1">
      <alignment horizontal="right"/>
      <protection/>
    </xf>
    <xf numFmtId="10" fontId="3" fillId="0" borderId="0" xfId="110" applyFont="1" applyFill="1" applyAlignment="1" applyProtection="1">
      <alignment horizontal="right"/>
      <protection/>
    </xf>
    <xf numFmtId="10" fontId="3" fillId="0" borderId="0" xfId="110" applyNumberFormat="1" applyFont="1" applyFill="1" applyBorder="1" applyAlignment="1" applyProtection="1">
      <alignment horizontal="right"/>
      <protection/>
    </xf>
    <xf numFmtId="10" fontId="3" fillId="0" borderId="0" xfId="110" applyFont="1" applyFill="1" applyAlignment="1">
      <alignment horizontal="left" indent="2"/>
      <protection/>
    </xf>
    <xf numFmtId="5" fontId="3" fillId="0" borderId="0" xfId="110" applyNumberFormat="1" applyFont="1" applyFill="1" applyBorder="1" applyAlignment="1" applyProtection="1">
      <alignment horizontal="right"/>
      <protection/>
    </xf>
    <xf numFmtId="165" fontId="3" fillId="0" borderId="0" xfId="110" applyNumberFormat="1" applyFont="1" applyFill="1" applyBorder="1" applyAlignment="1">
      <alignment horizontal="right"/>
      <protection/>
    </xf>
    <xf numFmtId="10" fontId="3" fillId="0" borderId="0" xfId="110" applyFont="1" applyFill="1" applyBorder="1" applyAlignment="1">
      <alignment horizontal="right"/>
      <protection/>
    </xf>
    <xf numFmtId="10" fontId="3" fillId="0" borderId="0" xfId="110" applyNumberFormat="1" applyFont="1" applyFill="1" applyAlignment="1">
      <alignment horizontal="right"/>
      <protection/>
    </xf>
    <xf numFmtId="10" fontId="3" fillId="0" borderId="10" xfId="110" applyFont="1" applyFill="1" applyBorder="1" applyAlignment="1">
      <alignment horizontal="left" indent="2"/>
      <protection/>
    </xf>
    <xf numFmtId="5" fontId="3" fillId="0" borderId="10" xfId="110" applyNumberFormat="1" applyFont="1" applyFill="1" applyBorder="1" applyAlignment="1" applyProtection="1">
      <alignment horizontal="right"/>
      <protection/>
    </xf>
    <xf numFmtId="165" fontId="3" fillId="0" borderId="10" xfId="110" applyNumberFormat="1" applyFont="1" applyFill="1" applyBorder="1" applyAlignment="1">
      <alignment horizontal="right"/>
      <protection/>
    </xf>
    <xf numFmtId="10" fontId="3" fillId="0" borderId="10" xfId="110" applyFont="1" applyFill="1" applyBorder="1" applyAlignment="1">
      <alignment horizontal="right"/>
      <protection/>
    </xf>
    <xf numFmtId="10" fontId="3" fillId="0" borderId="10" xfId="110" applyNumberFormat="1" applyFont="1" applyFill="1" applyBorder="1" applyAlignment="1">
      <alignment horizontal="right"/>
      <protection/>
    </xf>
    <xf numFmtId="10" fontId="5" fillId="0" borderId="0" xfId="110" applyFont="1" applyFill="1" applyAlignment="1" applyProtection="1">
      <alignment horizontal="left" indent="1"/>
      <protection/>
    </xf>
    <xf numFmtId="10" fontId="5" fillId="0" borderId="0" xfId="110" applyNumberFormat="1" applyFont="1" applyFill="1" applyAlignment="1">
      <alignment horizontal="right"/>
      <protection/>
    </xf>
    <xf numFmtId="10" fontId="5" fillId="0" borderId="11" xfId="110" applyFont="1" applyFill="1" applyBorder="1" applyAlignment="1" applyProtection="1">
      <alignment horizontal="left" indent="1"/>
      <protection/>
    </xf>
    <xf numFmtId="5" fontId="3" fillId="0" borderId="11" xfId="110" applyNumberFormat="1" applyFont="1" applyFill="1" applyBorder="1" applyAlignment="1" applyProtection="1">
      <alignment horizontal="right"/>
      <protection/>
    </xf>
    <xf numFmtId="165" fontId="3" fillId="0" borderId="11" xfId="110" applyNumberFormat="1" applyFont="1" applyFill="1" applyBorder="1" applyAlignment="1" applyProtection="1">
      <alignment horizontal="right"/>
      <protection/>
    </xf>
    <xf numFmtId="10" fontId="3" fillId="0" borderId="11" xfId="110" applyFont="1" applyFill="1" applyBorder="1" applyAlignment="1" applyProtection="1">
      <alignment horizontal="right"/>
      <protection/>
    </xf>
    <xf numFmtId="10" fontId="5" fillId="0" borderId="11" xfId="110" applyNumberFormat="1" applyFont="1" applyFill="1" applyBorder="1" applyAlignment="1" applyProtection="1">
      <alignment horizontal="right"/>
      <protection/>
    </xf>
    <xf numFmtId="10" fontId="5" fillId="0" borderId="0" xfId="110" applyFont="1" applyFill="1" applyAlignment="1" applyProtection="1">
      <alignment horizontal="left"/>
      <protection/>
    </xf>
    <xf numFmtId="5" fontId="5" fillId="0" borderId="0" xfId="110" applyNumberFormat="1" applyFont="1" applyFill="1" applyBorder="1" applyAlignment="1" applyProtection="1">
      <alignment horizontal="right"/>
      <protection/>
    </xf>
    <xf numFmtId="165" fontId="5" fillId="0" borderId="0" xfId="110" applyNumberFormat="1" applyFont="1" applyFill="1" applyAlignment="1" applyProtection="1">
      <alignment horizontal="right"/>
      <protection/>
    </xf>
    <xf numFmtId="10" fontId="5" fillId="0" borderId="0" xfId="110" applyNumberFormat="1" applyFont="1" applyFill="1" applyBorder="1" applyAlignment="1" applyProtection="1">
      <alignment horizontal="right"/>
      <protection/>
    </xf>
    <xf numFmtId="5" fontId="35" fillId="0" borderId="0" xfId="110" applyNumberFormat="1" applyFont="1" applyFill="1" applyBorder="1" applyAlignment="1" applyProtection="1">
      <alignment horizontal="right"/>
      <protection/>
    </xf>
    <xf numFmtId="165" fontId="35" fillId="0" borderId="0" xfId="110" applyNumberFormat="1" applyFont="1" applyFill="1" applyAlignment="1" applyProtection="1">
      <alignment horizontal="right"/>
      <protection/>
    </xf>
    <xf numFmtId="10" fontId="35" fillId="0" borderId="0" xfId="110" applyNumberFormat="1" applyFont="1" applyFill="1" applyAlignment="1" applyProtection="1">
      <alignment horizontal="right"/>
      <protection/>
    </xf>
    <xf numFmtId="5" fontId="37" fillId="0" borderId="0" xfId="110" applyNumberFormat="1" applyFont="1" applyFill="1" applyBorder="1" applyAlignment="1" applyProtection="1">
      <alignment horizontal="right"/>
      <protection/>
    </xf>
    <xf numFmtId="165" fontId="37" fillId="0" borderId="0" xfId="110" applyNumberFormat="1" applyFont="1" applyFill="1" applyBorder="1" applyAlignment="1" applyProtection="1">
      <alignment horizontal="right"/>
      <protection/>
    </xf>
    <xf numFmtId="10" fontId="39" fillId="0" borderId="0" xfId="110" applyFont="1" applyFill="1" applyBorder="1" applyAlignment="1">
      <alignment horizontal="right"/>
      <protection/>
    </xf>
    <xf numFmtId="10" fontId="37" fillId="0" borderId="0" xfId="110" applyNumberFormat="1" applyFont="1" applyFill="1" applyBorder="1" applyAlignment="1" applyProtection="1">
      <alignment horizontal="right"/>
      <protection/>
    </xf>
    <xf numFmtId="10" fontId="3" fillId="0" borderId="0" xfId="110" applyNumberFormat="1" applyFont="1" applyFill="1" applyAlignment="1" applyProtection="1">
      <alignment/>
      <protection/>
    </xf>
    <xf numFmtId="10" fontId="3" fillId="0" borderId="10" xfId="110" applyNumberFormat="1" applyFont="1" applyFill="1" applyBorder="1" applyAlignment="1" applyProtection="1">
      <alignment/>
      <protection/>
    </xf>
    <xf numFmtId="192" fontId="43" fillId="0" borderId="0" xfId="106" applyNumberFormat="1" applyFont="1" applyFill="1" applyBorder="1" applyProtection="1">
      <alignment/>
      <protection/>
    </xf>
    <xf numFmtId="165" fontId="41" fillId="0" borderId="0" xfId="110" applyNumberFormat="1" applyFont="1" applyFill="1" applyAlignment="1" applyProtection="1">
      <alignment/>
      <protection/>
    </xf>
    <xf numFmtId="192" fontId="42" fillId="0" borderId="0" xfId="106" applyNumberFormat="1" applyFont="1" applyFill="1" applyBorder="1" applyProtection="1">
      <alignment/>
      <protection/>
    </xf>
    <xf numFmtId="168" fontId="51" fillId="0" borderId="0" xfId="117" applyNumberFormat="1" applyFont="1" applyFill="1" applyAlignment="1">
      <alignment horizontal="center"/>
    </xf>
    <xf numFmtId="10" fontId="51" fillId="0" borderId="0" xfId="117" applyNumberFormat="1" applyFont="1" applyFill="1" applyAlignment="1">
      <alignment/>
    </xf>
    <xf numFmtId="43" fontId="3" fillId="0" borderId="0" xfId="69" applyFont="1" applyAlignment="1">
      <alignment/>
    </xf>
    <xf numFmtId="43" fontId="3" fillId="0" borderId="0" xfId="110" applyNumberFormat="1" applyFont="1">
      <alignment/>
      <protection/>
    </xf>
    <xf numFmtId="3" fontId="12" fillId="0" borderId="0" xfId="109" applyFont="1" applyFill="1" applyAlignment="1">
      <alignment horizontal="center"/>
      <protection/>
    </xf>
    <xf numFmtId="37" fontId="12" fillId="0" borderId="0" xfId="108" applyFont="1" applyFill="1">
      <alignment/>
      <protection/>
    </xf>
    <xf numFmtId="37" fontId="12" fillId="0" borderId="0" xfId="108" applyNumberFormat="1" applyFont="1" applyFill="1">
      <alignment/>
      <protection/>
    </xf>
    <xf numFmtId="10" fontId="12" fillId="0" borderId="0" xfId="0" applyNumberFormat="1" applyFont="1" applyFill="1" applyAlignment="1">
      <alignment horizontal="right"/>
    </xf>
    <xf numFmtId="168" fontId="9" fillId="0" borderId="0" xfId="111" applyNumberFormat="1" applyFont="1" applyFill="1" applyAlignment="1">
      <alignment horizontal="left"/>
      <protection/>
    </xf>
    <xf numFmtId="15" fontId="9" fillId="0" borderId="0" xfId="111" applyNumberFormat="1" applyFont="1" applyFill="1" applyAlignment="1">
      <alignment horizontal="center"/>
      <protection/>
    </xf>
    <xf numFmtId="15" fontId="9" fillId="0" borderId="0" xfId="111" applyNumberFormat="1" applyFont="1" applyFill="1" applyAlignment="1">
      <alignment horizontal="right"/>
      <protection/>
    </xf>
    <xf numFmtId="168" fontId="9" fillId="0" borderId="0" xfId="111" applyNumberFormat="1" applyFont="1" applyFill="1" applyAlignment="1" applyProtection="1">
      <alignment horizontal="left"/>
      <protection/>
    </xf>
    <xf numFmtId="15" fontId="9" fillId="0" borderId="0" xfId="111" applyNumberFormat="1" applyFont="1" applyFill="1" applyAlignment="1" applyProtection="1">
      <alignment horizontal="center"/>
      <protection/>
    </xf>
    <xf numFmtId="5" fontId="9" fillId="0" borderId="0" xfId="111" applyNumberFormat="1" applyFont="1" applyFill="1">
      <alignment/>
      <protection/>
    </xf>
    <xf numFmtId="37" fontId="0" fillId="0" borderId="0" xfId="0" applyNumberFormat="1" applyFont="1" applyAlignment="1">
      <alignment/>
    </xf>
    <xf numFmtId="37" fontId="0" fillId="0" borderId="0" xfId="108" applyNumberFormat="1" applyFont="1" applyAlignment="1" applyProtection="1">
      <alignment/>
      <protection/>
    </xf>
    <xf numFmtId="168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17" fontId="0" fillId="0" borderId="0" xfId="108" applyNumberFormat="1" applyFont="1" applyProtection="1">
      <alignment/>
      <protection/>
    </xf>
    <xf numFmtId="17" fontId="0" fillId="0" borderId="0" xfId="108" applyNumberFormat="1" applyFont="1" applyAlignment="1" applyProtection="1">
      <alignment horizontal="center"/>
      <protection/>
    </xf>
    <xf numFmtId="39" fontId="0" fillId="0" borderId="0" xfId="0" applyNumberFormat="1" applyFont="1" applyFill="1" applyAlignment="1">
      <alignment horizontal="center"/>
    </xf>
    <xf numFmtId="175" fontId="0" fillId="0" borderId="0" xfId="106" applyNumberFormat="1" applyFont="1" applyFill="1" applyProtection="1">
      <alignment/>
      <protection/>
    </xf>
    <xf numFmtId="43" fontId="12" fillId="0" borderId="0" xfId="69" applyFont="1" applyAlignment="1">
      <alignment horizontal="center"/>
    </xf>
    <xf numFmtId="5" fontId="11" fillId="0" borderId="0" xfId="111" applyNumberFormat="1" applyFont="1" applyBorder="1" applyAlignment="1">
      <alignment horizontal="left"/>
      <protection/>
    </xf>
    <xf numFmtId="43" fontId="11" fillId="0" borderId="0" xfId="69" applyFont="1" applyBorder="1" applyAlignment="1">
      <alignment horizontal="left"/>
    </xf>
    <xf numFmtId="37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37" fontId="52" fillId="0" borderId="0" xfId="105" applyFont="1" applyFill="1">
      <alignment/>
      <protection/>
    </xf>
    <xf numFmtId="168" fontId="3" fillId="0" borderId="0" xfId="116" applyNumberFormat="1" applyFont="1" applyAlignment="1">
      <alignment/>
    </xf>
    <xf numFmtId="167" fontId="3" fillId="0" borderId="0" xfId="110" applyNumberFormat="1" applyFont="1">
      <alignment/>
      <protection/>
    </xf>
    <xf numFmtId="167" fontId="3" fillId="0" borderId="0" xfId="110" applyNumberFormat="1" applyFont="1" applyBorder="1">
      <alignment/>
      <protection/>
    </xf>
    <xf numFmtId="167" fontId="3" fillId="0" borderId="0" xfId="69" applyNumberFormat="1" applyFont="1" applyAlignment="1">
      <alignment/>
    </xf>
    <xf numFmtId="5" fontId="42" fillId="0" borderId="0" xfId="117" applyNumberFormat="1" applyFont="1" applyFill="1" applyBorder="1" applyAlignment="1" applyProtection="1">
      <alignment/>
      <protection/>
    </xf>
    <xf numFmtId="39" fontId="0" fillId="0" borderId="0" xfId="0" applyNumberFormat="1" applyFont="1" applyFill="1" applyAlignment="1">
      <alignment horizontal="center"/>
    </xf>
    <xf numFmtId="170" fontId="12" fillId="0" borderId="0" xfId="69" applyNumberFormat="1" applyFont="1" applyFill="1" applyBorder="1" applyAlignment="1">
      <alignment/>
    </xf>
    <xf numFmtId="170" fontId="12" fillId="0" borderId="0" xfId="105" applyNumberFormat="1" applyFont="1" applyFill="1" applyBorder="1">
      <alignment/>
      <protection/>
    </xf>
    <xf numFmtId="170" fontId="42" fillId="0" borderId="0" xfId="69" applyNumberFormat="1" applyFont="1" applyFill="1" applyBorder="1" applyAlignment="1" applyProtection="1">
      <alignment/>
      <protection/>
    </xf>
    <xf numFmtId="10" fontId="3" fillId="0" borderId="0" xfId="110" applyFont="1" applyFill="1" applyBorder="1" applyAlignment="1">
      <alignment horizontal="centerContinuous" vertical="center" wrapText="1"/>
      <protection/>
    </xf>
    <xf numFmtId="165" fontId="3" fillId="0" borderId="0" xfId="110" applyNumberFormat="1" applyFont="1" applyFill="1" applyAlignment="1" applyProtection="1">
      <alignment/>
      <protection/>
    </xf>
    <xf numFmtId="165" fontId="3" fillId="0" borderId="10" xfId="110" applyNumberFormat="1" applyFont="1" applyFill="1" applyBorder="1" applyAlignment="1" applyProtection="1">
      <alignment/>
      <protection/>
    </xf>
    <xf numFmtId="10" fontId="36" fillId="0" borderId="0" xfId="110" applyNumberFormat="1" applyFont="1" applyFill="1" applyBorder="1" applyAlignment="1" applyProtection="1">
      <alignment horizontal="right"/>
      <protection/>
    </xf>
    <xf numFmtId="165" fontId="42" fillId="0" borderId="0" xfId="116" applyNumberFormat="1" applyFont="1" applyFill="1" applyBorder="1" applyAlignment="1" applyProtection="1">
      <alignment horizontal="right"/>
      <protection/>
    </xf>
    <xf numFmtId="43" fontId="12" fillId="0" borderId="12" xfId="105" applyNumberFormat="1" applyFont="1" applyFill="1" applyBorder="1">
      <alignment/>
      <protection/>
    </xf>
    <xf numFmtId="43" fontId="42" fillId="0" borderId="12" xfId="106" applyNumberFormat="1" applyFont="1" applyFill="1" applyBorder="1" applyProtection="1">
      <alignment/>
      <protection/>
    </xf>
    <xf numFmtId="165" fontId="35" fillId="0" borderId="0" xfId="110" applyNumberFormat="1" applyFont="1" applyFill="1" applyAlignment="1" applyProtection="1">
      <alignment/>
      <protection/>
    </xf>
    <xf numFmtId="10" fontId="5" fillId="0" borderId="14" xfId="110" applyFont="1" applyFill="1" applyBorder="1" applyAlignment="1" applyProtection="1">
      <alignment horizontal="center" wrapText="1"/>
      <protection/>
    </xf>
    <xf numFmtId="10" fontId="5" fillId="0" borderId="11" xfId="110" applyFont="1" applyFill="1" applyBorder="1" applyAlignment="1" applyProtection="1">
      <alignment horizontal="center" wrapText="1"/>
      <protection/>
    </xf>
    <xf numFmtId="10" fontId="5" fillId="0" borderId="15" xfId="110" applyFont="1" applyFill="1" applyBorder="1" applyAlignment="1" applyProtection="1">
      <alignment horizontal="center" wrapText="1"/>
      <protection/>
    </xf>
    <xf numFmtId="10" fontId="33" fillId="0" borderId="0" xfId="110" applyFont="1" applyAlignment="1" applyProtection="1">
      <alignment horizontal="center"/>
      <protection/>
    </xf>
    <xf numFmtId="172" fontId="33" fillId="0" borderId="0" xfId="110" applyNumberFormat="1" applyFont="1" applyAlignment="1" applyProtection="1">
      <alignment horizontal="center"/>
      <protection/>
    </xf>
    <xf numFmtId="37" fontId="34" fillId="0" borderId="0" xfId="108" applyNumberFormat="1" applyFont="1" applyBorder="1" applyAlignment="1" applyProtection="1">
      <alignment horizontal="center" wrapText="1"/>
      <protection/>
    </xf>
    <xf numFmtId="37" fontId="34" fillId="0" borderId="10" xfId="108" applyNumberFormat="1" applyFont="1" applyBorder="1" applyAlignment="1" applyProtection="1">
      <alignment horizontal="center" wrapText="1"/>
      <protection/>
    </xf>
    <xf numFmtId="3" fontId="34" fillId="0" borderId="0" xfId="109" applyFont="1" applyAlignment="1">
      <alignment horizontal="left" wrapText="1"/>
      <protection/>
    </xf>
  </cellXfs>
  <cellStyles count="11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0" xfId="73"/>
    <cellStyle name="Currency" xfId="74"/>
    <cellStyle name="Currency [0]" xfId="75"/>
    <cellStyle name="Currency 2" xfId="76"/>
    <cellStyle name="Currency 3" xfId="77"/>
    <cellStyle name="Currency0" xfId="78"/>
    <cellStyle name="Date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Input" xfId="94"/>
    <cellStyle name="Input 2" xfId="95"/>
    <cellStyle name="Linked Cell" xfId="96"/>
    <cellStyle name="Linked Cell 2" xfId="97"/>
    <cellStyle name="Lisa" xfId="98"/>
    <cellStyle name="Neutral" xfId="99"/>
    <cellStyle name="Neutral 2" xfId="100"/>
    <cellStyle name="Normal 2" xfId="101"/>
    <cellStyle name="Normal 2 2" xfId="102"/>
    <cellStyle name="Normal 2 2 2" xfId="103"/>
    <cellStyle name="Normal 2 3" xfId="104"/>
    <cellStyle name="Normal 3" xfId="105"/>
    <cellStyle name="Normal_AMACAPST" xfId="106"/>
    <cellStyle name="Normal_COSTOF" xfId="107"/>
    <cellStyle name="Normal_COSTOFD" xfId="108"/>
    <cellStyle name="Normal_Psebonds" xfId="109"/>
    <cellStyle name="Normal_RATEOFRE" xfId="110"/>
    <cellStyle name="Normal_SCHEDULE" xfId="111"/>
    <cellStyle name="Note" xfId="112"/>
    <cellStyle name="Note 2" xfId="113"/>
    <cellStyle name="Output" xfId="114"/>
    <cellStyle name="Output 2" xfId="115"/>
    <cellStyle name="Percent" xfId="116"/>
    <cellStyle name="Percent 2" xfId="117"/>
    <cellStyle name="Percent 3" xfId="118"/>
    <cellStyle name="Title" xfId="119"/>
    <cellStyle name="Title 2" xfId="120"/>
    <cellStyle name="Total" xfId="121"/>
    <cellStyle name="Total 2" xfId="122"/>
    <cellStyle name="Warning Text" xfId="123"/>
    <cellStyle name="Warning Text 2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of%20Capital\Cost%20of%20Capital\COC%20Mar%2099\CocJun98\COC%20DEC%2097\AFUDC%20Dec%20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eith\COC%20DEC%2000%20Compan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412\Subsidiary%20Roll-up%20for%20Rate%20Peri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2\GRC\Testimony%20Exhibits\NEW-PSE-Exh-CGP-03-08-9-2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2\GRC\Testimony%20Exhibits\NEW-PSE-Exh-CGP-03-08-9-21%20Test%20Year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2\GRC\Support\Basket_2021-08-10_08h_51m%20Moody's%20LIBOR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2\Treasury%20Testimony\Support\Basket_2021-08-10_08h_51m%20Moody's%20LIBOR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xhibit%20-%20V4%2012.31.21%20w_page5\Exhibits%20-%20V2%20-%2011.29.21\NEW-PSE-Exh-CGP-03-08-9-21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Exhibit%20-%20V4%2012.31.21%20w_page5\Exhibits%20Using%20Prior%20year%20GRC%20methodology\NEW-PSE-Exh-CGP-03-08-9-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L CST DEBT! "/>
      <sheetName val="CST Reaquired LTD! "/>
      <sheetName val="MISC LTD!"/>
      <sheetName val="CST STD!"/>
      <sheetName val="CST PRFRD!"/>
      <sheetName val="CST Reaquired PRFD STK!"/>
      <sheetName val="Cost of Cap."/>
      <sheetName val="CAP STRC CALC!"/>
      <sheetName val="Capitalization Rate"/>
      <sheetName val="AFUDC Summary Sheet"/>
      <sheetName val="LTD AFUDC "/>
      <sheetName val="COMMON EQUITY AFUDC "/>
      <sheetName val="AFUDC LTD"/>
      <sheetName val="FERC FORM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idiary RE Rollfwrd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Pg 1 Summary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1">
        <row r="14">
          <cell r="D14">
            <v>0.0261</v>
          </cell>
          <cell r="E14">
            <v>0.0027</v>
          </cell>
        </row>
        <row r="16">
          <cell r="D16">
            <v>0.4842</v>
          </cell>
        </row>
        <row r="20">
          <cell r="F20">
            <v>0.0002</v>
          </cell>
        </row>
        <row r="22">
          <cell r="F22">
            <v>0.0001</v>
          </cell>
        </row>
        <row r="24">
          <cell r="F24">
            <v>0.0002</v>
          </cell>
        </row>
        <row r="28">
          <cell r="E28">
            <v>0.09425205479452056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Pg 1 Summary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1">
        <row r="14">
          <cell r="C14">
            <v>233962500</v>
          </cell>
        </row>
        <row r="16">
          <cell r="C16">
            <v>4338044407</v>
          </cell>
        </row>
        <row r="26">
          <cell r="D26">
            <v>0.5104</v>
          </cell>
        </row>
        <row r="28">
          <cell r="C28">
            <v>4386402333</v>
          </cell>
          <cell r="D28">
            <v>0.4896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27">
          <cell r="E427">
            <v>0.0036224022910239235</v>
          </cell>
          <cell r="F427">
            <v>0.0039707484894565175</v>
          </cell>
          <cell r="G427">
            <v>0.004662349117138693</v>
          </cell>
          <cell r="H427">
            <v>0.005578714797273279</v>
          </cell>
          <cell r="I427">
            <v>0.006471346369343659</v>
          </cell>
          <cell r="J427">
            <v>0.007178454359682898</v>
          </cell>
          <cell r="K427">
            <v>0.007755688162400357</v>
          </cell>
          <cell r="L427">
            <v>0.008343516439349661</v>
          </cell>
          <cell r="M427">
            <v>0.009017183060292155</v>
          </cell>
          <cell r="N427">
            <v>0.009771930848759028</v>
          </cell>
          <cell r="O427">
            <v>0.010558237785303695</v>
          </cell>
          <cell r="P427">
            <v>0.011335966482152036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21">
          <cell r="P421">
            <v>0.00353208217829947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Pg 1 Summary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1">
        <row r="16">
          <cell r="E16">
            <v>0.0528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Pg 1 Summary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5">
        <row r="15">
          <cell r="C15">
            <v>-10211.44</v>
          </cell>
          <cell r="D15">
            <v>-47576.01</v>
          </cell>
          <cell r="E15">
            <v>-1580.06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Layout" zoomScale="110" zoomScaleSheetLayoutView="100" zoomScalePageLayoutView="110" workbookViewId="0" topLeftCell="A1">
      <selection activeCell="B7" sqref="B7"/>
    </sheetView>
  </sheetViews>
  <sheetFormatPr defaultColWidth="11.5" defaultRowHeight="11.25"/>
  <cols>
    <col min="1" max="1" width="3.66015625" style="1" customWidth="1"/>
    <col min="2" max="2" width="52.16015625" style="1" bestFit="1" customWidth="1"/>
    <col min="3" max="3" width="18.16015625" style="1" customWidth="1"/>
    <col min="4" max="4" width="13.5" style="1" customWidth="1"/>
    <col min="5" max="5" width="13.16015625" style="1" customWidth="1"/>
    <col min="6" max="6" width="13.5" style="1" customWidth="1"/>
    <col min="7" max="7" width="11.5" style="1" customWidth="1"/>
    <col min="8" max="8" width="13.66015625" style="1" customWidth="1"/>
    <col min="9" max="9" width="11.16015625" style="1" customWidth="1"/>
    <col min="10" max="10" width="14.66015625" style="1" bestFit="1" customWidth="1"/>
    <col min="11" max="16384" width="11.5" style="1" customWidth="1"/>
  </cols>
  <sheetData>
    <row r="1" spans="2:6" ht="15.75">
      <c r="B1" s="45" t="s">
        <v>127</v>
      </c>
      <c r="C1" s="45"/>
      <c r="D1" s="45"/>
      <c r="E1" s="45"/>
      <c r="F1" s="45"/>
    </row>
    <row r="2" spans="1:6" ht="12.75">
      <c r="A2" s="46"/>
      <c r="B2" s="2"/>
      <c r="C2" s="2"/>
      <c r="D2" s="2"/>
      <c r="E2" s="2"/>
      <c r="F2" s="2"/>
    </row>
    <row r="3" spans="2:6" ht="15.75">
      <c r="B3" s="298" t="s">
        <v>2</v>
      </c>
      <c r="C3" s="298"/>
      <c r="D3" s="298"/>
      <c r="E3" s="298"/>
      <c r="F3" s="298"/>
    </row>
    <row r="4" spans="2:8" ht="15" customHeight="1">
      <c r="B4" s="299" t="s">
        <v>111</v>
      </c>
      <c r="C4" s="299"/>
      <c r="D4" s="299"/>
      <c r="E4" s="299"/>
      <c r="F4" s="299"/>
      <c r="H4" s="37"/>
    </row>
    <row r="5" spans="1:8" ht="12.75">
      <c r="A5" s="47" t="s">
        <v>151</v>
      </c>
      <c r="B5" s="287"/>
      <c r="C5" s="47"/>
      <c r="D5" s="47"/>
      <c r="E5" s="47"/>
      <c r="F5" s="47"/>
      <c r="H5" s="37"/>
    </row>
    <row r="6" spans="1:8" ht="12.75">
      <c r="A6" s="3"/>
      <c r="C6" s="4"/>
      <c r="H6" s="37"/>
    </row>
    <row r="7" spans="1:8" ht="12.75">
      <c r="A7" s="3"/>
      <c r="H7" s="37"/>
    </row>
    <row r="8" spans="1:8" ht="12.75">
      <c r="A8" s="48">
        <v>1</v>
      </c>
      <c r="B8" s="49" t="s">
        <v>1</v>
      </c>
      <c r="C8" s="49" t="s">
        <v>17</v>
      </c>
      <c r="D8" s="49" t="s">
        <v>24</v>
      </c>
      <c r="E8" s="49" t="s">
        <v>26</v>
      </c>
      <c r="F8" s="49" t="s">
        <v>27</v>
      </c>
      <c r="H8" s="37"/>
    </row>
    <row r="9" spans="1:8" ht="12.75">
      <c r="A9" s="48">
        <f>A8+1</f>
        <v>2</v>
      </c>
      <c r="B9" s="295" t="s">
        <v>113</v>
      </c>
      <c r="C9" s="296"/>
      <c r="D9" s="296"/>
      <c r="E9" s="296"/>
      <c r="F9" s="297"/>
      <c r="H9" s="37"/>
    </row>
    <row r="10" spans="1:8" ht="12.75">
      <c r="A10" s="48">
        <f>A9+1</f>
        <v>3</v>
      </c>
      <c r="B10" s="50"/>
      <c r="C10" s="50"/>
      <c r="D10" s="50"/>
      <c r="E10" s="50"/>
      <c r="F10" s="50"/>
      <c r="H10" s="37"/>
    </row>
    <row r="11" spans="1:6" ht="12.75">
      <c r="A11" s="48">
        <f>A10+1</f>
        <v>4</v>
      </c>
      <c r="B11" s="49"/>
      <c r="C11" s="49"/>
      <c r="D11" s="51"/>
      <c r="E11" s="52" t="s">
        <v>6</v>
      </c>
      <c r="F11" s="52" t="s">
        <v>3</v>
      </c>
    </row>
    <row r="12" spans="1:8" ht="12.75">
      <c r="A12" s="48">
        <f aca="true" t="shared" si="0" ref="A12:A40">A11+1</f>
        <v>5</v>
      </c>
      <c r="B12" s="53" t="s">
        <v>4</v>
      </c>
      <c r="C12" s="54"/>
      <c r="D12" s="54" t="s">
        <v>5</v>
      </c>
      <c r="E12" s="54" t="s">
        <v>105</v>
      </c>
      <c r="F12" s="54" t="s">
        <v>7</v>
      </c>
      <c r="H12" s="37"/>
    </row>
    <row r="13" spans="1:8" ht="12.75">
      <c r="A13" s="48">
        <f t="shared" si="0"/>
        <v>6</v>
      </c>
      <c r="B13" s="55"/>
      <c r="C13" s="49"/>
      <c r="D13" s="49"/>
      <c r="E13" s="49"/>
      <c r="F13" s="49"/>
      <c r="H13" s="37"/>
    </row>
    <row r="14" spans="1:8" ht="12.75">
      <c r="A14" s="48">
        <f t="shared" si="0"/>
        <v>7</v>
      </c>
      <c r="B14" s="56" t="s">
        <v>123</v>
      </c>
      <c r="C14" s="49"/>
      <c r="D14" s="288">
        <f>'3 - STD Int &amp; Fees-Details AMA'!P61</f>
        <v>0.01360723125348239</v>
      </c>
      <c r="E14" s="244">
        <f>'2 - Cost of Total Debt'!G35</f>
        <v>0.0143</v>
      </c>
      <c r="F14" s="57">
        <f>ROUND(D14*E14,4)</f>
        <v>0.0002</v>
      </c>
      <c r="H14" s="251"/>
    </row>
    <row r="15" spans="1:8" ht="12.75">
      <c r="A15" s="48">
        <f t="shared" si="0"/>
        <v>8</v>
      </c>
      <c r="B15" s="58" t="s">
        <v>25</v>
      </c>
      <c r="C15" s="49"/>
      <c r="D15" s="288"/>
      <c r="E15" s="57"/>
      <c r="F15" s="244">
        <f>'3 - STD Int &amp; Fees-Details AMA'!P48</f>
        <v>0.0001</v>
      </c>
      <c r="H15" s="37"/>
    </row>
    <row r="16" spans="1:8" ht="12.75">
      <c r="A16" s="48">
        <f t="shared" si="0"/>
        <v>9</v>
      </c>
      <c r="B16" s="59" t="s">
        <v>100</v>
      </c>
      <c r="C16" s="60"/>
      <c r="D16" s="289"/>
      <c r="E16" s="62"/>
      <c r="F16" s="245">
        <f>'3 - STD Int &amp; Fees-Details AMA'!P56</f>
        <v>0.0001</v>
      </c>
      <c r="H16" s="37"/>
    </row>
    <row r="17" spans="1:8" ht="12.75">
      <c r="A17" s="48">
        <f t="shared" si="0"/>
        <v>10</v>
      </c>
      <c r="B17" s="63" t="s">
        <v>122</v>
      </c>
      <c r="C17" s="49"/>
      <c r="D17" s="288"/>
      <c r="E17" s="57"/>
      <c r="F17" s="64">
        <f>SUM(F14:F16)</f>
        <v>0.0004</v>
      </c>
      <c r="H17" s="37"/>
    </row>
    <row r="18" spans="1:9" ht="12.75">
      <c r="A18" s="48">
        <f t="shared" si="0"/>
        <v>11</v>
      </c>
      <c r="B18" s="56" t="s">
        <v>124</v>
      </c>
      <c r="C18" s="65"/>
      <c r="D18" s="288">
        <f>'3 - STD Int &amp; Fees-Details AMA'!P62</f>
        <v>0.5013927687465176</v>
      </c>
      <c r="E18" s="244">
        <f>'2 - Cost of Total Debt'!G33</f>
        <v>0.05065012832047364</v>
      </c>
      <c r="F18" s="244">
        <f>ROUND(D18*E18,4)</f>
        <v>0.0254</v>
      </c>
      <c r="H18" s="278"/>
      <c r="I18" s="37"/>
    </row>
    <row r="19" spans="1:8" ht="12.75">
      <c r="A19" s="48">
        <f t="shared" si="0"/>
        <v>12</v>
      </c>
      <c r="B19" s="59" t="s">
        <v>101</v>
      </c>
      <c r="C19" s="60"/>
      <c r="D19" s="61"/>
      <c r="E19" s="62"/>
      <c r="F19" s="245">
        <f>'4 - Reacquired Debt'!K29</f>
        <v>0.0002</v>
      </c>
      <c r="H19" s="37"/>
    </row>
    <row r="20" spans="1:8" ht="12.75">
      <c r="A20" s="48">
        <f t="shared" si="0"/>
        <v>13</v>
      </c>
      <c r="B20" s="66" t="s">
        <v>125</v>
      </c>
      <c r="C20" s="67"/>
      <c r="D20" s="68"/>
      <c r="E20" s="69"/>
      <c r="F20" s="70">
        <f>F18+F19</f>
        <v>0.025599999999999998</v>
      </c>
      <c r="H20" s="37"/>
    </row>
    <row r="21" spans="1:8" ht="12.75">
      <c r="A21" s="48">
        <f t="shared" si="0"/>
        <v>14</v>
      </c>
      <c r="B21" s="71" t="s">
        <v>102</v>
      </c>
      <c r="C21" s="49"/>
      <c r="D21" s="72">
        <f>D14+D18</f>
        <v>0.515</v>
      </c>
      <c r="E21" s="57"/>
      <c r="F21" s="64">
        <f>F17+F20</f>
        <v>0.026</v>
      </c>
      <c r="H21" s="37"/>
    </row>
    <row r="22" spans="1:8" ht="12.75">
      <c r="A22" s="48">
        <f t="shared" si="0"/>
        <v>15</v>
      </c>
      <c r="B22" s="71" t="s">
        <v>103</v>
      </c>
      <c r="C22" s="49"/>
      <c r="D22" s="294">
        <v>0.485</v>
      </c>
      <c r="E22" s="290">
        <v>0.094</v>
      </c>
      <c r="F22" s="73">
        <f>ROUND(D22*E22,4)</f>
        <v>0.0456</v>
      </c>
      <c r="H22" s="37"/>
    </row>
    <row r="23" spans="1:8" ht="12.75">
      <c r="A23" s="48">
        <f t="shared" si="0"/>
        <v>16</v>
      </c>
      <c r="B23" s="71" t="s">
        <v>104</v>
      </c>
      <c r="C23" s="74"/>
      <c r="D23" s="75">
        <v>1</v>
      </c>
      <c r="E23" s="57"/>
      <c r="F23" s="76">
        <f>F21+F22</f>
        <v>0.0716</v>
      </c>
      <c r="H23" s="37"/>
    </row>
    <row r="24" spans="1:8" ht="12.75">
      <c r="A24" s="48">
        <f t="shared" si="0"/>
        <v>17</v>
      </c>
      <c r="B24" s="49"/>
      <c r="C24" s="49"/>
      <c r="D24" s="49"/>
      <c r="E24" s="49"/>
      <c r="F24" s="49"/>
      <c r="H24" s="37"/>
    </row>
    <row r="25" spans="1:8" ht="12.75">
      <c r="A25" s="48">
        <f t="shared" si="0"/>
        <v>18</v>
      </c>
      <c r="B25" s="49"/>
      <c r="C25" s="49"/>
      <c r="D25" s="49"/>
      <c r="E25" s="49"/>
      <c r="F25" s="49"/>
      <c r="H25" s="37"/>
    </row>
    <row r="26" spans="1:8" ht="12.75">
      <c r="A26" s="48">
        <f t="shared" si="0"/>
        <v>19</v>
      </c>
      <c r="B26" s="295" t="s">
        <v>114</v>
      </c>
      <c r="C26" s="296"/>
      <c r="D26" s="296"/>
      <c r="E26" s="296"/>
      <c r="F26" s="297"/>
      <c r="H26" s="37"/>
    </row>
    <row r="27" spans="1:7" ht="12.75">
      <c r="A27" s="48">
        <f t="shared" si="0"/>
        <v>20</v>
      </c>
      <c r="B27" s="201"/>
      <c r="C27" s="201"/>
      <c r="D27" s="201"/>
      <c r="E27" s="201"/>
      <c r="F27" s="201"/>
      <c r="G27" s="77"/>
    </row>
    <row r="28" spans="1:7" ht="12.75">
      <c r="A28" s="48">
        <f t="shared" si="0"/>
        <v>21</v>
      </c>
      <c r="B28" s="202"/>
      <c r="C28" s="203" t="s">
        <v>112</v>
      </c>
      <c r="D28" s="202"/>
      <c r="E28" s="204" t="s">
        <v>6</v>
      </c>
      <c r="F28" s="204" t="s">
        <v>3</v>
      </c>
      <c r="G28" s="77"/>
    </row>
    <row r="29" spans="1:8" ht="12.75">
      <c r="A29" s="48">
        <f t="shared" si="0"/>
        <v>22</v>
      </c>
      <c r="B29" s="205" t="s">
        <v>4</v>
      </c>
      <c r="C29" s="206" t="s">
        <v>115</v>
      </c>
      <c r="D29" s="207" t="s">
        <v>5</v>
      </c>
      <c r="E29" s="207" t="s">
        <v>105</v>
      </c>
      <c r="F29" s="207" t="s">
        <v>7</v>
      </c>
      <c r="G29" s="77"/>
      <c r="H29" s="279"/>
    </row>
    <row r="30" spans="1:8" ht="12.75">
      <c r="A30" s="48">
        <f t="shared" si="0"/>
        <v>23</v>
      </c>
      <c r="B30" s="208"/>
      <c r="C30" s="208"/>
      <c r="D30" s="209"/>
      <c r="E30" s="208"/>
      <c r="F30" s="210"/>
      <c r="G30" s="77"/>
      <c r="H30" s="279"/>
    </row>
    <row r="31" spans="1:8" ht="12.75">
      <c r="A31" s="48">
        <f t="shared" si="0"/>
        <v>24</v>
      </c>
      <c r="B31" s="211" t="s">
        <v>123</v>
      </c>
      <c r="C31" s="212">
        <f>+'[5]Pg 1 Summary'!$C$14</f>
        <v>233962500</v>
      </c>
      <c r="D31" s="213">
        <f>+'[4]Pg 1 Summary'!$D$14</f>
        <v>0.0261</v>
      </c>
      <c r="E31" s="214">
        <f>+'[4]Pg 1 Summary'!$E$14</f>
        <v>0.0027</v>
      </c>
      <c r="F31" s="220">
        <f>ROUND(D31*E31,4)</f>
        <v>0.0001</v>
      </c>
      <c r="H31" s="280"/>
    </row>
    <row r="32" spans="1:8" ht="12.75">
      <c r="A32" s="48">
        <f t="shared" si="0"/>
        <v>25</v>
      </c>
      <c r="B32" s="216" t="s">
        <v>25</v>
      </c>
      <c r="C32" s="217"/>
      <c r="D32" s="218"/>
      <c r="E32" s="219"/>
      <c r="F32" s="220">
        <f>+'[4]Pg 1 Summary'!$F$20</f>
        <v>0.0002</v>
      </c>
      <c r="H32" s="280"/>
    </row>
    <row r="33" spans="1:8" ht="12.75">
      <c r="A33" s="48">
        <f t="shared" si="0"/>
        <v>26</v>
      </c>
      <c r="B33" s="221" t="s">
        <v>100</v>
      </c>
      <c r="C33" s="222"/>
      <c r="D33" s="223"/>
      <c r="E33" s="224"/>
      <c r="F33" s="225">
        <f>+'[4]Pg 1 Summary'!$F$22</f>
        <v>0.0001</v>
      </c>
      <c r="H33" s="280"/>
    </row>
    <row r="34" spans="1:8" ht="12.75">
      <c r="A34" s="48">
        <f t="shared" si="0"/>
        <v>27</v>
      </c>
      <c r="B34" s="226" t="s">
        <v>122</v>
      </c>
      <c r="C34" s="217"/>
      <c r="D34" s="218"/>
      <c r="E34" s="219"/>
      <c r="F34" s="227">
        <f>SUM(F31:F33)</f>
        <v>0.0004</v>
      </c>
      <c r="H34" s="280"/>
    </row>
    <row r="35" spans="1:8" ht="12.75">
      <c r="A35" s="48">
        <f t="shared" si="0"/>
        <v>28</v>
      </c>
      <c r="B35" s="211" t="s">
        <v>8</v>
      </c>
      <c r="C35" s="217">
        <f>+'[5]Pg 1 Summary'!$C$16</f>
        <v>4338044407</v>
      </c>
      <c r="D35" s="213">
        <f>+'[4]Pg 1 Summary'!$D$16</f>
        <v>0.4842</v>
      </c>
      <c r="E35" s="214">
        <f>'[8]Pg 1 Summary'!$E$16</f>
        <v>0.0528</v>
      </c>
      <c r="F35" s="215">
        <f>ROUND(D35*E35,4)</f>
        <v>0.0256</v>
      </c>
      <c r="H35" s="280"/>
    </row>
    <row r="36" spans="1:10" ht="12.75">
      <c r="A36" s="48">
        <f t="shared" si="0"/>
        <v>29</v>
      </c>
      <c r="B36" s="221" t="s">
        <v>101</v>
      </c>
      <c r="C36" s="222"/>
      <c r="D36" s="223"/>
      <c r="E36" s="224"/>
      <c r="F36" s="225">
        <f>+'[4]Pg 1 Summary'!$F$24</f>
        <v>0.0002</v>
      </c>
      <c r="G36" s="77"/>
      <c r="H36" s="281"/>
      <c r="I36" s="251"/>
      <c r="J36" s="252"/>
    </row>
    <row r="37" spans="1:8" ht="12.75">
      <c r="A37" s="48">
        <f t="shared" si="0"/>
        <v>30</v>
      </c>
      <c r="B37" s="228" t="s">
        <v>125</v>
      </c>
      <c r="C37" s="229"/>
      <c r="D37" s="230"/>
      <c r="E37" s="231"/>
      <c r="F37" s="232">
        <f>F35+F36</f>
        <v>0.0258</v>
      </c>
      <c r="G37" s="77"/>
      <c r="H37" s="279"/>
    </row>
    <row r="38" spans="1:9" ht="12.75">
      <c r="A38" s="48">
        <f t="shared" si="0"/>
        <v>31</v>
      </c>
      <c r="B38" s="233" t="s">
        <v>102</v>
      </c>
      <c r="C38" s="234">
        <f>+C31+C35</f>
        <v>4572006907</v>
      </c>
      <c r="D38" s="235">
        <f>+'[5]Pg 1 Summary'!$D$26</f>
        <v>0.5104</v>
      </c>
      <c r="E38" s="214"/>
      <c r="F38" s="236">
        <f>F34+F37</f>
        <v>0.0262</v>
      </c>
      <c r="G38" s="77"/>
      <c r="H38" s="44"/>
      <c r="I38" s="43"/>
    </row>
    <row r="39" spans="1:9" ht="12.75">
      <c r="A39" s="48">
        <f t="shared" si="0"/>
        <v>32</v>
      </c>
      <c r="B39" s="233" t="s">
        <v>103</v>
      </c>
      <c r="C39" s="237">
        <f>+'[5]Pg 1 Summary'!$C$28</f>
        <v>4386402333</v>
      </c>
      <c r="D39" s="238">
        <f>+'[5]Pg 1 Summary'!$D$28</f>
        <v>0.4896</v>
      </c>
      <c r="E39" s="290">
        <f>+'[4]Pg 1 Summary'!$E$28</f>
        <v>0.09425205479452056</v>
      </c>
      <c r="F39" s="239">
        <f>ROUND(+D39*E39,4)</f>
        <v>0.0461</v>
      </c>
      <c r="G39" s="77"/>
      <c r="H39" s="44"/>
      <c r="I39" s="43"/>
    </row>
    <row r="40" spans="1:8" ht="12.75">
      <c r="A40" s="48">
        <f t="shared" si="0"/>
        <v>33</v>
      </c>
      <c r="B40" s="233" t="s">
        <v>104</v>
      </c>
      <c r="C40" s="240">
        <f>SUM(C38:C39)</f>
        <v>8958409240</v>
      </c>
      <c r="D40" s="241">
        <f>SUM(D38:D39)</f>
        <v>1</v>
      </c>
      <c r="E40" s="242"/>
      <c r="F40" s="243">
        <f>SUM(F38:F39)</f>
        <v>0.0723</v>
      </c>
      <c r="G40" s="77"/>
      <c r="H40" s="42"/>
    </row>
    <row r="41" spans="1:7" ht="12.75">
      <c r="A41" s="48"/>
      <c r="C41" s="79"/>
      <c r="D41" s="80"/>
      <c r="E41" s="78"/>
      <c r="F41" s="80"/>
      <c r="G41" s="77"/>
    </row>
    <row r="42" spans="1:6" ht="12.75">
      <c r="A42" s="48"/>
      <c r="B42" s="81"/>
      <c r="C42" s="82"/>
      <c r="E42" s="83"/>
      <c r="F42" s="83"/>
    </row>
    <row r="43" ht="12.75">
      <c r="D43" s="6"/>
    </row>
    <row r="44" spans="3:4" ht="12.75">
      <c r="C44" s="5"/>
      <c r="D44" s="6"/>
    </row>
    <row r="45" ht="12.75">
      <c r="D45" s="7"/>
    </row>
  </sheetData>
  <sheetProtection/>
  <mergeCells count="4">
    <mergeCell ref="B9:F9"/>
    <mergeCell ref="B3:F3"/>
    <mergeCell ref="B4:F4"/>
    <mergeCell ref="B26:F26"/>
  </mergeCells>
  <printOptions horizontalCentered="1"/>
  <pageMargins left="0.6" right="0.75" top="0.75" bottom="0.62" header="0.5" footer="0.28"/>
  <pageSetup horizontalDpi="600" verticalDpi="600" orientation="landscape" scale="91" r:id="rId1"/>
  <headerFooter alignWithMargins="0">
    <oddFooter>&amp;C&amp;A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9"/>
  <sheetViews>
    <sheetView view="pageLayout" zoomScale="120" zoomScaleNormal="110" zoomScaleSheetLayoutView="110" zoomScalePageLayoutView="120" workbookViewId="0" topLeftCell="A1">
      <selection activeCell="N44" sqref="N44"/>
    </sheetView>
  </sheetViews>
  <sheetFormatPr defaultColWidth="8.66015625" defaultRowHeight="11.25"/>
  <cols>
    <col min="1" max="1" width="5.66015625" style="10" bestFit="1" customWidth="1"/>
    <col min="2" max="2" width="11.16015625" style="8" customWidth="1"/>
    <col min="3" max="6" width="10.5" style="8" customWidth="1"/>
    <col min="7" max="7" width="10.5" style="11" customWidth="1"/>
    <col min="8" max="8" width="17.5" style="8" customWidth="1"/>
    <col min="9" max="9" width="14.66015625" style="8" customWidth="1"/>
    <col min="10" max="10" width="11.16015625" style="8" customWidth="1"/>
    <col min="11" max="12" width="6" style="8" customWidth="1"/>
    <col min="13" max="13" width="10.83203125" style="8" bestFit="1" customWidth="1"/>
    <col min="14" max="16384" width="8.66015625" style="8" customWidth="1"/>
  </cols>
  <sheetData>
    <row r="1" spans="1:10" ht="12.75">
      <c r="A1" s="84"/>
      <c r="B1" s="85" t="s">
        <v>70</v>
      </c>
      <c r="C1" s="86"/>
      <c r="D1" s="86"/>
      <c r="E1" s="86"/>
      <c r="F1" s="86"/>
      <c r="G1" s="85"/>
      <c r="H1" s="86"/>
      <c r="I1" s="86"/>
      <c r="J1" s="85"/>
    </row>
    <row r="2" spans="1:10" s="30" customFormat="1" ht="12.75">
      <c r="A2" s="87"/>
      <c r="B2" s="85" t="s">
        <v>120</v>
      </c>
      <c r="C2" s="86"/>
      <c r="D2" s="86"/>
      <c r="E2" s="86"/>
      <c r="F2" s="86"/>
      <c r="G2" s="85"/>
      <c r="H2" s="86"/>
      <c r="I2" s="86"/>
      <c r="J2" s="85"/>
    </row>
    <row r="3" spans="1:10" s="30" customFormat="1" ht="12.75">
      <c r="A3" s="88"/>
      <c r="B3" s="85" t="s">
        <v>148</v>
      </c>
      <c r="C3" s="86"/>
      <c r="D3" s="86"/>
      <c r="E3" s="86"/>
      <c r="F3" s="86"/>
      <c r="G3" s="85"/>
      <c r="H3" s="86"/>
      <c r="I3" s="86"/>
      <c r="J3" s="85"/>
    </row>
    <row r="4" spans="1:7" ht="10.5" customHeight="1">
      <c r="A4" s="8"/>
      <c r="G4" s="8"/>
    </row>
    <row r="5" spans="1:9" ht="10.5" customHeight="1">
      <c r="A5" s="89">
        <v>1</v>
      </c>
      <c r="B5" s="90" t="s">
        <v>1</v>
      </c>
      <c r="C5" s="90" t="s">
        <v>17</v>
      </c>
      <c r="D5" s="90" t="s">
        <v>24</v>
      </c>
      <c r="E5" s="90" t="s">
        <v>26</v>
      </c>
      <c r="F5" s="90" t="s">
        <v>27</v>
      </c>
      <c r="G5" s="90" t="s">
        <v>28</v>
      </c>
      <c r="H5" s="90" t="s">
        <v>29</v>
      </c>
      <c r="I5" s="90" t="s">
        <v>30</v>
      </c>
    </row>
    <row r="6" spans="1:9" ht="10.5" customHeight="1">
      <c r="A6" s="89">
        <f>A5+1</f>
        <v>2</v>
      </c>
      <c r="B6" s="90"/>
      <c r="C6" s="90"/>
      <c r="D6" s="90"/>
      <c r="E6" s="90"/>
      <c r="F6" s="300" t="s">
        <v>110</v>
      </c>
      <c r="G6" s="91"/>
      <c r="H6" s="91"/>
      <c r="I6" s="300" t="s">
        <v>121</v>
      </c>
    </row>
    <row r="7" spans="1:9" ht="10.5" customHeight="1">
      <c r="A7" s="89">
        <f aca="true" t="shared" si="0" ref="A7:A44">A6+1</f>
        <v>3</v>
      </c>
      <c r="B7" s="90"/>
      <c r="C7" s="90"/>
      <c r="D7" s="90"/>
      <c r="E7" s="90"/>
      <c r="F7" s="300"/>
      <c r="G7" s="91"/>
      <c r="H7" s="91"/>
      <c r="I7" s="300"/>
    </row>
    <row r="8" spans="1:10" ht="10.5" customHeight="1">
      <c r="A8" s="89">
        <f t="shared" si="0"/>
        <v>4</v>
      </c>
      <c r="B8" s="90"/>
      <c r="C8" s="92" t="s">
        <v>19</v>
      </c>
      <c r="D8" s="92" t="s">
        <v>9</v>
      </c>
      <c r="E8" s="93" t="s">
        <v>44</v>
      </c>
      <c r="F8" s="300"/>
      <c r="G8" s="300" t="s">
        <v>40</v>
      </c>
      <c r="H8" s="300" t="s">
        <v>119</v>
      </c>
      <c r="I8" s="300"/>
      <c r="J8" s="199"/>
    </row>
    <row r="9" spans="1:9" ht="9.75" customHeight="1">
      <c r="A9" s="89">
        <f t="shared" si="0"/>
        <v>5</v>
      </c>
      <c r="B9" s="94" t="s">
        <v>109</v>
      </c>
      <c r="C9" s="95" t="s">
        <v>11</v>
      </c>
      <c r="D9" s="94" t="s">
        <v>45</v>
      </c>
      <c r="E9" s="94" t="s">
        <v>45</v>
      </c>
      <c r="F9" s="301"/>
      <c r="G9" s="301"/>
      <c r="H9" s="301" t="s">
        <v>39</v>
      </c>
      <c r="I9" s="301"/>
    </row>
    <row r="10" spans="1:11" s="12" customFormat="1" ht="12.75">
      <c r="A10" s="89">
        <f t="shared" si="0"/>
        <v>6</v>
      </c>
      <c r="B10" s="263" t="s">
        <v>14</v>
      </c>
      <c r="C10" s="265">
        <v>0.0715</v>
      </c>
      <c r="D10" s="266">
        <v>35053</v>
      </c>
      <c r="E10" s="266">
        <v>46010</v>
      </c>
      <c r="F10" s="269">
        <v>99.211912</v>
      </c>
      <c r="G10" s="256">
        <f>ROUND(YIELD(D10,E10,C10,F10,100,2,2),4)</f>
        <v>0.0721</v>
      </c>
      <c r="H10" s="98">
        <f>G10*I10</f>
        <v>1081500</v>
      </c>
      <c r="I10" s="270">
        <v>15000000</v>
      </c>
      <c r="J10" s="200"/>
      <c r="K10" s="196"/>
    </row>
    <row r="11" spans="1:11" s="13" customFormat="1" ht="12.75">
      <c r="A11" s="89">
        <f t="shared" si="0"/>
        <v>7</v>
      </c>
      <c r="B11" s="263" t="s">
        <v>14</v>
      </c>
      <c r="C11" s="265">
        <v>0.072</v>
      </c>
      <c r="D11" s="266">
        <v>35054</v>
      </c>
      <c r="E11" s="266">
        <v>46013</v>
      </c>
      <c r="F11" s="269">
        <v>99.2116</v>
      </c>
      <c r="G11" s="97">
        <f>ROUND(YIELD(D11,E11,C11,F11,100,2,2),4)</f>
        <v>0.0726</v>
      </c>
      <c r="H11" s="98">
        <f aca="true" t="shared" si="1" ref="H11:H27">G11*I11</f>
        <v>145200</v>
      </c>
      <c r="I11" s="270">
        <v>2000000</v>
      </c>
      <c r="J11" s="98"/>
      <c r="K11" s="197"/>
    </row>
    <row r="12" spans="1:11" s="13" customFormat="1" ht="12.75">
      <c r="A12" s="89">
        <f t="shared" si="0"/>
        <v>8</v>
      </c>
      <c r="B12" s="263" t="s">
        <v>12</v>
      </c>
      <c r="C12" s="265">
        <v>0.0702</v>
      </c>
      <c r="D12" s="266">
        <v>35786</v>
      </c>
      <c r="E12" s="266">
        <v>46722</v>
      </c>
      <c r="F12" s="269">
        <v>98.98573577666666</v>
      </c>
      <c r="G12" s="97">
        <f>ROUND(YIELD(D12,E12,C12,F12,100,2,2),4)</f>
        <v>0.071</v>
      </c>
      <c r="H12" s="98">
        <f t="shared" si="1"/>
        <v>21299999.999999996</v>
      </c>
      <c r="I12" s="270">
        <v>300000000</v>
      </c>
      <c r="J12" s="98"/>
      <c r="K12" s="197"/>
    </row>
    <row r="13" spans="1:11" s="13" customFormat="1" ht="12.75">
      <c r="A13" s="89">
        <f t="shared" si="0"/>
        <v>9</v>
      </c>
      <c r="B13" s="263" t="s">
        <v>13</v>
      </c>
      <c r="C13" s="265">
        <v>0.07</v>
      </c>
      <c r="D13" s="266">
        <v>36228</v>
      </c>
      <c r="E13" s="266">
        <v>47186</v>
      </c>
      <c r="F13" s="269">
        <v>99.04287054999999</v>
      </c>
      <c r="G13" s="97">
        <f aca="true" t="shared" si="2" ref="G13:G26">ROUND(YIELD(D13,E13,C13,F13,100,2,2),4)</f>
        <v>0.0708</v>
      </c>
      <c r="H13" s="98">
        <f t="shared" si="1"/>
        <v>7080000</v>
      </c>
      <c r="I13" s="270">
        <v>100000000</v>
      </c>
      <c r="J13" s="98"/>
      <c r="K13" s="197"/>
    </row>
    <row r="14" spans="1:11" ht="12.75">
      <c r="A14" s="89">
        <f t="shared" si="0"/>
        <v>10</v>
      </c>
      <c r="B14" s="263" t="s">
        <v>41</v>
      </c>
      <c r="C14" s="265">
        <v>0.05483</v>
      </c>
      <c r="D14" s="266">
        <v>38499</v>
      </c>
      <c r="E14" s="266">
        <v>49461</v>
      </c>
      <c r="F14" s="269">
        <v>84.886606836</v>
      </c>
      <c r="G14" s="97">
        <f t="shared" si="2"/>
        <v>0.0665</v>
      </c>
      <c r="H14" s="98">
        <f t="shared" si="1"/>
        <v>16625000</v>
      </c>
      <c r="I14" s="270">
        <v>250000000</v>
      </c>
      <c r="J14" s="98"/>
      <c r="K14" s="198"/>
    </row>
    <row r="15" spans="1:11" ht="12.75">
      <c r="A15" s="89">
        <f t="shared" si="0"/>
        <v>11</v>
      </c>
      <c r="B15" s="263" t="s">
        <v>41</v>
      </c>
      <c r="C15" s="265">
        <v>0.06724</v>
      </c>
      <c r="D15" s="266">
        <v>38898</v>
      </c>
      <c r="E15" s="266">
        <v>49841</v>
      </c>
      <c r="F15" s="269">
        <v>107.515071756</v>
      </c>
      <c r="G15" s="97">
        <f t="shared" si="2"/>
        <v>0.0617</v>
      </c>
      <c r="H15" s="98">
        <f t="shared" si="1"/>
        <v>15425000</v>
      </c>
      <c r="I15" s="270">
        <v>250000000</v>
      </c>
      <c r="J15" s="98"/>
      <c r="K15" s="198"/>
    </row>
    <row r="16" spans="1:11" ht="12.75">
      <c r="A16" s="89">
        <f t="shared" si="0"/>
        <v>12</v>
      </c>
      <c r="B16" s="263" t="s">
        <v>41</v>
      </c>
      <c r="C16" s="265">
        <v>0.06274</v>
      </c>
      <c r="D16" s="266">
        <v>38978</v>
      </c>
      <c r="E16" s="266">
        <v>50114</v>
      </c>
      <c r="F16" s="269">
        <v>98.8127</v>
      </c>
      <c r="G16" s="97">
        <f t="shared" si="2"/>
        <v>0.0636</v>
      </c>
      <c r="H16" s="98">
        <f t="shared" si="1"/>
        <v>19080000</v>
      </c>
      <c r="I16" s="270">
        <v>300000000</v>
      </c>
      <c r="J16" s="98"/>
      <c r="K16" s="198"/>
    </row>
    <row r="17" spans="1:11" ht="12.75">
      <c r="A17" s="89">
        <f t="shared" si="0"/>
        <v>13</v>
      </c>
      <c r="B17" s="263" t="s">
        <v>41</v>
      </c>
      <c r="C17" s="265">
        <v>0.05757</v>
      </c>
      <c r="D17" s="266">
        <v>40067</v>
      </c>
      <c r="E17" s="266">
        <v>51058</v>
      </c>
      <c r="F17" s="269">
        <v>98.9836</v>
      </c>
      <c r="G17" s="97">
        <f t="shared" si="2"/>
        <v>0.0583</v>
      </c>
      <c r="H17" s="98">
        <f t="shared" si="1"/>
        <v>20405000</v>
      </c>
      <c r="I17" s="270">
        <v>350000000</v>
      </c>
      <c r="J17" s="98"/>
      <c r="K17" s="198"/>
    </row>
    <row r="18" spans="1:11" ht="12.75">
      <c r="A18" s="89">
        <f t="shared" si="0"/>
        <v>14</v>
      </c>
      <c r="B18" s="263" t="s">
        <v>41</v>
      </c>
      <c r="C18" s="265">
        <v>0.05795</v>
      </c>
      <c r="D18" s="266">
        <v>40245</v>
      </c>
      <c r="E18" s="266">
        <v>51210</v>
      </c>
      <c r="F18" s="269">
        <v>98.9588</v>
      </c>
      <c r="G18" s="97">
        <f t="shared" si="2"/>
        <v>0.0587</v>
      </c>
      <c r="H18" s="98">
        <f t="shared" si="1"/>
        <v>19077500</v>
      </c>
      <c r="I18" s="270">
        <v>325000000</v>
      </c>
      <c r="J18" s="98"/>
      <c r="K18" s="198"/>
    </row>
    <row r="19" spans="1:11" ht="12.75">
      <c r="A19" s="89">
        <f t="shared" si="0"/>
        <v>15</v>
      </c>
      <c r="B19" s="263" t="s">
        <v>41</v>
      </c>
      <c r="C19" s="265">
        <v>0.05764</v>
      </c>
      <c r="D19" s="266">
        <v>40358</v>
      </c>
      <c r="E19" s="266">
        <v>51332</v>
      </c>
      <c r="F19" s="269">
        <v>98.965</v>
      </c>
      <c r="G19" s="97">
        <f t="shared" si="2"/>
        <v>0.0584</v>
      </c>
      <c r="H19" s="98">
        <f t="shared" si="1"/>
        <v>14600000</v>
      </c>
      <c r="I19" s="270">
        <v>250000000</v>
      </c>
      <c r="J19" s="98"/>
      <c r="K19" s="198"/>
    </row>
    <row r="20" spans="1:11" ht="12.75">
      <c r="A20" s="89">
        <f t="shared" si="0"/>
        <v>16</v>
      </c>
      <c r="B20" s="263" t="s">
        <v>41</v>
      </c>
      <c r="C20" s="265">
        <v>0.05638</v>
      </c>
      <c r="D20" s="266">
        <v>40627</v>
      </c>
      <c r="E20" s="266">
        <v>51606</v>
      </c>
      <c r="F20" s="269">
        <v>98.971</v>
      </c>
      <c r="G20" s="97">
        <f t="shared" si="2"/>
        <v>0.0571</v>
      </c>
      <c r="H20" s="98">
        <f t="shared" si="1"/>
        <v>17130000</v>
      </c>
      <c r="I20" s="270">
        <v>300000000</v>
      </c>
      <c r="J20" s="98"/>
      <c r="K20" s="198"/>
    </row>
    <row r="21" spans="1:11" ht="12.75">
      <c r="A21" s="89">
        <f t="shared" si="0"/>
        <v>17</v>
      </c>
      <c r="B21" s="263" t="s">
        <v>41</v>
      </c>
      <c r="C21" s="265">
        <v>0.04434</v>
      </c>
      <c r="D21" s="266">
        <v>40863</v>
      </c>
      <c r="E21" s="266">
        <v>51820</v>
      </c>
      <c r="F21" s="269">
        <v>98.963</v>
      </c>
      <c r="G21" s="97">
        <f t="shared" si="2"/>
        <v>0.045</v>
      </c>
      <c r="H21" s="98">
        <f t="shared" si="1"/>
        <v>11250000</v>
      </c>
      <c r="I21" s="270">
        <v>250000000</v>
      </c>
      <c r="J21" s="98"/>
      <c r="K21" s="198"/>
    </row>
    <row r="22" spans="1:11" ht="12.75">
      <c r="A22" s="89">
        <f t="shared" si="0"/>
        <v>18</v>
      </c>
      <c r="B22" s="263" t="s">
        <v>41</v>
      </c>
      <c r="C22" s="265">
        <v>0.047</v>
      </c>
      <c r="D22" s="266">
        <v>40869</v>
      </c>
      <c r="E22" s="266">
        <v>55472</v>
      </c>
      <c r="F22" s="269">
        <v>98.8639</v>
      </c>
      <c r="G22" s="97">
        <f t="shared" si="2"/>
        <v>0.0476</v>
      </c>
      <c r="H22" s="98">
        <f t="shared" si="1"/>
        <v>2142000</v>
      </c>
      <c r="I22" s="270">
        <v>45000000</v>
      </c>
      <c r="J22" s="98"/>
      <c r="K22" s="198"/>
    </row>
    <row r="23" spans="1:11" ht="12.75">
      <c r="A23" s="89">
        <f t="shared" si="0"/>
        <v>19</v>
      </c>
      <c r="B23" s="264" t="s">
        <v>15</v>
      </c>
      <c r="C23" s="265">
        <v>0.039</v>
      </c>
      <c r="D23" s="267">
        <v>41417</v>
      </c>
      <c r="E23" s="268">
        <v>47908</v>
      </c>
      <c r="F23" s="269">
        <v>98.9391</v>
      </c>
      <c r="G23" s="97">
        <f t="shared" si="2"/>
        <v>0.0398</v>
      </c>
      <c r="H23" s="98">
        <f t="shared" si="1"/>
        <v>5510708</v>
      </c>
      <c r="I23" s="270">
        <v>138460000</v>
      </c>
      <c r="J23" s="98"/>
      <c r="K23" s="198"/>
    </row>
    <row r="24" spans="1:11" ht="12.75">
      <c r="A24" s="89">
        <f t="shared" si="0"/>
        <v>20</v>
      </c>
      <c r="B24" s="264" t="s">
        <v>15</v>
      </c>
      <c r="C24" s="265">
        <v>0.04</v>
      </c>
      <c r="D24" s="267">
        <v>41417</v>
      </c>
      <c r="E24" s="268">
        <v>47908</v>
      </c>
      <c r="F24" s="269">
        <v>98.9391</v>
      </c>
      <c r="G24" s="97">
        <f t="shared" si="2"/>
        <v>0.0408</v>
      </c>
      <c r="H24" s="98">
        <f t="shared" si="1"/>
        <v>954720.0000000001</v>
      </c>
      <c r="I24" s="270">
        <v>23400000</v>
      </c>
      <c r="J24" s="98"/>
      <c r="K24" s="198"/>
    </row>
    <row r="25" spans="1:11" ht="12.75">
      <c r="A25" s="89">
        <f t="shared" si="0"/>
        <v>21</v>
      </c>
      <c r="B25" s="263" t="s">
        <v>41</v>
      </c>
      <c r="C25" s="265">
        <v>0.043</v>
      </c>
      <c r="D25" s="266">
        <v>42150</v>
      </c>
      <c r="E25" s="266">
        <v>53102</v>
      </c>
      <c r="F25" s="269">
        <v>98.4830197623509</v>
      </c>
      <c r="G25" s="97">
        <f t="shared" si="2"/>
        <v>0.0439</v>
      </c>
      <c r="H25" s="98">
        <f t="shared" si="1"/>
        <v>18657500</v>
      </c>
      <c r="I25" s="270">
        <v>425000000</v>
      </c>
      <c r="J25" s="98"/>
      <c r="K25" s="198"/>
    </row>
    <row r="26" spans="1:11" ht="12.75">
      <c r="A26" s="89">
        <f>A25+1</f>
        <v>22</v>
      </c>
      <c r="B26" s="263" t="s">
        <v>41</v>
      </c>
      <c r="C26" s="265">
        <v>0.04223</v>
      </c>
      <c r="D26" s="266">
        <v>43265</v>
      </c>
      <c r="E26" s="266">
        <v>54224</v>
      </c>
      <c r="F26" s="269">
        <v>98.8868</v>
      </c>
      <c r="G26" s="97">
        <f t="shared" si="2"/>
        <v>0.0429</v>
      </c>
      <c r="H26" s="98">
        <f t="shared" si="1"/>
        <v>25740000</v>
      </c>
      <c r="I26" s="270">
        <v>600000000</v>
      </c>
      <c r="J26" s="98"/>
      <c r="K26" s="198"/>
    </row>
    <row r="27" spans="1:11" ht="12.75">
      <c r="A27" s="89">
        <f t="shared" si="0"/>
        <v>23</v>
      </c>
      <c r="B27" s="263" t="s">
        <v>41</v>
      </c>
      <c r="C27" s="265">
        <v>0.0325</v>
      </c>
      <c r="D27" s="266">
        <v>43707</v>
      </c>
      <c r="E27" s="266">
        <v>54681</v>
      </c>
      <c r="F27" s="269">
        <v>99.09</v>
      </c>
      <c r="G27" s="256">
        <f>ROUND(YIELD(D27,E27,C27,F27,100,2,2),4)</f>
        <v>0.033</v>
      </c>
      <c r="H27" s="98">
        <f t="shared" si="1"/>
        <v>14850000</v>
      </c>
      <c r="I27" s="270">
        <v>450000000</v>
      </c>
      <c r="J27" s="200"/>
      <c r="K27" s="198"/>
    </row>
    <row r="28" spans="1:11" ht="12.75">
      <c r="A28" s="89">
        <f t="shared" si="0"/>
        <v>24</v>
      </c>
      <c r="B28" s="274" t="s">
        <v>41</v>
      </c>
      <c r="C28" s="275">
        <v>0.02893</v>
      </c>
      <c r="D28" s="276">
        <v>44454</v>
      </c>
      <c r="E28" s="276">
        <v>55411</v>
      </c>
      <c r="F28" s="283">
        <v>98.86</v>
      </c>
      <c r="G28" s="256">
        <f>ROUND(YIELD(D28,E28,C28,F28,100,2,2),4)</f>
        <v>0.0295</v>
      </c>
      <c r="H28" s="98">
        <f>G28*I28</f>
        <v>13275000</v>
      </c>
      <c r="I28" s="270">
        <v>450000000</v>
      </c>
      <c r="J28" s="200"/>
      <c r="K28" s="198"/>
    </row>
    <row r="29" spans="1:11" ht="12.75">
      <c r="A29" s="89">
        <f t="shared" si="0"/>
        <v>25</v>
      </c>
      <c r="B29" s="274"/>
      <c r="C29" s="275"/>
      <c r="D29" s="276"/>
      <c r="E29" s="276"/>
      <c r="F29" s="256"/>
      <c r="G29" s="256"/>
      <c r="H29" s="99"/>
      <c r="I29" s="98"/>
      <c r="J29" s="200"/>
      <c r="K29" s="198"/>
    </row>
    <row r="30" spans="1:11" ht="12.75">
      <c r="A30" s="89">
        <f t="shared" si="0"/>
        <v>26</v>
      </c>
      <c r="B30" s="100" t="s">
        <v>144</v>
      </c>
      <c r="C30" s="98"/>
      <c r="D30" s="101"/>
      <c r="E30" s="96"/>
      <c r="F30" s="96"/>
      <c r="G30" s="102"/>
      <c r="H30" s="103"/>
      <c r="I30" s="103">
        <f>SUM(I10:I28)</f>
        <v>4823860000</v>
      </c>
      <c r="K30" s="198"/>
    </row>
    <row r="31" spans="1:10" ht="12.75">
      <c r="A31" s="89">
        <f t="shared" si="0"/>
        <v>27</v>
      </c>
      <c r="B31" s="104"/>
      <c r="C31" s="98"/>
      <c r="D31" s="101"/>
      <c r="E31" s="96"/>
      <c r="F31" s="271"/>
      <c r="G31" s="102"/>
      <c r="H31" s="105"/>
      <c r="I31" s="99"/>
      <c r="J31" s="98"/>
    </row>
    <row r="32" spans="1:10" ht="12.75">
      <c r="A32" s="89">
        <f t="shared" si="0"/>
        <v>28</v>
      </c>
      <c r="B32" s="104"/>
      <c r="C32" s="98"/>
      <c r="D32" s="101"/>
      <c r="E32" s="96"/>
      <c r="F32" s="96"/>
      <c r="G32" s="102"/>
      <c r="H32" s="105"/>
      <c r="I32" s="99"/>
      <c r="J32" s="98"/>
    </row>
    <row r="33" spans="1:9" ht="13.5" thickBot="1">
      <c r="A33" s="89">
        <f t="shared" si="0"/>
        <v>29</v>
      </c>
      <c r="B33" s="107" t="s">
        <v>138</v>
      </c>
      <c r="C33" s="108"/>
      <c r="D33" s="101"/>
      <c r="E33" s="96"/>
      <c r="F33" s="103"/>
      <c r="G33" s="109">
        <f>H33/I33</f>
        <v>0.05065012832047364</v>
      </c>
      <c r="H33" s="110">
        <f>SUM(H10:H28)</f>
        <v>244329128</v>
      </c>
      <c r="I33" s="111">
        <f>'3 - STD Int &amp; Fees-Details AMA'!P58*1000</f>
        <v>4823860000</v>
      </c>
    </row>
    <row r="34" spans="1:9" ht="13.5" thickTop="1">
      <c r="A34" s="89">
        <f t="shared" si="0"/>
        <v>30</v>
      </c>
      <c r="B34" s="108"/>
      <c r="C34" s="108"/>
      <c r="D34" s="101"/>
      <c r="E34" s="96"/>
      <c r="F34" s="103"/>
      <c r="G34" s="112"/>
      <c r="H34" s="112"/>
      <c r="I34" s="103"/>
    </row>
    <row r="35" spans="1:9" ht="12.75">
      <c r="A35" s="89">
        <f t="shared" si="0"/>
        <v>31</v>
      </c>
      <c r="B35" s="113" t="s">
        <v>106</v>
      </c>
      <c r="C35" s="113"/>
      <c r="D35" s="101"/>
      <c r="E35" s="96"/>
      <c r="F35" s="103"/>
      <c r="G35" s="114">
        <f>_xlfn.IFERROR(ROUND(H35/I35,4),0)</f>
        <v>0.0143</v>
      </c>
      <c r="H35" s="99">
        <f>'3 - STD Int &amp; Fees-Details AMA'!P29</f>
        <v>1878181.4069494295</v>
      </c>
      <c r="I35" s="246">
        <f>'3 - STD Int &amp; Fees-Details AMA'!P8*1000</f>
        <v>130914091</v>
      </c>
    </row>
    <row r="36" spans="1:9" ht="13.5" thickBot="1">
      <c r="A36" s="89">
        <f t="shared" si="0"/>
        <v>32</v>
      </c>
      <c r="B36" s="115" t="s">
        <v>107</v>
      </c>
      <c r="C36" s="115"/>
      <c r="D36" s="101"/>
      <c r="E36" s="96"/>
      <c r="F36" s="93" t="s">
        <v>135</v>
      </c>
      <c r="G36" s="116">
        <f>ROUND(H36/I36,4)</f>
        <v>0.0497</v>
      </c>
      <c r="H36" s="110">
        <f>H33+H35</f>
        <v>246207309.40694943</v>
      </c>
      <c r="I36" s="111">
        <f>I33+I35</f>
        <v>4954774091</v>
      </c>
    </row>
    <row r="37" spans="1:10" ht="13.5" thickTop="1">
      <c r="A37" s="89">
        <f t="shared" si="0"/>
        <v>33</v>
      </c>
      <c r="B37" s="115"/>
      <c r="C37" s="115"/>
      <c r="D37" s="101"/>
      <c r="E37" s="96"/>
      <c r="F37" s="96"/>
      <c r="G37" s="103"/>
      <c r="H37" s="117"/>
      <c r="I37" s="118"/>
      <c r="J37" s="119"/>
    </row>
    <row r="38" spans="1:10" ht="12.75">
      <c r="A38" s="89">
        <f t="shared" si="0"/>
        <v>34</v>
      </c>
      <c r="B38" s="115" t="s">
        <v>117</v>
      </c>
      <c r="C38" s="115"/>
      <c r="D38" s="101"/>
      <c r="E38" s="96"/>
      <c r="F38" s="96"/>
      <c r="H38" s="120">
        <f>I33</f>
        <v>4823860000</v>
      </c>
      <c r="I38" s="118"/>
      <c r="J38" s="119"/>
    </row>
    <row r="39" spans="1:10" ht="12.75">
      <c r="A39" s="89">
        <f t="shared" si="0"/>
        <v>35</v>
      </c>
      <c r="B39" s="115" t="s">
        <v>116</v>
      </c>
      <c r="C39" s="115"/>
      <c r="D39" s="101"/>
      <c r="E39" s="96"/>
      <c r="F39" s="96"/>
      <c r="H39" s="247">
        <f>'3 - STD Int &amp; Fees-Details AMA'!P62</f>
        <v>0.5013927687465176</v>
      </c>
      <c r="I39" s="118"/>
      <c r="J39" s="119"/>
    </row>
    <row r="40" spans="1:10" ht="12.75">
      <c r="A40" s="89">
        <f t="shared" si="0"/>
        <v>36</v>
      </c>
      <c r="B40" s="115" t="s">
        <v>118</v>
      </c>
      <c r="C40" s="115"/>
      <c r="D40" s="101"/>
      <c r="E40" s="96"/>
      <c r="F40" s="96"/>
      <c r="H40" s="248">
        <f>H38/H39</f>
        <v>9620920565.048544</v>
      </c>
      <c r="I40" s="118"/>
      <c r="J40" s="119"/>
    </row>
    <row r="41" spans="1:10" ht="12.75">
      <c r="A41" s="89">
        <f t="shared" si="0"/>
        <v>37</v>
      </c>
      <c r="B41" s="115"/>
      <c r="C41" s="115"/>
      <c r="D41" s="101"/>
      <c r="E41" s="96"/>
      <c r="F41" s="96"/>
      <c r="G41" s="103"/>
      <c r="H41" s="117"/>
      <c r="I41" s="118"/>
      <c r="J41" s="119"/>
    </row>
    <row r="42" spans="1:9" ht="12.75">
      <c r="A42" s="89">
        <f t="shared" si="0"/>
        <v>38</v>
      </c>
      <c r="B42" s="121" t="s">
        <v>128</v>
      </c>
      <c r="C42" s="122"/>
      <c r="D42" s="123"/>
      <c r="E42" s="123"/>
      <c r="F42" s="123"/>
      <c r="G42" s="123"/>
      <c r="H42" s="123"/>
      <c r="I42" s="123"/>
    </row>
    <row r="43" spans="1:9" ht="12.75">
      <c r="A43" s="89">
        <f t="shared" si="0"/>
        <v>39</v>
      </c>
      <c r="B43" s="121" t="s">
        <v>129</v>
      </c>
      <c r="C43" s="122"/>
      <c r="D43" s="123"/>
      <c r="E43" s="123"/>
      <c r="F43" s="123"/>
      <c r="G43" s="123"/>
      <c r="H43" s="124"/>
      <c r="I43" s="123"/>
    </row>
    <row r="44" spans="1:9" ht="27.75" customHeight="1">
      <c r="A44" s="89">
        <f t="shared" si="0"/>
        <v>40</v>
      </c>
      <c r="B44" s="302" t="s">
        <v>134</v>
      </c>
      <c r="C44" s="302"/>
      <c r="D44" s="302"/>
      <c r="E44" s="302"/>
      <c r="F44" s="302"/>
      <c r="G44" s="302"/>
      <c r="H44" s="302"/>
      <c r="I44" s="302"/>
    </row>
    <row r="45" spans="1:39" ht="12.75">
      <c r="A45" s="253"/>
      <c r="B45" s="254"/>
      <c r="C45" s="254"/>
      <c r="D45" s="254"/>
      <c r="E45" s="254"/>
      <c r="F45" s="255"/>
      <c r="G45" s="39"/>
      <c r="H45" s="254"/>
      <c r="I45" s="255"/>
      <c r="J45" s="98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</row>
    <row r="46" spans="1:10" ht="12.75">
      <c r="A46" s="18"/>
      <c r="B46" s="40"/>
      <c r="C46" s="40"/>
      <c r="D46" s="40"/>
      <c r="E46" s="40"/>
      <c r="F46" s="40"/>
      <c r="G46" s="39"/>
      <c r="H46" s="40"/>
      <c r="I46" s="123"/>
      <c r="J46" s="104"/>
    </row>
    <row r="47" spans="1:10" ht="12.75">
      <c r="A47" s="18"/>
      <c r="B47" s="40"/>
      <c r="C47" s="40"/>
      <c r="D47" s="40"/>
      <c r="E47" s="40"/>
      <c r="F47" s="40"/>
      <c r="G47" s="38"/>
      <c r="H47" s="40"/>
      <c r="I47" s="33"/>
      <c r="J47" s="106"/>
    </row>
    <row r="48" spans="1:10" ht="12.75">
      <c r="A48" s="18"/>
      <c r="B48" s="13"/>
      <c r="C48" s="13"/>
      <c r="D48" s="13"/>
      <c r="E48" s="13"/>
      <c r="F48" s="13"/>
      <c r="G48" s="39"/>
      <c r="H48" s="13"/>
      <c r="I48" s="13"/>
      <c r="J48" s="18">
        <f>IF(J47&lt;&gt;0,"ERROR","")</f>
      </c>
    </row>
    <row r="49" spans="1:9" ht="12.75">
      <c r="A49" s="18"/>
      <c r="B49" s="13"/>
      <c r="C49" s="13"/>
      <c r="D49" s="13"/>
      <c r="E49" s="13"/>
      <c r="F49" s="13"/>
      <c r="G49" s="19"/>
      <c r="H49" s="13"/>
      <c r="I49" s="105"/>
    </row>
    <row r="50" spans="1:9" ht="12.75">
      <c r="A50" s="20"/>
      <c r="B50" s="21"/>
      <c r="C50" s="21"/>
      <c r="D50" s="22"/>
      <c r="E50" s="23"/>
      <c r="F50" s="23"/>
      <c r="G50" s="125"/>
      <c r="H50" s="25"/>
      <c r="I50" s="105"/>
    </row>
    <row r="51" spans="1:9" ht="12.75">
      <c r="A51" s="20"/>
      <c r="B51" s="21"/>
      <c r="C51" s="21"/>
      <c r="D51" s="22"/>
      <c r="E51" s="23"/>
      <c r="F51" s="23"/>
      <c r="G51" s="24"/>
      <c r="H51" s="25"/>
      <c r="I51" s="26"/>
    </row>
    <row r="52" spans="1:9" ht="12.75">
      <c r="A52" s="20"/>
      <c r="B52" s="21"/>
      <c r="C52" s="21"/>
      <c r="D52" s="22"/>
      <c r="E52" s="23"/>
      <c r="F52" s="23"/>
      <c r="G52" s="24"/>
      <c r="H52" s="25"/>
      <c r="I52" s="26"/>
    </row>
    <row r="53" spans="1:9" ht="12.75" hidden="1">
      <c r="A53" s="27"/>
      <c r="B53" s="13"/>
      <c r="C53" s="13"/>
      <c r="D53" s="13"/>
      <c r="E53" s="13"/>
      <c r="F53" s="13"/>
      <c r="G53" s="19"/>
      <c r="H53" s="13"/>
      <c r="I53" s="28"/>
    </row>
    <row r="54" spans="1:9" ht="12.75" hidden="1">
      <c r="A54" s="27"/>
      <c r="B54" s="13"/>
      <c r="C54" s="13"/>
      <c r="D54" s="13"/>
      <c r="E54" s="13"/>
      <c r="F54" s="13"/>
      <c r="G54" s="19"/>
      <c r="H54" s="13"/>
      <c r="I54" s="29"/>
    </row>
    <row r="55" spans="1:9" ht="12.75" hidden="1">
      <c r="A55" s="27"/>
      <c r="B55" s="13"/>
      <c r="C55" s="13"/>
      <c r="D55" s="13"/>
      <c r="E55" s="13"/>
      <c r="F55" s="13"/>
      <c r="G55" s="19"/>
      <c r="H55" s="13"/>
      <c r="I55" s="13"/>
    </row>
    <row r="56" spans="1:9" ht="12.75">
      <c r="A56" s="20"/>
      <c r="B56" s="21"/>
      <c r="C56" s="21"/>
      <c r="D56" s="22"/>
      <c r="E56" s="23"/>
      <c r="F56" s="23"/>
      <c r="G56" s="24"/>
      <c r="H56" s="25"/>
      <c r="I56" s="26"/>
    </row>
    <row r="57" spans="1:9" ht="12.75">
      <c r="A57" s="20"/>
      <c r="B57" s="21"/>
      <c r="C57" s="21"/>
      <c r="D57" s="22"/>
      <c r="E57" s="23"/>
      <c r="F57" s="23"/>
      <c r="G57" s="24"/>
      <c r="H57" s="25"/>
      <c r="I57" s="26"/>
    </row>
    <row r="58" spans="1:9" ht="12.75">
      <c r="A58" s="27"/>
      <c r="B58" s="13"/>
      <c r="C58" s="13"/>
      <c r="D58" s="13"/>
      <c r="E58" s="13"/>
      <c r="F58" s="13"/>
      <c r="G58" s="19"/>
      <c r="H58" s="13"/>
      <c r="I58" s="13"/>
    </row>
    <row r="59" spans="1:9" ht="12.75">
      <c r="A59" s="27"/>
      <c r="B59" s="13"/>
      <c r="C59" s="13"/>
      <c r="D59" s="13"/>
      <c r="E59" s="13"/>
      <c r="F59" s="13"/>
      <c r="G59" s="19"/>
      <c r="H59" s="13"/>
      <c r="I59" s="13"/>
    </row>
    <row r="60" spans="1:9" ht="12.75">
      <c r="A60" s="27"/>
      <c r="B60" s="13"/>
      <c r="C60" s="13"/>
      <c r="D60" s="13"/>
      <c r="E60" s="13"/>
      <c r="F60" s="13"/>
      <c r="G60" s="19"/>
      <c r="H60" s="13"/>
      <c r="I60" s="13"/>
    </row>
    <row r="61" spans="1:9" ht="12.75">
      <c r="A61" s="27"/>
      <c r="B61" s="13"/>
      <c r="C61" s="13"/>
      <c r="D61" s="13"/>
      <c r="E61" s="13"/>
      <c r="F61" s="13"/>
      <c r="G61" s="19"/>
      <c r="H61" s="13"/>
      <c r="I61" s="13"/>
    </row>
    <row r="62" spans="1:9" ht="12.75">
      <c r="A62" s="27"/>
      <c r="B62" s="13"/>
      <c r="C62" s="13"/>
      <c r="D62" s="13"/>
      <c r="E62" s="13"/>
      <c r="F62" s="13"/>
      <c r="G62" s="19"/>
      <c r="H62" s="13"/>
      <c r="I62" s="13"/>
    </row>
    <row r="63" spans="1:9" ht="12.75">
      <c r="A63" s="27"/>
      <c r="B63" s="13"/>
      <c r="C63" s="13"/>
      <c r="D63" s="13"/>
      <c r="E63" s="13"/>
      <c r="F63" s="13"/>
      <c r="G63" s="19"/>
      <c r="H63" s="13"/>
      <c r="I63" s="13"/>
    </row>
    <row r="64" spans="1:9" ht="12.75">
      <c r="A64" s="27"/>
      <c r="B64" s="13"/>
      <c r="C64" s="13"/>
      <c r="D64" s="13"/>
      <c r="E64" s="13"/>
      <c r="F64" s="13"/>
      <c r="G64" s="19"/>
      <c r="H64" s="13"/>
      <c r="I64" s="13"/>
    </row>
    <row r="65" spans="1:9" ht="12.75">
      <c r="A65" s="27"/>
      <c r="B65" s="13"/>
      <c r="C65" s="13"/>
      <c r="D65" s="13"/>
      <c r="E65" s="13"/>
      <c r="F65" s="13"/>
      <c r="G65" s="19"/>
      <c r="H65" s="13"/>
      <c r="I65" s="13"/>
    </row>
    <row r="66" spans="1:9" ht="12.75">
      <c r="A66" s="27"/>
      <c r="B66" s="13"/>
      <c r="C66" s="13"/>
      <c r="D66" s="13"/>
      <c r="E66" s="13"/>
      <c r="F66" s="13"/>
      <c r="G66" s="19"/>
      <c r="H66" s="13"/>
      <c r="I66" s="13"/>
    </row>
    <row r="67" spans="1:9" ht="12.75">
      <c r="A67" s="18"/>
      <c r="B67" s="13"/>
      <c r="C67" s="13"/>
      <c r="D67" s="21"/>
      <c r="E67" s="13"/>
      <c r="F67" s="13"/>
      <c r="G67" s="19"/>
      <c r="H67" s="13"/>
      <c r="I67" s="13"/>
    </row>
    <row r="68" spans="4:6" ht="12.75">
      <c r="D68" s="9"/>
      <c r="F68" s="15"/>
    </row>
    <row r="69" ht="12.75">
      <c r="D69" s="14"/>
    </row>
  </sheetData>
  <sheetProtection/>
  <mergeCells count="5">
    <mergeCell ref="G8:G9"/>
    <mergeCell ref="H8:H9"/>
    <mergeCell ref="F6:F9"/>
    <mergeCell ref="I6:I9"/>
    <mergeCell ref="B44:I44"/>
  </mergeCells>
  <printOptions horizontalCentered="1"/>
  <pageMargins left="0.2" right="0.2" top="0.41" bottom="0.35" header="0.17" footer="0.17"/>
  <pageSetup fitToHeight="1" fitToWidth="1" horizontalDpi="600" verticalDpi="600" orientation="landscape" scale="99" r:id="rId1"/>
  <headerFooter alignWithMargins="0">
    <oddHeader>&amp;C
</oddHeader>
    <oddFooter>&amp;C&amp;A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Layout" zoomScaleSheetLayoutView="145" workbookViewId="0" topLeftCell="A37">
      <selection activeCell="L65" sqref="L64:L65"/>
    </sheetView>
  </sheetViews>
  <sheetFormatPr defaultColWidth="10.5" defaultRowHeight="11.25"/>
  <cols>
    <col min="1" max="1" width="3.5" style="127" customWidth="1"/>
    <col min="2" max="2" width="39.5" style="127" customWidth="1"/>
    <col min="3" max="3" width="14.5" style="127" bestFit="1" customWidth="1"/>
    <col min="4" max="11" width="13.66015625" style="127" customWidth="1"/>
    <col min="12" max="12" width="12.5" style="127" customWidth="1"/>
    <col min="13" max="15" width="13.66015625" style="127" customWidth="1"/>
    <col min="16" max="16" width="20.5" style="127" customWidth="1"/>
    <col min="17" max="17" width="2" style="127" customWidth="1"/>
    <col min="18" max="18" width="8" style="127" bestFit="1" customWidth="1"/>
    <col min="19" max="16384" width="10.5" style="127" customWidth="1"/>
  </cols>
  <sheetData>
    <row r="1" spans="1:16" ht="12.75">
      <c r="A1" s="126"/>
      <c r="B1" s="85" t="s">
        <v>70</v>
      </c>
      <c r="C1" s="86"/>
      <c r="D1" s="86"/>
      <c r="E1" s="86"/>
      <c r="F1" s="86"/>
      <c r="G1" s="85"/>
      <c r="H1" s="86"/>
      <c r="I1" s="86"/>
      <c r="J1" s="85"/>
      <c r="K1" s="85"/>
      <c r="L1" s="86"/>
      <c r="M1" s="86"/>
      <c r="N1" s="86"/>
      <c r="O1" s="86"/>
      <c r="P1" s="85"/>
    </row>
    <row r="2" spans="1:16" ht="12.75">
      <c r="A2" s="126"/>
      <c r="B2" s="85" t="s">
        <v>71</v>
      </c>
      <c r="C2" s="86"/>
      <c r="D2" s="86"/>
      <c r="E2" s="86"/>
      <c r="F2" s="86"/>
      <c r="G2" s="85"/>
      <c r="H2" s="86"/>
      <c r="I2" s="86"/>
      <c r="J2" s="85"/>
      <c r="K2" s="85"/>
      <c r="L2" s="86"/>
      <c r="M2" s="86"/>
      <c r="N2" s="86"/>
      <c r="O2" s="86"/>
      <c r="P2" s="85"/>
    </row>
    <row r="3" spans="1:16" ht="13.5" customHeight="1">
      <c r="A3" s="126"/>
      <c r="B3" s="85" t="str">
        <f>'2 - Cost of Total Debt'!$B$3</f>
        <v>For The 12 Months Ended December 31, 2022</v>
      </c>
      <c r="C3" s="86"/>
      <c r="D3" s="86"/>
      <c r="E3" s="86"/>
      <c r="F3" s="86"/>
      <c r="G3" s="85"/>
      <c r="H3" s="86"/>
      <c r="I3" s="86"/>
      <c r="J3" s="85"/>
      <c r="K3" s="85"/>
      <c r="L3" s="86"/>
      <c r="M3" s="86"/>
      <c r="N3" s="86"/>
      <c r="O3" s="86"/>
      <c r="P3" s="85"/>
    </row>
    <row r="4" spans="1:16" ht="12.75">
      <c r="A4" s="126"/>
      <c r="B4" s="128"/>
      <c r="C4" s="128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16" ht="12">
      <c r="A5" s="129">
        <v>1</v>
      </c>
      <c r="B5" s="130" t="s">
        <v>1</v>
      </c>
      <c r="C5" s="130" t="s">
        <v>17</v>
      </c>
      <c r="D5" s="130" t="s">
        <v>24</v>
      </c>
      <c r="E5" s="130" t="s">
        <v>26</v>
      </c>
      <c r="F5" s="130" t="s">
        <v>27</v>
      </c>
      <c r="G5" s="130" t="s">
        <v>28</v>
      </c>
      <c r="H5" s="130" t="s">
        <v>29</v>
      </c>
      <c r="I5" s="130" t="s">
        <v>30</v>
      </c>
      <c r="J5" s="130" t="s">
        <v>31</v>
      </c>
      <c r="K5" s="130" t="s">
        <v>33</v>
      </c>
      <c r="L5" s="130" t="s">
        <v>34</v>
      </c>
      <c r="M5" s="130" t="s">
        <v>35</v>
      </c>
      <c r="N5" s="130" t="s">
        <v>36</v>
      </c>
      <c r="O5" s="130" t="s">
        <v>37</v>
      </c>
      <c r="P5" s="130" t="s">
        <v>38</v>
      </c>
    </row>
    <row r="6" spans="1:16" ht="12">
      <c r="A6" s="129"/>
      <c r="B6" s="130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0"/>
    </row>
    <row r="7" spans="1:16" ht="12" customHeight="1">
      <c r="A7" s="129">
        <f>A5+1</f>
        <v>2</v>
      </c>
      <c r="B7" s="126"/>
      <c r="C7" s="131">
        <v>44917</v>
      </c>
      <c r="D7" s="131">
        <v>44957</v>
      </c>
      <c r="E7" s="131">
        <v>44985</v>
      </c>
      <c r="F7" s="131">
        <v>45016</v>
      </c>
      <c r="G7" s="131">
        <v>45046</v>
      </c>
      <c r="H7" s="131">
        <v>45077</v>
      </c>
      <c r="I7" s="131">
        <v>45107</v>
      </c>
      <c r="J7" s="131">
        <v>45138</v>
      </c>
      <c r="K7" s="131">
        <v>45169</v>
      </c>
      <c r="L7" s="131">
        <v>45199</v>
      </c>
      <c r="M7" s="131">
        <v>45230</v>
      </c>
      <c r="N7" s="131">
        <v>45260</v>
      </c>
      <c r="O7" s="131">
        <v>45291</v>
      </c>
      <c r="P7" s="132" t="s">
        <v>145</v>
      </c>
    </row>
    <row r="8" spans="1:16" ht="12">
      <c r="A8" s="129">
        <f>A7+1</f>
        <v>3</v>
      </c>
      <c r="B8" s="133" t="s">
        <v>143</v>
      </c>
      <c r="C8" s="134">
        <v>130914.091</v>
      </c>
      <c r="D8" s="134">
        <v>130914.091</v>
      </c>
      <c r="E8" s="134">
        <v>130914.091</v>
      </c>
      <c r="F8" s="134">
        <v>130914.091</v>
      </c>
      <c r="G8" s="134">
        <v>130914.091</v>
      </c>
      <c r="H8" s="134">
        <v>130914.091</v>
      </c>
      <c r="I8" s="134">
        <v>130914.091</v>
      </c>
      <c r="J8" s="134">
        <v>130914.091</v>
      </c>
      <c r="K8" s="134">
        <v>130914.091</v>
      </c>
      <c r="L8" s="134">
        <v>130914.091</v>
      </c>
      <c r="M8" s="134">
        <v>130914.091</v>
      </c>
      <c r="N8" s="134">
        <v>130914.091</v>
      </c>
      <c r="O8" s="134">
        <v>130914.091</v>
      </c>
      <c r="P8" s="136">
        <f>AVERAGE(D8:O8)</f>
        <v>130914.091</v>
      </c>
    </row>
    <row r="9" spans="1:16" ht="5.25" customHeight="1">
      <c r="A9" s="129"/>
      <c r="B9" s="137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</row>
    <row r="10" spans="1:16" ht="12">
      <c r="A10" s="129">
        <f>A8+1</f>
        <v>4</v>
      </c>
      <c r="B10" s="133" t="s">
        <v>72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5"/>
    </row>
    <row r="11" spans="1:16" ht="12">
      <c r="A11" s="129">
        <f>A10+1</f>
        <v>5</v>
      </c>
      <c r="B11" s="137" t="s">
        <v>73</v>
      </c>
      <c r="C11" s="134">
        <f>MIN(0.5*C8,125000)</f>
        <v>65457.0455</v>
      </c>
      <c r="D11" s="134">
        <f>+C11</f>
        <v>65457.0455</v>
      </c>
      <c r="E11" s="134">
        <f aca="true" t="shared" si="0" ref="E11:O11">+D11</f>
        <v>65457.0455</v>
      </c>
      <c r="F11" s="134">
        <f t="shared" si="0"/>
        <v>65457.0455</v>
      </c>
      <c r="G11" s="134">
        <f t="shared" si="0"/>
        <v>65457.0455</v>
      </c>
      <c r="H11" s="134">
        <f t="shared" si="0"/>
        <v>65457.0455</v>
      </c>
      <c r="I11" s="134">
        <f t="shared" si="0"/>
        <v>65457.0455</v>
      </c>
      <c r="J11" s="134">
        <f t="shared" si="0"/>
        <v>65457.0455</v>
      </c>
      <c r="K11" s="134">
        <f t="shared" si="0"/>
        <v>65457.0455</v>
      </c>
      <c r="L11" s="134">
        <f t="shared" si="0"/>
        <v>65457.0455</v>
      </c>
      <c r="M11" s="134">
        <f t="shared" si="0"/>
        <v>65457.0455</v>
      </c>
      <c r="N11" s="134">
        <f t="shared" si="0"/>
        <v>65457.0455</v>
      </c>
      <c r="O11" s="134">
        <f t="shared" si="0"/>
        <v>65457.0455</v>
      </c>
      <c r="P11" s="136">
        <f>AVERAGE(D11:O11)</f>
        <v>65457.0455</v>
      </c>
    </row>
    <row r="12" spans="1:16" ht="12">
      <c r="A12" s="129">
        <f>A11+1</f>
        <v>6</v>
      </c>
      <c r="B12" s="137" t="s">
        <v>74</v>
      </c>
      <c r="C12" s="139">
        <f>+C8-C11</f>
        <v>65457.0455</v>
      </c>
      <c r="D12" s="139">
        <f>+C12</f>
        <v>65457.0455</v>
      </c>
      <c r="E12" s="139">
        <f aca="true" t="shared" si="1" ref="E12:O12">+D12</f>
        <v>65457.0455</v>
      </c>
      <c r="F12" s="139">
        <f t="shared" si="1"/>
        <v>65457.0455</v>
      </c>
      <c r="G12" s="139">
        <f t="shared" si="1"/>
        <v>65457.0455</v>
      </c>
      <c r="H12" s="139">
        <f t="shared" si="1"/>
        <v>65457.0455</v>
      </c>
      <c r="I12" s="139">
        <f t="shared" si="1"/>
        <v>65457.0455</v>
      </c>
      <c r="J12" s="139">
        <f t="shared" si="1"/>
        <v>65457.0455</v>
      </c>
      <c r="K12" s="139">
        <f t="shared" si="1"/>
        <v>65457.0455</v>
      </c>
      <c r="L12" s="139">
        <f t="shared" si="1"/>
        <v>65457.0455</v>
      </c>
      <c r="M12" s="139">
        <f t="shared" si="1"/>
        <v>65457.0455</v>
      </c>
      <c r="N12" s="139">
        <f t="shared" si="1"/>
        <v>65457.0455</v>
      </c>
      <c r="O12" s="139">
        <f t="shared" si="1"/>
        <v>65457.0455</v>
      </c>
      <c r="P12" s="136">
        <f>ROUND(((C12+O12)+(SUM(D12:N12)*2))/24,3)</f>
        <v>65457.046</v>
      </c>
    </row>
    <row r="13" spans="1:16" ht="12">
      <c r="A13" s="129">
        <f>A12+1</f>
        <v>7</v>
      </c>
      <c r="B13" s="140" t="s">
        <v>75</v>
      </c>
      <c r="C13" s="141">
        <f aca="true" t="shared" si="2" ref="C13:O13">SUM(C11:C12)</f>
        <v>130914.091</v>
      </c>
      <c r="D13" s="141">
        <f t="shared" si="2"/>
        <v>130914.091</v>
      </c>
      <c r="E13" s="141">
        <f t="shared" si="2"/>
        <v>130914.091</v>
      </c>
      <c r="F13" s="141">
        <f t="shared" si="2"/>
        <v>130914.091</v>
      </c>
      <c r="G13" s="141">
        <f t="shared" si="2"/>
        <v>130914.091</v>
      </c>
      <c r="H13" s="141">
        <f t="shared" si="2"/>
        <v>130914.091</v>
      </c>
      <c r="I13" s="141">
        <f t="shared" si="2"/>
        <v>130914.091</v>
      </c>
      <c r="J13" s="141">
        <f t="shared" si="2"/>
        <v>130914.091</v>
      </c>
      <c r="K13" s="141">
        <f t="shared" si="2"/>
        <v>130914.091</v>
      </c>
      <c r="L13" s="141">
        <f t="shared" si="2"/>
        <v>130914.091</v>
      </c>
      <c r="M13" s="141">
        <f t="shared" si="2"/>
        <v>130914.091</v>
      </c>
      <c r="N13" s="141">
        <f t="shared" si="2"/>
        <v>130914.091</v>
      </c>
      <c r="O13" s="141">
        <f t="shared" si="2"/>
        <v>130914.091</v>
      </c>
      <c r="P13" s="142">
        <f>AVERAGE(D13:O13)</f>
        <v>130914.091</v>
      </c>
    </row>
    <row r="14" spans="1:16" ht="5.25" customHeight="1">
      <c r="A14" s="129"/>
      <c r="B14" s="137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</row>
    <row r="15" spans="1:16" ht="13.5" customHeight="1">
      <c r="A15" s="129">
        <f>A13+1</f>
        <v>8</v>
      </c>
      <c r="B15" s="133" t="s">
        <v>64</v>
      </c>
      <c r="M15" s="143"/>
      <c r="N15" s="144"/>
      <c r="O15" s="145"/>
      <c r="P15" s="146"/>
    </row>
    <row r="16" spans="1:16" ht="12">
      <c r="A16" s="129">
        <f>A15+1</f>
        <v>9</v>
      </c>
      <c r="B16" s="137" t="s">
        <v>139</v>
      </c>
      <c r="C16" s="250">
        <f>'[7]Sheet1'!$P$421</f>
        <v>0.00353208217829947</v>
      </c>
      <c r="D16" s="250">
        <f>'[6]Sheet1'!E427</f>
        <v>0.0036224022910239235</v>
      </c>
      <c r="E16" s="250">
        <f>'[6]Sheet1'!F427</f>
        <v>0.0039707484894565175</v>
      </c>
      <c r="F16" s="250">
        <f>'[6]Sheet1'!G427</f>
        <v>0.004662349117138693</v>
      </c>
      <c r="G16" s="250">
        <f>'[6]Sheet1'!H427</f>
        <v>0.005578714797273279</v>
      </c>
      <c r="H16" s="250">
        <f>'[6]Sheet1'!I427</f>
        <v>0.006471346369343659</v>
      </c>
      <c r="I16" s="147">
        <f>'[6]Sheet1'!J427</f>
        <v>0.007178454359682898</v>
      </c>
      <c r="J16" s="147">
        <f>'[6]Sheet1'!K427</f>
        <v>0.007755688162400357</v>
      </c>
      <c r="K16" s="147">
        <f>'[6]Sheet1'!L427</f>
        <v>0.008343516439349661</v>
      </c>
      <c r="L16" s="147">
        <f>'[6]Sheet1'!M427</f>
        <v>0.009017183060292155</v>
      </c>
      <c r="M16" s="147">
        <f>'[6]Sheet1'!N427</f>
        <v>0.009771930848759028</v>
      </c>
      <c r="N16" s="147">
        <f>'[6]Sheet1'!O427</f>
        <v>0.010558237785303695</v>
      </c>
      <c r="O16" s="147">
        <f>'[6]Sheet1'!P427</f>
        <v>0.011335966482152036</v>
      </c>
      <c r="P16" s="135"/>
    </row>
    <row r="17" spans="1:18" ht="12">
      <c r="A17" s="129">
        <f>A16+1</f>
        <v>10</v>
      </c>
      <c r="B17" s="137" t="s">
        <v>76</v>
      </c>
      <c r="C17" s="147">
        <f>0.2%-0.09505%</f>
        <v>0.0010495</v>
      </c>
      <c r="D17" s="147">
        <f>0.2%-0.09505%</f>
        <v>0.0010495</v>
      </c>
      <c r="E17" s="147">
        <f aca="true" t="shared" si="3" ref="E17:O18">D17</f>
        <v>0.0010495</v>
      </c>
      <c r="F17" s="147">
        <f t="shared" si="3"/>
        <v>0.0010495</v>
      </c>
      <c r="G17" s="147">
        <f t="shared" si="3"/>
        <v>0.0010495</v>
      </c>
      <c r="H17" s="147">
        <f t="shared" si="3"/>
        <v>0.0010495</v>
      </c>
      <c r="I17" s="147">
        <f t="shared" si="3"/>
        <v>0.0010495</v>
      </c>
      <c r="J17" s="147">
        <f t="shared" si="3"/>
        <v>0.0010495</v>
      </c>
      <c r="K17" s="147">
        <f t="shared" si="3"/>
        <v>0.0010495</v>
      </c>
      <c r="L17" s="147">
        <f t="shared" si="3"/>
        <v>0.0010495</v>
      </c>
      <c r="M17" s="147">
        <f t="shared" si="3"/>
        <v>0.0010495</v>
      </c>
      <c r="N17" s="147">
        <f t="shared" si="3"/>
        <v>0.0010495</v>
      </c>
      <c r="O17" s="147">
        <f t="shared" si="3"/>
        <v>0.0010495</v>
      </c>
      <c r="P17" s="135"/>
      <c r="R17" s="277"/>
    </row>
    <row r="18" spans="1:16" ht="12">
      <c r="A18" s="129">
        <f>A17+1</f>
        <v>11</v>
      </c>
      <c r="B18" s="137" t="s">
        <v>77</v>
      </c>
      <c r="C18" s="147">
        <v>0.0125</v>
      </c>
      <c r="D18" s="147">
        <f>C18</f>
        <v>0.0125</v>
      </c>
      <c r="E18" s="147">
        <f t="shared" si="3"/>
        <v>0.0125</v>
      </c>
      <c r="F18" s="147">
        <f t="shared" si="3"/>
        <v>0.0125</v>
      </c>
      <c r="G18" s="147">
        <f t="shared" si="3"/>
        <v>0.0125</v>
      </c>
      <c r="H18" s="147">
        <f t="shared" si="3"/>
        <v>0.0125</v>
      </c>
      <c r="I18" s="147">
        <f t="shared" si="3"/>
        <v>0.0125</v>
      </c>
      <c r="J18" s="147">
        <f t="shared" si="3"/>
        <v>0.0125</v>
      </c>
      <c r="K18" s="147">
        <f t="shared" si="3"/>
        <v>0.0125</v>
      </c>
      <c r="L18" s="147">
        <f t="shared" si="3"/>
        <v>0.0125</v>
      </c>
      <c r="M18" s="147">
        <f t="shared" si="3"/>
        <v>0.0125</v>
      </c>
      <c r="N18" s="147">
        <f t="shared" si="3"/>
        <v>0.0125</v>
      </c>
      <c r="O18" s="147">
        <f t="shared" si="3"/>
        <v>0.0125</v>
      </c>
      <c r="P18" s="135"/>
    </row>
    <row r="19" spans="1:16" ht="6" customHeight="1">
      <c r="A19" s="129"/>
      <c r="B19" s="137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35"/>
    </row>
    <row r="20" spans="1:16" ht="12" customHeight="1">
      <c r="A20" s="129">
        <f>A18+1</f>
        <v>12</v>
      </c>
      <c r="B20" s="133" t="s">
        <v>78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35"/>
    </row>
    <row r="21" spans="1:16" ht="12">
      <c r="A21" s="129">
        <f>A20+1</f>
        <v>13</v>
      </c>
      <c r="B21" s="149" t="s">
        <v>79</v>
      </c>
      <c r="C21" s="150">
        <f aca="true" t="shared" si="4" ref="C21:O21">C16+C17</f>
        <v>0.00458158217829947</v>
      </c>
      <c r="D21" s="150">
        <f t="shared" si="4"/>
        <v>0.004671902291023924</v>
      </c>
      <c r="E21" s="150">
        <f t="shared" si="4"/>
        <v>0.005020248489456518</v>
      </c>
      <c r="F21" s="150">
        <f t="shared" si="4"/>
        <v>0.0057118491171386935</v>
      </c>
      <c r="G21" s="150">
        <f t="shared" si="4"/>
        <v>0.006628214797273279</v>
      </c>
      <c r="H21" s="150">
        <f t="shared" si="4"/>
        <v>0.007520846369343659</v>
      </c>
      <c r="I21" s="150">
        <f t="shared" si="4"/>
        <v>0.008227954359682897</v>
      </c>
      <c r="J21" s="150">
        <f t="shared" si="4"/>
        <v>0.008805188162400357</v>
      </c>
      <c r="K21" s="150">
        <f t="shared" si="4"/>
        <v>0.009393016439349661</v>
      </c>
      <c r="L21" s="150">
        <f t="shared" si="4"/>
        <v>0.010066683060292155</v>
      </c>
      <c r="M21" s="150">
        <f t="shared" si="4"/>
        <v>0.010821430848759028</v>
      </c>
      <c r="N21" s="150">
        <f t="shared" si="4"/>
        <v>0.011607737785303695</v>
      </c>
      <c r="O21" s="150">
        <f t="shared" si="4"/>
        <v>0.012385466482152037</v>
      </c>
      <c r="P21" s="135"/>
    </row>
    <row r="22" spans="1:16" ht="12">
      <c r="A22" s="129">
        <f>A21+1</f>
        <v>14</v>
      </c>
      <c r="B22" s="149" t="s">
        <v>74</v>
      </c>
      <c r="C22" s="150">
        <f aca="true" t="shared" si="5" ref="C22:O22">C16+C18</f>
        <v>0.016032082178299472</v>
      </c>
      <c r="D22" s="150">
        <f t="shared" si="5"/>
        <v>0.016122402291023925</v>
      </c>
      <c r="E22" s="150">
        <f t="shared" si="5"/>
        <v>0.016470748489456517</v>
      </c>
      <c r="F22" s="150">
        <f t="shared" si="5"/>
        <v>0.017162349117138695</v>
      </c>
      <c r="G22" s="150">
        <f t="shared" si="5"/>
        <v>0.018078714797273278</v>
      </c>
      <c r="H22" s="150">
        <f t="shared" si="5"/>
        <v>0.01897134636934366</v>
      </c>
      <c r="I22" s="150">
        <f t="shared" si="5"/>
        <v>0.0196784543596829</v>
      </c>
      <c r="J22" s="150">
        <f t="shared" si="5"/>
        <v>0.020255688162400358</v>
      </c>
      <c r="K22" s="150">
        <f t="shared" si="5"/>
        <v>0.02084351643934966</v>
      </c>
      <c r="L22" s="150">
        <f t="shared" si="5"/>
        <v>0.021517183060292155</v>
      </c>
      <c r="M22" s="150">
        <f t="shared" si="5"/>
        <v>0.02227193084875903</v>
      </c>
      <c r="N22" s="150">
        <f t="shared" si="5"/>
        <v>0.023058237785303696</v>
      </c>
      <c r="O22" s="150">
        <f t="shared" si="5"/>
        <v>0.023835966482152037</v>
      </c>
      <c r="P22" s="135"/>
    </row>
    <row r="23" spans="1:16" ht="5.25" customHeight="1">
      <c r="A23" s="129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</row>
    <row r="24" spans="1:16" ht="12">
      <c r="A24" s="129">
        <f>A22+1</f>
        <v>15</v>
      </c>
      <c r="B24" s="137" t="s">
        <v>80</v>
      </c>
      <c r="C24" s="137"/>
      <c r="D24" s="137">
        <v>31</v>
      </c>
      <c r="E24" s="137">
        <f aca="true" t="shared" si="6" ref="E24:O24">E7-D7</f>
        <v>28</v>
      </c>
      <c r="F24" s="137">
        <f t="shared" si="6"/>
        <v>31</v>
      </c>
      <c r="G24" s="137">
        <f t="shared" si="6"/>
        <v>30</v>
      </c>
      <c r="H24" s="137">
        <f t="shared" si="6"/>
        <v>31</v>
      </c>
      <c r="I24" s="137">
        <f t="shared" si="6"/>
        <v>30</v>
      </c>
      <c r="J24" s="137">
        <f t="shared" si="6"/>
        <v>31</v>
      </c>
      <c r="K24" s="137">
        <f t="shared" si="6"/>
        <v>31</v>
      </c>
      <c r="L24" s="137">
        <f t="shared" si="6"/>
        <v>30</v>
      </c>
      <c r="M24" s="137">
        <f t="shared" si="6"/>
        <v>31</v>
      </c>
      <c r="N24" s="137">
        <f t="shared" si="6"/>
        <v>30</v>
      </c>
      <c r="O24" s="137">
        <f t="shared" si="6"/>
        <v>31</v>
      </c>
      <c r="P24" s="151"/>
    </row>
    <row r="25" spans="1:16" ht="3.75" customHeight="1">
      <c r="A25" s="129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51"/>
    </row>
    <row r="26" spans="1:16" ht="12">
      <c r="A26" s="129">
        <f>A24+1</f>
        <v>16</v>
      </c>
      <c r="B26" s="133" t="s">
        <v>81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52" t="s">
        <v>56</v>
      </c>
    </row>
    <row r="27" spans="1:16" ht="12">
      <c r="A27" s="129">
        <f>A26+1</f>
        <v>17</v>
      </c>
      <c r="B27" s="137" t="s">
        <v>82</v>
      </c>
      <c r="C27" s="135"/>
      <c r="D27" s="135">
        <f>AVERAGE(C11:D11)*(D21*D24/360)*1000</f>
        <v>26333.545960800897</v>
      </c>
      <c r="E27" s="135">
        <f>AVERAGE(D11:E11)*(E21*E24/360)*1000</f>
        <v>25558.604850773678</v>
      </c>
      <c r="F27" s="135">
        <f aca="true" t="shared" si="7" ref="F27:O27">AVERAGE(E11:F11)*(F21*F24/360)*1000</f>
        <v>32195.288316778195</v>
      </c>
      <c r="G27" s="135">
        <f t="shared" si="7"/>
        <v>36155.27979740752</v>
      </c>
      <c r="H27" s="135">
        <f t="shared" si="7"/>
        <v>42391.84409137714</v>
      </c>
      <c r="I27" s="135">
        <f t="shared" si="7"/>
        <v>44881.46524114056</v>
      </c>
      <c r="J27" s="135">
        <f t="shared" si="7"/>
        <v>49631.137965698195</v>
      </c>
      <c r="K27" s="135">
        <f t="shared" si="7"/>
        <v>52944.478438987564</v>
      </c>
      <c r="L27" s="135">
        <f t="shared" si="7"/>
        <v>54911.27759263524</v>
      </c>
      <c r="M27" s="135">
        <f t="shared" si="7"/>
        <v>60995.848985311175</v>
      </c>
      <c r="N27" s="135">
        <f t="shared" si="7"/>
        <v>63317.35169705778</v>
      </c>
      <c r="O27" s="135">
        <f t="shared" si="7"/>
        <v>69811.65926358187</v>
      </c>
      <c r="P27" s="136">
        <f>SUM(D27:O27)</f>
        <v>559127.7822015499</v>
      </c>
    </row>
    <row r="28" spans="1:16" ht="12">
      <c r="A28" s="129">
        <f>A27+1</f>
        <v>18</v>
      </c>
      <c r="B28" s="137" t="s">
        <v>83</v>
      </c>
      <c r="C28" s="137"/>
      <c r="D28" s="135">
        <f>AVERAGE(C12:D12)*(D22*D24/360)*1000</f>
        <v>90875.19286199604</v>
      </c>
      <c r="E28" s="135">
        <f aca="true" t="shared" si="8" ref="E28:O28">AVERAGE(D12:E12)*(E22*E24/360)*1000</f>
        <v>83854.2859228209</v>
      </c>
      <c r="F28" s="135">
        <f t="shared" si="8"/>
        <v>96736.93521797335</v>
      </c>
      <c r="G28" s="135">
        <f t="shared" si="8"/>
        <v>98614.93808888667</v>
      </c>
      <c r="H28" s="135">
        <f t="shared" si="8"/>
        <v>106933.49099257229</v>
      </c>
      <c r="I28" s="135">
        <f t="shared" si="8"/>
        <v>107341.12353261975</v>
      </c>
      <c r="J28" s="135">
        <f t="shared" si="8"/>
        <v>114172.78486689334</v>
      </c>
      <c r="K28" s="135">
        <f t="shared" si="8"/>
        <v>117486.12534018268</v>
      </c>
      <c r="L28" s="135">
        <f t="shared" si="8"/>
        <v>117370.9358841144</v>
      </c>
      <c r="M28" s="135">
        <f t="shared" si="8"/>
        <v>125537.49588650634</v>
      </c>
      <c r="N28" s="135">
        <f t="shared" si="8"/>
        <v>125777.00998853693</v>
      </c>
      <c r="O28" s="135">
        <f t="shared" si="8"/>
        <v>134353.30616477702</v>
      </c>
      <c r="P28" s="136">
        <f>SUM(D28:O28)</f>
        <v>1319053.6247478793</v>
      </c>
    </row>
    <row r="29" spans="1:16" ht="12.75" thickBot="1">
      <c r="A29" s="129">
        <f>A28+1</f>
        <v>19</v>
      </c>
      <c r="B29" s="153" t="s">
        <v>84</v>
      </c>
      <c r="C29" s="137"/>
      <c r="D29" s="154">
        <f aca="true" t="shared" si="9" ref="D29:O29">SUM(D27:D28)</f>
        <v>117208.73882279693</v>
      </c>
      <c r="E29" s="154">
        <f t="shared" si="9"/>
        <v>109412.89077359458</v>
      </c>
      <c r="F29" s="154">
        <f t="shared" si="9"/>
        <v>128932.22353475155</v>
      </c>
      <c r="G29" s="154">
        <f t="shared" si="9"/>
        <v>134770.21788629418</v>
      </c>
      <c r="H29" s="154">
        <f t="shared" si="9"/>
        <v>149325.33508394944</v>
      </c>
      <c r="I29" s="154">
        <f t="shared" si="9"/>
        <v>152222.5887737603</v>
      </c>
      <c r="J29" s="154">
        <f t="shared" si="9"/>
        <v>163803.92283259155</v>
      </c>
      <c r="K29" s="154">
        <f t="shared" si="9"/>
        <v>170430.60377917025</v>
      </c>
      <c r="L29" s="154">
        <f t="shared" si="9"/>
        <v>172282.21347674963</v>
      </c>
      <c r="M29" s="154">
        <f t="shared" si="9"/>
        <v>186533.3448718175</v>
      </c>
      <c r="N29" s="154">
        <f t="shared" si="9"/>
        <v>189094.36168559472</v>
      </c>
      <c r="O29" s="154">
        <f t="shared" si="9"/>
        <v>204164.96542835888</v>
      </c>
      <c r="P29" s="155">
        <f>SUM(D29:O29)</f>
        <v>1878181.4069494295</v>
      </c>
    </row>
    <row r="30" spans="1:16" ht="5.25" customHeight="1" thickTop="1">
      <c r="A30" s="129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51"/>
    </row>
    <row r="31" spans="1:18" ht="12">
      <c r="A31" s="129">
        <f>A29+1</f>
        <v>20</v>
      </c>
      <c r="B31" s="126" t="s">
        <v>85</v>
      </c>
      <c r="C31" s="143"/>
      <c r="D31" s="156">
        <f>(+D29/1000)/((D13+C13)/2)*(360/D24)</f>
        <v>0.010397152291023923</v>
      </c>
      <c r="E31" s="156">
        <f aca="true" t="shared" si="10" ref="E31:O31">(+E29/1000)/((E13+D13)/2)*(360/E24)</f>
        <v>0.01074549848945652</v>
      </c>
      <c r="F31" s="156">
        <f t="shared" si="10"/>
        <v>0.011437099117138695</v>
      </c>
      <c r="G31" s="156">
        <f t="shared" si="10"/>
        <v>0.012353464797273275</v>
      </c>
      <c r="H31" s="156">
        <f t="shared" si="10"/>
        <v>0.01324609636934366</v>
      </c>
      <c r="I31" s="156">
        <f t="shared" si="10"/>
        <v>0.013953204359682897</v>
      </c>
      <c r="J31" s="156">
        <f t="shared" si="10"/>
        <v>0.01453043816240036</v>
      </c>
      <c r="K31" s="156">
        <f t="shared" si="10"/>
        <v>0.01511826643934966</v>
      </c>
      <c r="L31" s="156">
        <f t="shared" si="10"/>
        <v>0.015791933060292154</v>
      </c>
      <c r="M31" s="156">
        <f t="shared" si="10"/>
        <v>0.016546680848759033</v>
      </c>
      <c r="N31" s="156">
        <f t="shared" si="10"/>
        <v>0.017332987785303698</v>
      </c>
      <c r="O31" s="156">
        <f t="shared" si="10"/>
        <v>0.018110716482152036</v>
      </c>
      <c r="P31" s="156">
        <f>ROUND(P29/(P8*1000),4)</f>
        <v>0.0143</v>
      </c>
      <c r="R31" s="156"/>
    </row>
    <row r="32" spans="1:16" ht="4.5" customHeight="1">
      <c r="A32" s="129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51"/>
    </row>
    <row r="33" spans="1:16" ht="12">
      <c r="A33" s="129">
        <f>A31+1</f>
        <v>21</v>
      </c>
      <c r="B33" s="133" t="s">
        <v>86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51"/>
    </row>
    <row r="34" spans="1:16" ht="12">
      <c r="A34" s="129">
        <f>A33+1</f>
        <v>22</v>
      </c>
      <c r="B34" s="137" t="s">
        <v>87</v>
      </c>
      <c r="C34" s="157">
        <v>800000</v>
      </c>
      <c r="D34" s="134">
        <f>C34</f>
        <v>800000</v>
      </c>
      <c r="E34" s="134">
        <f aca="true" t="shared" si="11" ref="E34:O34">D34</f>
        <v>800000</v>
      </c>
      <c r="F34" s="134">
        <f t="shared" si="11"/>
        <v>800000</v>
      </c>
      <c r="G34" s="134">
        <f t="shared" si="11"/>
        <v>800000</v>
      </c>
      <c r="H34" s="134">
        <f t="shared" si="11"/>
        <v>800000</v>
      </c>
      <c r="I34" s="134">
        <f t="shared" si="11"/>
        <v>800000</v>
      </c>
      <c r="J34" s="134">
        <f t="shared" si="11"/>
        <v>800000</v>
      </c>
      <c r="K34" s="134">
        <f t="shared" si="11"/>
        <v>800000</v>
      </c>
      <c r="L34" s="134">
        <f t="shared" si="11"/>
        <v>800000</v>
      </c>
      <c r="M34" s="134">
        <f t="shared" si="11"/>
        <v>800000</v>
      </c>
      <c r="N34" s="134">
        <f t="shared" si="11"/>
        <v>800000</v>
      </c>
      <c r="O34" s="134">
        <f t="shared" si="11"/>
        <v>800000</v>
      </c>
      <c r="P34" s="151"/>
    </row>
    <row r="35" spans="1:16" ht="12">
      <c r="A35" s="129">
        <f>A34+1</f>
        <v>23</v>
      </c>
      <c r="B35" s="137" t="s">
        <v>88</v>
      </c>
      <c r="C35" s="135">
        <f>C12+C43</f>
        <v>65457.0455</v>
      </c>
      <c r="D35" s="135">
        <f aca="true" t="shared" si="12" ref="D35:O35">D12+D43</f>
        <v>65457.0455</v>
      </c>
      <c r="E35" s="135">
        <f t="shared" si="12"/>
        <v>65457.0455</v>
      </c>
      <c r="F35" s="135">
        <f t="shared" si="12"/>
        <v>65457.0455</v>
      </c>
      <c r="G35" s="135">
        <f t="shared" si="12"/>
        <v>65457.0455</v>
      </c>
      <c r="H35" s="135">
        <f t="shared" si="12"/>
        <v>65457.0455</v>
      </c>
      <c r="I35" s="135">
        <f t="shared" si="12"/>
        <v>65457.0455</v>
      </c>
      <c r="J35" s="135">
        <f t="shared" si="12"/>
        <v>65457.0455</v>
      </c>
      <c r="K35" s="135">
        <f t="shared" si="12"/>
        <v>65457.0455</v>
      </c>
      <c r="L35" s="135">
        <f t="shared" si="12"/>
        <v>65457.0455</v>
      </c>
      <c r="M35" s="135">
        <f t="shared" si="12"/>
        <v>65457.0455</v>
      </c>
      <c r="N35" s="135">
        <f t="shared" si="12"/>
        <v>65457.0455</v>
      </c>
      <c r="O35" s="135">
        <f t="shared" si="12"/>
        <v>65457.0455</v>
      </c>
      <c r="P35" s="151"/>
    </row>
    <row r="36" spans="1:16" ht="12">
      <c r="A36" s="129">
        <f>A35+1</f>
        <v>24</v>
      </c>
      <c r="B36" s="158" t="s">
        <v>89</v>
      </c>
      <c r="C36" s="159">
        <f>C34-C35</f>
        <v>734542.9545</v>
      </c>
      <c r="D36" s="159">
        <f aca="true" t="shared" si="13" ref="D36:O36">D34-D35</f>
        <v>734542.9545</v>
      </c>
      <c r="E36" s="159">
        <f t="shared" si="13"/>
        <v>734542.9545</v>
      </c>
      <c r="F36" s="159">
        <f t="shared" si="13"/>
        <v>734542.9545</v>
      </c>
      <c r="G36" s="159">
        <f t="shared" si="13"/>
        <v>734542.9545</v>
      </c>
      <c r="H36" s="159">
        <f t="shared" si="13"/>
        <v>734542.9545</v>
      </c>
      <c r="I36" s="159">
        <f t="shared" si="13"/>
        <v>734542.9545</v>
      </c>
      <c r="J36" s="159">
        <f t="shared" si="13"/>
        <v>734542.9545</v>
      </c>
      <c r="K36" s="159">
        <f t="shared" si="13"/>
        <v>734542.9545</v>
      </c>
      <c r="L36" s="159">
        <f t="shared" si="13"/>
        <v>734542.9545</v>
      </c>
      <c r="M36" s="159">
        <f t="shared" si="13"/>
        <v>734542.9545</v>
      </c>
      <c r="N36" s="159">
        <f t="shared" si="13"/>
        <v>734542.9545</v>
      </c>
      <c r="O36" s="159">
        <f t="shared" si="13"/>
        <v>734542.9545</v>
      </c>
      <c r="P36" s="151"/>
    </row>
    <row r="37" spans="1:16" ht="4.5" customHeight="1">
      <c r="A37" s="129"/>
      <c r="B37" s="140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51"/>
    </row>
    <row r="38" spans="1:16" ht="12">
      <c r="A38" s="129">
        <f>A36+1</f>
        <v>25</v>
      </c>
      <c r="B38" s="133" t="s">
        <v>90</v>
      </c>
      <c r="C38" s="160" t="s">
        <v>11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51"/>
    </row>
    <row r="39" spans="1:16" ht="12">
      <c r="A39" s="129">
        <f>A38+1</f>
        <v>26</v>
      </c>
      <c r="B39" s="149" t="s">
        <v>91</v>
      </c>
      <c r="C39" s="249">
        <v>0.00175</v>
      </c>
      <c r="D39" s="135">
        <f>AVERAGE(C36:D36)*($C39*D$24/360)*1000</f>
        <v>110691.54244895834</v>
      </c>
      <c r="E39" s="135">
        <f aca="true" t="shared" si="14" ref="E39:O39">AVERAGE(D36:E36)*($C39*E$24/360)*1000</f>
        <v>99979.45769583335</v>
      </c>
      <c r="F39" s="135">
        <f t="shared" si="14"/>
        <v>110691.54244895834</v>
      </c>
      <c r="G39" s="135">
        <f t="shared" si="14"/>
        <v>107120.84753125</v>
      </c>
      <c r="H39" s="135">
        <f t="shared" si="14"/>
        <v>110691.54244895834</v>
      </c>
      <c r="I39" s="135">
        <f t="shared" si="14"/>
        <v>107120.84753125</v>
      </c>
      <c r="J39" s="135">
        <f t="shared" si="14"/>
        <v>110691.54244895834</v>
      </c>
      <c r="K39" s="135">
        <f t="shared" si="14"/>
        <v>110691.54244895834</v>
      </c>
      <c r="L39" s="135">
        <f t="shared" si="14"/>
        <v>107120.84753125</v>
      </c>
      <c r="M39" s="135">
        <f t="shared" si="14"/>
        <v>110691.54244895834</v>
      </c>
      <c r="N39" s="135">
        <f t="shared" si="14"/>
        <v>107120.84753125</v>
      </c>
      <c r="O39" s="135">
        <f t="shared" si="14"/>
        <v>110691.54244895834</v>
      </c>
      <c r="P39" s="136">
        <f>SUM(D39:O39)</f>
        <v>1303303.6449635418</v>
      </c>
    </row>
    <row r="40" spans="1:18" ht="12.75" thickBot="1">
      <c r="A40" s="129">
        <f>A39+1</f>
        <v>27</v>
      </c>
      <c r="B40" s="153" t="s">
        <v>92</v>
      </c>
      <c r="C40" s="161"/>
      <c r="D40" s="162">
        <f aca="true" t="shared" si="15" ref="D40:O40">SUM(D39:D39)</f>
        <v>110691.54244895834</v>
      </c>
      <c r="E40" s="162">
        <f t="shared" si="15"/>
        <v>99979.45769583335</v>
      </c>
      <c r="F40" s="162">
        <f t="shared" si="15"/>
        <v>110691.54244895834</v>
      </c>
      <c r="G40" s="162">
        <f t="shared" si="15"/>
        <v>107120.84753125</v>
      </c>
      <c r="H40" s="162">
        <f t="shared" si="15"/>
        <v>110691.54244895834</v>
      </c>
      <c r="I40" s="162">
        <f t="shared" si="15"/>
        <v>107120.84753125</v>
      </c>
      <c r="J40" s="162">
        <f t="shared" si="15"/>
        <v>110691.54244895834</v>
      </c>
      <c r="K40" s="162">
        <f t="shared" si="15"/>
        <v>110691.54244895834</v>
      </c>
      <c r="L40" s="162">
        <f t="shared" si="15"/>
        <v>107120.84753125</v>
      </c>
      <c r="M40" s="162">
        <f t="shared" si="15"/>
        <v>110691.54244895834</v>
      </c>
      <c r="N40" s="162">
        <f t="shared" si="15"/>
        <v>107120.84753125</v>
      </c>
      <c r="O40" s="162">
        <f t="shared" si="15"/>
        <v>110691.54244895834</v>
      </c>
      <c r="P40" s="155">
        <f>SUM(D40:O40)</f>
        <v>1303303.6449635418</v>
      </c>
      <c r="R40" s="163"/>
    </row>
    <row r="41" spans="1:16" ht="6" customHeight="1" thickTop="1">
      <c r="A41" s="129"/>
      <c r="B41" s="164"/>
      <c r="C41" s="165"/>
      <c r="D41" s="165"/>
      <c r="E41" s="165"/>
      <c r="F41" s="165"/>
      <c r="G41" s="165"/>
      <c r="H41" s="126"/>
      <c r="I41" s="126"/>
      <c r="J41" s="126"/>
      <c r="K41" s="126"/>
      <c r="L41" s="126"/>
      <c r="M41" s="126"/>
      <c r="N41" s="126"/>
      <c r="O41" s="126"/>
      <c r="P41" s="126"/>
    </row>
    <row r="42" spans="1:16" ht="12" customHeight="1">
      <c r="A42" s="129">
        <f>A40+1</f>
        <v>28</v>
      </c>
      <c r="B42" s="133" t="s">
        <v>93</v>
      </c>
      <c r="C42" s="166">
        <v>0.01</v>
      </c>
      <c r="D42" s="165"/>
      <c r="E42" s="165"/>
      <c r="F42" s="165"/>
      <c r="G42" s="165"/>
      <c r="H42" s="126"/>
      <c r="I42" s="126"/>
      <c r="J42" s="126"/>
      <c r="K42" s="126"/>
      <c r="L42" s="126"/>
      <c r="M42" s="126"/>
      <c r="N42" s="126"/>
      <c r="O42" s="126"/>
      <c r="P42" s="126"/>
    </row>
    <row r="43" spans="1:16" ht="12" customHeight="1">
      <c r="A43" s="129">
        <f>A42+1</f>
        <v>29</v>
      </c>
      <c r="B43" s="137" t="s">
        <v>94</v>
      </c>
      <c r="C43" s="134"/>
      <c r="D43" s="157">
        <v>0</v>
      </c>
      <c r="E43" s="157">
        <f aca="true" t="shared" si="16" ref="E43:O43">D43</f>
        <v>0</v>
      </c>
      <c r="F43" s="157">
        <f t="shared" si="16"/>
        <v>0</v>
      </c>
      <c r="G43" s="157">
        <f t="shared" si="16"/>
        <v>0</v>
      </c>
      <c r="H43" s="157">
        <f t="shared" si="16"/>
        <v>0</v>
      </c>
      <c r="I43" s="157">
        <f t="shared" si="16"/>
        <v>0</v>
      </c>
      <c r="J43" s="157">
        <f t="shared" si="16"/>
        <v>0</v>
      </c>
      <c r="K43" s="157">
        <f t="shared" si="16"/>
        <v>0</v>
      </c>
      <c r="L43" s="157">
        <f t="shared" si="16"/>
        <v>0</v>
      </c>
      <c r="M43" s="157">
        <f t="shared" si="16"/>
        <v>0</v>
      </c>
      <c r="N43" s="157">
        <f t="shared" si="16"/>
        <v>0</v>
      </c>
      <c r="O43" s="157">
        <f t="shared" si="16"/>
        <v>0</v>
      </c>
      <c r="P43" s="136"/>
    </row>
    <row r="44" spans="1:16" ht="12" customHeight="1">
      <c r="A44" s="129">
        <f>A43+1</f>
        <v>30</v>
      </c>
      <c r="B44" s="137" t="s">
        <v>95</v>
      </c>
      <c r="C44" s="134"/>
      <c r="D44" s="157">
        <f aca="true" t="shared" si="17" ref="D44:I44">2316500/1000</f>
        <v>2316.5</v>
      </c>
      <c r="E44" s="157">
        <f t="shared" si="17"/>
        <v>2316.5</v>
      </c>
      <c r="F44" s="157">
        <f t="shared" si="17"/>
        <v>2316.5</v>
      </c>
      <c r="G44" s="157">
        <f t="shared" si="17"/>
        <v>2316.5</v>
      </c>
      <c r="H44" s="157">
        <f t="shared" si="17"/>
        <v>2316.5</v>
      </c>
      <c r="I44" s="157">
        <f t="shared" si="17"/>
        <v>2316.5</v>
      </c>
      <c r="J44" s="157">
        <f aca="true" t="shared" si="18" ref="J44:O44">2132000/1000</f>
        <v>2132</v>
      </c>
      <c r="K44" s="157">
        <f t="shared" si="18"/>
        <v>2132</v>
      </c>
      <c r="L44" s="157">
        <f t="shared" si="18"/>
        <v>2132</v>
      </c>
      <c r="M44" s="157">
        <f t="shared" si="18"/>
        <v>2132</v>
      </c>
      <c r="N44" s="157">
        <f t="shared" si="18"/>
        <v>2132</v>
      </c>
      <c r="O44" s="157">
        <f t="shared" si="18"/>
        <v>2132</v>
      </c>
      <c r="P44" s="136"/>
    </row>
    <row r="45" spans="1:18" ht="12" customHeight="1" thickBot="1">
      <c r="A45" s="129">
        <f>A44+1</f>
        <v>31</v>
      </c>
      <c r="B45" s="153" t="s">
        <v>130</v>
      </c>
      <c r="C45" s="166">
        <v>0.01</v>
      </c>
      <c r="D45" s="162">
        <f>D43*($C42*D$24/360)*1000+D44*($C45*D$24/360)*1000</f>
        <v>1994.7638888888887</v>
      </c>
      <c r="E45" s="162">
        <f aca="true" t="shared" si="19" ref="E45:O45">E43*($C42*E$24/360)*1000+E44*($C45*E$24/360)*1000</f>
        <v>1801.7222222222224</v>
      </c>
      <c r="F45" s="162">
        <f t="shared" si="19"/>
        <v>1994.7638888888887</v>
      </c>
      <c r="G45" s="162">
        <f t="shared" si="19"/>
        <v>1930.4166666666665</v>
      </c>
      <c r="H45" s="162">
        <f t="shared" si="19"/>
        <v>1994.7638888888887</v>
      </c>
      <c r="I45" s="162">
        <f t="shared" si="19"/>
        <v>1930.4166666666665</v>
      </c>
      <c r="J45" s="162">
        <f t="shared" si="19"/>
        <v>1835.888888888889</v>
      </c>
      <c r="K45" s="162">
        <f t="shared" si="19"/>
        <v>1835.888888888889</v>
      </c>
      <c r="L45" s="162">
        <f t="shared" si="19"/>
        <v>1776.6666666666665</v>
      </c>
      <c r="M45" s="162">
        <f t="shared" si="19"/>
        <v>1835.888888888889</v>
      </c>
      <c r="N45" s="162">
        <f t="shared" si="19"/>
        <v>1776.6666666666665</v>
      </c>
      <c r="O45" s="162">
        <f t="shared" si="19"/>
        <v>1835.888888888889</v>
      </c>
      <c r="P45" s="155">
        <f>SUM(D45:O45)</f>
        <v>22543.736111111113</v>
      </c>
      <c r="R45" s="163"/>
    </row>
    <row r="46" spans="1:18" ht="12.75" customHeight="1" thickTop="1">
      <c r="A46" s="129">
        <f aca="true" t="shared" si="20" ref="A46:A65">A45+1</f>
        <v>32</v>
      </c>
      <c r="B46" s="153"/>
      <c r="C46" s="167"/>
      <c r="D46" s="135"/>
      <c r="E46" s="135"/>
      <c r="F46" s="168"/>
      <c r="G46" s="135"/>
      <c r="H46" s="135"/>
      <c r="I46" s="135">
        <v>2021</v>
      </c>
      <c r="J46" s="135">
        <v>2022</v>
      </c>
      <c r="K46" s="135">
        <v>2023</v>
      </c>
      <c r="L46" s="135"/>
      <c r="M46" s="135"/>
      <c r="N46" s="135"/>
      <c r="O46" s="169" t="s">
        <v>96</v>
      </c>
      <c r="P46" s="136">
        <f>P40+P45</f>
        <v>1325847.3810746528</v>
      </c>
      <c r="R46" s="163"/>
    </row>
    <row r="47" spans="1:18" ht="12.75" customHeight="1">
      <c r="A47" s="129">
        <f t="shared" si="20"/>
        <v>33</v>
      </c>
      <c r="B47" s="153"/>
      <c r="C47" s="167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69" t="s">
        <v>108</v>
      </c>
      <c r="P47" s="136">
        <f>'2 - Cost of Total Debt'!H40</f>
        <v>9620920565.048544</v>
      </c>
      <c r="R47" s="163"/>
    </row>
    <row r="48" spans="1:18" ht="12.75" customHeight="1">
      <c r="A48" s="129">
        <f t="shared" si="20"/>
        <v>34</v>
      </c>
      <c r="B48" s="153"/>
      <c r="C48" s="167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69" t="s">
        <v>97</v>
      </c>
      <c r="P48" s="170">
        <f>ROUND(P46/P47,4)</f>
        <v>0.0001</v>
      </c>
      <c r="R48" s="163"/>
    </row>
    <row r="49" spans="1:16" ht="11.25" customHeight="1">
      <c r="A49" s="129">
        <f t="shared" si="20"/>
        <v>35</v>
      </c>
      <c r="B49" s="164"/>
      <c r="C49" s="165"/>
      <c r="D49" s="165"/>
      <c r="E49" s="165"/>
      <c r="F49" s="165"/>
      <c r="G49" s="165"/>
      <c r="H49" s="126"/>
      <c r="I49" s="126"/>
      <c r="J49" s="126"/>
      <c r="K49" s="126"/>
      <c r="L49" s="126"/>
      <c r="M49" s="126"/>
      <c r="N49" s="126"/>
      <c r="O49" s="126"/>
      <c r="P49" s="126"/>
    </row>
    <row r="50" spans="1:16" ht="12">
      <c r="A50" s="129">
        <f t="shared" si="20"/>
        <v>36</v>
      </c>
      <c r="B50" s="133" t="s">
        <v>126</v>
      </c>
      <c r="C50" s="165"/>
      <c r="D50" s="165"/>
      <c r="E50" s="165"/>
      <c r="F50" s="165"/>
      <c r="G50" s="165"/>
      <c r="H50" s="126"/>
      <c r="I50" s="126"/>
      <c r="J50" s="126"/>
      <c r="K50" s="126"/>
      <c r="L50" s="126"/>
      <c r="M50" s="126"/>
      <c r="N50" s="126"/>
      <c r="O50" s="126"/>
      <c r="P50" s="126"/>
    </row>
    <row r="51" spans="1:16" ht="12">
      <c r="A51" s="129">
        <f t="shared" si="20"/>
        <v>37</v>
      </c>
      <c r="B51" s="149" t="s">
        <v>146</v>
      </c>
      <c r="C51" s="165"/>
      <c r="D51" s="157">
        <f>-+'[9]Pg 5 STD Amort'!$C$15</f>
        <v>10211.44</v>
      </c>
      <c r="E51" s="157">
        <f>-+'[9]Pg 5 STD Amort'!$C$15</f>
        <v>10211.44</v>
      </c>
      <c r="F51" s="157">
        <f>-+'[9]Pg 5 STD Amort'!$C$15</f>
        <v>10211.44</v>
      </c>
      <c r="G51" s="157">
        <f>-+'[9]Pg 5 STD Amort'!$C$15</f>
        <v>10211.44</v>
      </c>
      <c r="H51" s="157">
        <f>-+'[9]Pg 5 STD Amort'!$C$15</f>
        <v>10211.44</v>
      </c>
      <c r="I51" s="157">
        <f>-+'[9]Pg 5 STD Amort'!$C$15</f>
        <v>10211.44</v>
      </c>
      <c r="J51" s="157">
        <f>-+'[9]Pg 5 STD Amort'!$C$15</f>
        <v>10211.44</v>
      </c>
      <c r="K51" s="157">
        <f>-+'[9]Pg 5 STD Amort'!$C$15</f>
        <v>10211.44</v>
      </c>
      <c r="L51" s="157">
        <f>-+'[9]Pg 5 STD Amort'!$C$15</f>
        <v>10211.44</v>
      </c>
      <c r="M51" s="157">
        <f>-+'[9]Pg 5 STD Amort'!$C$15</f>
        <v>10211.44</v>
      </c>
      <c r="N51" s="157">
        <v>2422.25</v>
      </c>
      <c r="O51" s="157">
        <v>0</v>
      </c>
      <c r="P51" s="126">
        <f>SUM(D51:O51)</f>
        <v>104536.65000000001</v>
      </c>
    </row>
    <row r="52" spans="1:16" ht="12">
      <c r="A52" s="129">
        <f t="shared" si="20"/>
        <v>38</v>
      </c>
      <c r="B52" s="149" t="s">
        <v>133</v>
      </c>
      <c r="C52" s="165"/>
      <c r="D52" s="157">
        <f>-'[9]Pg 5 STD Amort'!$D$15</f>
        <v>47576.01</v>
      </c>
      <c r="E52" s="157">
        <f>-'[9]Pg 5 STD Amort'!$D$15</f>
        <v>47576.01</v>
      </c>
      <c r="F52" s="157">
        <f>-'[9]Pg 5 STD Amort'!$D$15</f>
        <v>47576.01</v>
      </c>
      <c r="G52" s="157">
        <f>-'[9]Pg 5 STD Amort'!$D$15</f>
        <v>47576.01</v>
      </c>
      <c r="H52" s="157">
        <f>-'[9]Pg 5 STD Amort'!$D$15</f>
        <v>47576.01</v>
      </c>
      <c r="I52" s="157">
        <f>-'[9]Pg 5 STD Amort'!$D$15</f>
        <v>47576.01</v>
      </c>
      <c r="J52" s="157">
        <f>-'[9]Pg 5 STD Amort'!$D$15</f>
        <v>47576.01</v>
      </c>
      <c r="K52" s="157">
        <f>-'[9]Pg 5 STD Amort'!$D$15</f>
        <v>47576.01</v>
      </c>
      <c r="L52" s="157">
        <f>-'[9]Pg 5 STD Amort'!$D$15</f>
        <v>47576.01</v>
      </c>
      <c r="M52" s="157">
        <f>-'[9]Pg 5 STD Amort'!$D$15</f>
        <v>47576.01</v>
      </c>
      <c r="N52" s="157">
        <f>-'[9]Pg 5 STD Amort'!$D$15</f>
        <v>47576.01</v>
      </c>
      <c r="O52" s="157">
        <f>-'[9]Pg 5 STD Amort'!$D$15</f>
        <v>47576.01</v>
      </c>
      <c r="P52" s="126">
        <f>SUM(D50:O50)</f>
        <v>0</v>
      </c>
    </row>
    <row r="53" spans="1:16" ht="12">
      <c r="A53" s="129">
        <f>A50+1</f>
        <v>37</v>
      </c>
      <c r="B53" s="149" t="s">
        <v>147</v>
      </c>
      <c r="C53" s="165"/>
      <c r="D53" s="157">
        <f>-'[9]Pg 5 STD Amort'!$E$15</f>
        <v>1580.06</v>
      </c>
      <c r="E53" s="157">
        <f>-'[9]Pg 5 STD Amort'!$E$15</f>
        <v>1580.06</v>
      </c>
      <c r="F53" s="157">
        <f>-'[9]Pg 5 STD Amort'!$E$15</f>
        <v>1580.06</v>
      </c>
      <c r="G53" s="157">
        <f>-'[9]Pg 5 STD Amort'!$E$15</f>
        <v>1580.06</v>
      </c>
      <c r="H53" s="157">
        <f>-'[9]Pg 5 STD Amort'!$E$15</f>
        <v>1580.06</v>
      </c>
      <c r="I53" s="157">
        <f>-'[9]Pg 5 STD Amort'!$E$15</f>
        <v>1580.06</v>
      </c>
      <c r="J53" s="157">
        <f>-'[9]Pg 5 STD Amort'!$E$15</f>
        <v>1580.06</v>
      </c>
      <c r="K53" s="157">
        <f>-'[9]Pg 5 STD Amort'!$E$15</f>
        <v>1580.06</v>
      </c>
      <c r="L53" s="157">
        <f>-'[9]Pg 5 STD Amort'!$E$15</f>
        <v>1580.06</v>
      </c>
      <c r="M53" s="157">
        <f>-'[9]Pg 5 STD Amort'!$E$15</f>
        <v>1580.06</v>
      </c>
      <c r="N53" s="157">
        <v>0</v>
      </c>
      <c r="O53" s="157">
        <v>0</v>
      </c>
      <c r="P53" s="126">
        <f>SUM(D53:O53)</f>
        <v>15800.599999999997</v>
      </c>
    </row>
    <row r="54" spans="1:18" ht="12" customHeight="1" thickBot="1">
      <c r="A54" s="129">
        <f t="shared" si="20"/>
        <v>38</v>
      </c>
      <c r="B54" s="153" t="s">
        <v>98</v>
      </c>
      <c r="C54" s="165"/>
      <c r="D54" s="292">
        <f>SUM(D51:D53)</f>
        <v>59367.51</v>
      </c>
      <c r="E54" s="292">
        <f aca="true" t="shared" si="21" ref="E54:O54">SUM(E51:E53)</f>
        <v>59367.51</v>
      </c>
      <c r="F54" s="292">
        <f t="shared" si="21"/>
        <v>59367.51</v>
      </c>
      <c r="G54" s="292">
        <f t="shared" si="21"/>
        <v>59367.51</v>
      </c>
      <c r="H54" s="292">
        <f t="shared" si="21"/>
        <v>59367.51</v>
      </c>
      <c r="I54" s="292">
        <f t="shared" si="21"/>
        <v>59367.51</v>
      </c>
      <c r="J54" s="292">
        <f t="shared" si="21"/>
        <v>59367.51</v>
      </c>
      <c r="K54" s="292">
        <f t="shared" si="21"/>
        <v>59367.51</v>
      </c>
      <c r="L54" s="292">
        <f t="shared" si="21"/>
        <v>59367.51</v>
      </c>
      <c r="M54" s="292">
        <f t="shared" si="21"/>
        <v>59367.51</v>
      </c>
      <c r="N54" s="292">
        <f t="shared" si="21"/>
        <v>49998.26</v>
      </c>
      <c r="O54" s="292">
        <f t="shared" si="21"/>
        <v>47576.01</v>
      </c>
      <c r="P54" s="293">
        <f>SUM(D54:O54)</f>
        <v>691249.37</v>
      </c>
      <c r="R54" s="163"/>
    </row>
    <row r="55" spans="1:18" ht="12" customHeight="1" thickTop="1">
      <c r="A55" s="129">
        <f t="shared" si="20"/>
        <v>39</v>
      </c>
      <c r="B55" s="153"/>
      <c r="C55" s="165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69" t="s">
        <v>108</v>
      </c>
      <c r="P55" s="136">
        <f>'2 - Cost of Total Debt'!$H$40</f>
        <v>9620920565.048544</v>
      </c>
      <c r="R55" s="163"/>
    </row>
    <row r="56" spans="1:18" ht="12" customHeight="1">
      <c r="A56" s="129">
        <f t="shared" si="20"/>
        <v>40</v>
      </c>
      <c r="B56" s="153"/>
      <c r="C56" s="165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69" t="s">
        <v>99</v>
      </c>
      <c r="P56" s="170">
        <f>ROUND(P54/P55,4)</f>
        <v>0.0001</v>
      </c>
      <c r="R56" s="163"/>
    </row>
    <row r="57" spans="1:18" ht="12" customHeight="1">
      <c r="A57" s="129">
        <f t="shared" si="20"/>
        <v>41</v>
      </c>
      <c r="B57" s="153"/>
      <c r="C57" s="165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69"/>
      <c r="P57" s="170"/>
      <c r="R57" s="163"/>
    </row>
    <row r="58" spans="1:18" ht="12" customHeight="1">
      <c r="A58" s="129">
        <f t="shared" si="20"/>
        <v>42</v>
      </c>
      <c r="B58" s="133" t="s">
        <v>136</v>
      </c>
      <c r="C58" s="284">
        <v>4823860</v>
      </c>
      <c r="D58" s="285">
        <v>4823860</v>
      </c>
      <c r="E58" s="285">
        <v>4823860</v>
      </c>
      <c r="F58" s="285">
        <v>4823860</v>
      </c>
      <c r="G58" s="285">
        <v>4823860</v>
      </c>
      <c r="H58" s="285">
        <v>4823860</v>
      </c>
      <c r="I58" s="285">
        <v>4823860</v>
      </c>
      <c r="J58" s="285">
        <v>4823860</v>
      </c>
      <c r="K58" s="285">
        <v>4823860</v>
      </c>
      <c r="L58" s="285">
        <v>4823860</v>
      </c>
      <c r="M58" s="171">
        <v>4823860</v>
      </c>
      <c r="N58" s="171">
        <v>4823860</v>
      </c>
      <c r="O58" s="171">
        <v>4823860</v>
      </c>
      <c r="P58" s="286">
        <f>ROUND(((C58+O58)+(SUM(D58:N58)*2))/24,3)</f>
        <v>4823860</v>
      </c>
      <c r="R58" s="163"/>
    </row>
    <row r="59" spans="1:18" ht="12" customHeight="1" thickBot="1">
      <c r="A59" s="129">
        <f t="shared" si="20"/>
        <v>43</v>
      </c>
      <c r="B59" s="153" t="s">
        <v>137</v>
      </c>
      <c r="C59" s="162">
        <f aca="true" t="shared" si="22" ref="C59:P59">C13+C58</f>
        <v>4954774.091</v>
      </c>
      <c r="D59" s="162">
        <f t="shared" si="22"/>
        <v>4954774.091</v>
      </c>
      <c r="E59" s="162">
        <f t="shared" si="22"/>
        <v>4954774.091</v>
      </c>
      <c r="F59" s="162">
        <f t="shared" si="22"/>
        <v>4954774.091</v>
      </c>
      <c r="G59" s="162">
        <f t="shared" si="22"/>
        <v>4954774.091</v>
      </c>
      <c r="H59" s="162">
        <f t="shared" si="22"/>
        <v>4954774.091</v>
      </c>
      <c r="I59" s="162">
        <f t="shared" si="22"/>
        <v>4954774.091</v>
      </c>
      <c r="J59" s="162">
        <f t="shared" si="22"/>
        <v>4954774.091</v>
      </c>
      <c r="K59" s="162">
        <f t="shared" si="22"/>
        <v>4954774.091</v>
      </c>
      <c r="L59" s="162">
        <f t="shared" si="22"/>
        <v>4954774.091</v>
      </c>
      <c r="M59" s="162">
        <f t="shared" si="22"/>
        <v>4954774.091</v>
      </c>
      <c r="N59" s="162">
        <f t="shared" si="22"/>
        <v>4954774.091</v>
      </c>
      <c r="O59" s="162">
        <f t="shared" si="22"/>
        <v>4954774.091</v>
      </c>
      <c r="P59" s="282">
        <f t="shared" si="22"/>
        <v>4954774.091</v>
      </c>
      <c r="R59" s="163"/>
    </row>
    <row r="60" spans="1:18" ht="12" customHeight="1" thickTop="1">
      <c r="A60" s="129">
        <f t="shared" si="20"/>
        <v>44</v>
      </c>
      <c r="B60" s="153"/>
      <c r="C60" s="165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69"/>
      <c r="P60" s="170"/>
      <c r="R60" s="163"/>
    </row>
    <row r="61" spans="1:18" ht="12" customHeight="1">
      <c r="A61" s="129">
        <f t="shared" si="20"/>
        <v>45</v>
      </c>
      <c r="B61" s="149" t="s">
        <v>141</v>
      </c>
      <c r="C61" s="165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69"/>
      <c r="P61" s="291">
        <f>+P13/P59*(1-'1 - Cost of Capital'!D22)</f>
        <v>0.01360723125348239</v>
      </c>
      <c r="R61" s="163"/>
    </row>
    <row r="62" spans="1:16" ht="12" customHeight="1">
      <c r="A62" s="129">
        <f t="shared" si="20"/>
        <v>46</v>
      </c>
      <c r="B62" s="149" t="s">
        <v>142</v>
      </c>
      <c r="P62" s="291">
        <f>+P58/P59*(1-'1 - Cost of Capital'!D22)</f>
        <v>0.5013927687465176</v>
      </c>
    </row>
    <row r="63" spans="1:16" ht="12" customHeight="1">
      <c r="A63" s="129">
        <f t="shared" si="20"/>
        <v>47</v>
      </c>
      <c r="B63" s="153" t="s">
        <v>140</v>
      </c>
      <c r="P63" s="291">
        <f>SUM(P61:P62)</f>
        <v>0.515</v>
      </c>
    </row>
    <row r="64" spans="1:16" ht="12" customHeight="1">
      <c r="A64" s="129">
        <f t="shared" si="20"/>
        <v>48</v>
      </c>
      <c r="B64" s="149"/>
      <c r="P64" s="41"/>
    </row>
    <row r="65" spans="1:2" ht="12" customHeight="1">
      <c r="A65" s="129">
        <f t="shared" si="20"/>
        <v>49</v>
      </c>
      <c r="B65" s="133" t="s">
        <v>131</v>
      </c>
    </row>
    <row r="66" spans="2:15" ht="12">
      <c r="B66" s="172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</row>
  </sheetData>
  <sheetProtection/>
  <printOptions horizontalCentered="1"/>
  <pageMargins left="0.27" right="0.23" top="0.61" bottom="0.77" header="0.27" footer="0.27"/>
  <pageSetup horizontalDpi="600" verticalDpi="600" orientation="landscape" scale="70" r:id="rId1"/>
  <headerFooter alignWithMargins="0">
    <oddFooter>&amp;C&amp;A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view="pageLayout" zoomScaleSheetLayoutView="90" workbookViewId="0" topLeftCell="A19">
      <selection activeCell="K40" sqref="K40"/>
    </sheetView>
  </sheetViews>
  <sheetFormatPr defaultColWidth="8.66015625" defaultRowHeight="11.25"/>
  <cols>
    <col min="1" max="1" width="4.66015625" style="16" customWidth="1"/>
    <col min="2" max="2" width="35.33203125" style="16" customWidth="1"/>
    <col min="3" max="3" width="10.66015625" style="16" customWidth="1"/>
    <col min="4" max="4" width="11.66015625" style="16" customWidth="1"/>
    <col min="5" max="5" width="16.16015625" style="16" customWidth="1"/>
    <col min="6" max="6" width="15.66015625" style="16" customWidth="1"/>
    <col min="7" max="7" width="13" style="16" customWidth="1"/>
    <col min="8" max="8" width="16.83203125" style="16" customWidth="1"/>
    <col min="9" max="9" width="15.83203125" style="16" customWidth="1"/>
    <col min="10" max="10" width="16.33203125" style="16" customWidth="1"/>
    <col min="11" max="11" width="18.16015625" style="16" customWidth="1"/>
    <col min="12" max="12" width="6.33203125" style="16" customWidth="1"/>
    <col min="13" max="13" width="10.5" style="16" bestFit="1" customWidth="1"/>
    <col min="14" max="14" width="9.16015625" style="16" bestFit="1" customWidth="1"/>
    <col min="15" max="16384" width="8.66015625" style="16" customWidth="1"/>
  </cols>
  <sheetData>
    <row r="1" spans="2:12" ht="12.75" customHeight="1">
      <c r="B1" s="85" t="s">
        <v>70</v>
      </c>
      <c r="C1" s="86"/>
      <c r="D1" s="86"/>
      <c r="E1" s="86"/>
      <c r="F1" s="86"/>
      <c r="G1" s="85"/>
      <c r="H1" s="86"/>
      <c r="I1" s="86"/>
      <c r="J1" s="85"/>
      <c r="K1" s="86"/>
      <c r="L1" s="174"/>
    </row>
    <row r="2" spans="2:12" ht="12.75" customHeight="1">
      <c r="B2" s="85" t="s">
        <v>16</v>
      </c>
      <c r="C2" s="86"/>
      <c r="D2" s="86"/>
      <c r="E2" s="86"/>
      <c r="F2" s="86"/>
      <c r="G2" s="85"/>
      <c r="H2" s="86"/>
      <c r="I2" s="86"/>
      <c r="J2" s="85"/>
      <c r="K2" s="86"/>
      <c r="L2" s="174"/>
    </row>
    <row r="3" spans="2:12" ht="12.75" customHeight="1">
      <c r="B3" s="85" t="str">
        <f>'2 - Cost of Total Debt'!$B$3</f>
        <v>For The 12 Months Ended December 31, 2022</v>
      </c>
      <c r="C3" s="86"/>
      <c r="D3" s="86"/>
      <c r="E3" s="86"/>
      <c r="F3" s="86"/>
      <c r="G3" s="85"/>
      <c r="H3" s="86"/>
      <c r="I3" s="86"/>
      <c r="J3" s="85"/>
      <c r="K3" s="86"/>
      <c r="L3" s="174"/>
    </row>
    <row r="4" spans="2:12" ht="12.75" customHeight="1">
      <c r="B4" s="175"/>
      <c r="C4" s="175"/>
      <c r="D4" s="175"/>
      <c r="E4" s="176"/>
      <c r="F4" s="176"/>
      <c r="G4" s="176"/>
      <c r="H4" s="176"/>
      <c r="I4" s="176"/>
      <c r="J4" s="176"/>
      <c r="K4" s="176"/>
      <c r="L4" s="174"/>
    </row>
    <row r="5" spans="1:12" ht="12.75" customHeight="1">
      <c r="A5" s="177">
        <v>1</v>
      </c>
      <c r="B5" s="49" t="s">
        <v>1</v>
      </c>
      <c r="C5" s="49" t="s">
        <v>17</v>
      </c>
      <c r="D5" s="49" t="s">
        <v>24</v>
      </c>
      <c r="E5" s="49" t="s">
        <v>26</v>
      </c>
      <c r="F5" s="49" t="s">
        <v>27</v>
      </c>
      <c r="G5" s="178" t="s">
        <v>28</v>
      </c>
      <c r="H5" s="49" t="s">
        <v>29</v>
      </c>
      <c r="I5" s="49" t="s">
        <v>30</v>
      </c>
      <c r="J5" s="49" t="s">
        <v>31</v>
      </c>
      <c r="K5" s="49" t="s">
        <v>33</v>
      </c>
      <c r="L5" s="174"/>
    </row>
    <row r="6" spans="1:12" ht="23.25" customHeight="1">
      <c r="A6" s="177">
        <f aca="true" t="shared" si="0" ref="A6:A29">A5+1</f>
        <v>2</v>
      </c>
      <c r="B6" s="179" t="s">
        <v>0</v>
      </c>
      <c r="C6" s="180" t="s">
        <v>9</v>
      </c>
      <c r="D6" s="181" t="s">
        <v>44</v>
      </c>
      <c r="E6" s="182" t="s">
        <v>52</v>
      </c>
      <c r="F6" s="182" t="s">
        <v>53</v>
      </c>
      <c r="G6" s="182" t="s">
        <v>53</v>
      </c>
      <c r="H6" s="182" t="s">
        <v>32</v>
      </c>
      <c r="I6" s="181" t="s">
        <v>65</v>
      </c>
      <c r="J6" s="182" t="s">
        <v>66</v>
      </c>
      <c r="K6" s="181" t="s">
        <v>10</v>
      </c>
      <c r="L6" s="174"/>
    </row>
    <row r="7" spans="1:12" ht="12.75" customHeight="1">
      <c r="A7" s="177">
        <f t="shared" si="0"/>
        <v>3</v>
      </c>
      <c r="B7" s="183" t="s">
        <v>9</v>
      </c>
      <c r="C7" s="184" t="s">
        <v>45</v>
      </c>
      <c r="D7" s="184" t="s">
        <v>45</v>
      </c>
      <c r="E7" s="184" t="s">
        <v>45</v>
      </c>
      <c r="F7" s="184" t="s">
        <v>9</v>
      </c>
      <c r="G7" s="184" t="s">
        <v>45</v>
      </c>
      <c r="H7" s="184" t="s">
        <v>54</v>
      </c>
      <c r="I7" s="185" t="s">
        <v>51</v>
      </c>
      <c r="J7" s="184" t="s">
        <v>67</v>
      </c>
      <c r="K7" s="184" t="s">
        <v>51</v>
      </c>
      <c r="L7" s="174"/>
    </row>
    <row r="8" ht="12.75" customHeight="1">
      <c r="A8" s="177">
        <f t="shared" si="0"/>
        <v>4</v>
      </c>
    </row>
    <row r="9" spans="1:13" ht="12.75" customHeight="1">
      <c r="A9" s="177">
        <f>A8+1</f>
        <v>5</v>
      </c>
      <c r="B9" s="260" t="s">
        <v>149</v>
      </c>
      <c r="C9" s="258">
        <v>33616</v>
      </c>
      <c r="D9" s="258">
        <f>DATE(2022,1,12)</f>
        <v>44573</v>
      </c>
      <c r="E9" s="261">
        <v>37701</v>
      </c>
      <c r="F9" s="261"/>
      <c r="G9" s="261"/>
      <c r="H9" s="259">
        <f>DATE(2022,1,12)</f>
        <v>44573</v>
      </c>
      <c r="I9" s="262">
        <v>95.08999999999999</v>
      </c>
      <c r="J9" s="188">
        <v>1</v>
      </c>
      <c r="K9" s="187">
        <f aca="true" t="shared" si="1" ref="K9:K16">ROUND(I9*J9,2)</f>
        <v>95.09</v>
      </c>
      <c r="M9" s="187"/>
    </row>
    <row r="10" spans="1:13" ht="12.75" customHeight="1">
      <c r="A10" s="177">
        <f t="shared" si="0"/>
        <v>6</v>
      </c>
      <c r="B10" s="260" t="s">
        <v>150</v>
      </c>
      <c r="C10" s="258">
        <v>33616</v>
      </c>
      <c r="D10" s="258">
        <f>DATE(2022,1,13)</f>
        <v>44574</v>
      </c>
      <c r="E10" s="261">
        <v>37701</v>
      </c>
      <c r="F10" s="261"/>
      <c r="G10" s="261"/>
      <c r="H10" s="259">
        <f>DATE(2022,1,13)</f>
        <v>44574</v>
      </c>
      <c r="I10" s="262">
        <v>221.88</v>
      </c>
      <c r="J10" s="188">
        <v>1</v>
      </c>
      <c r="K10" s="187">
        <f t="shared" si="1"/>
        <v>221.88</v>
      </c>
      <c r="M10" s="187"/>
    </row>
    <row r="11" spans="1:13" ht="12.75" customHeight="1">
      <c r="A11" s="177">
        <f t="shared" si="0"/>
        <v>7</v>
      </c>
      <c r="B11" s="260" t="s">
        <v>55</v>
      </c>
      <c r="C11" s="258">
        <v>34199</v>
      </c>
      <c r="D11" s="258">
        <v>45156</v>
      </c>
      <c r="E11" s="261">
        <v>37851</v>
      </c>
      <c r="F11" s="35"/>
      <c r="G11" s="35"/>
      <c r="H11" s="259">
        <v>45156</v>
      </c>
      <c r="I11" s="262">
        <v>887.9899999999999</v>
      </c>
      <c r="J11" s="188">
        <v>12</v>
      </c>
      <c r="K11" s="187">
        <f t="shared" si="1"/>
        <v>10655.88</v>
      </c>
      <c r="M11" s="187"/>
    </row>
    <row r="12" spans="1:13" ht="12.75" customHeight="1">
      <c r="A12" s="177">
        <f t="shared" si="0"/>
        <v>8</v>
      </c>
      <c r="B12" s="257" t="s">
        <v>50</v>
      </c>
      <c r="C12" s="258">
        <v>33161</v>
      </c>
      <c r="D12" s="258">
        <v>35718</v>
      </c>
      <c r="E12" s="258">
        <v>34372</v>
      </c>
      <c r="F12" s="258" t="s">
        <v>47</v>
      </c>
      <c r="G12" s="258">
        <v>34366</v>
      </c>
      <c r="H12" s="259">
        <v>45323</v>
      </c>
      <c r="I12" s="262">
        <v>14073.339999999998</v>
      </c>
      <c r="J12" s="188">
        <v>12</v>
      </c>
      <c r="K12" s="187">
        <f t="shared" si="1"/>
        <v>168880.08</v>
      </c>
      <c r="M12" s="187"/>
    </row>
    <row r="13" spans="1:13" ht="12.75" customHeight="1">
      <c r="A13" s="177">
        <f t="shared" si="0"/>
        <v>9</v>
      </c>
      <c r="B13" s="257" t="s">
        <v>46</v>
      </c>
      <c r="C13" s="258">
        <v>35587</v>
      </c>
      <c r="D13" s="258">
        <v>46539</v>
      </c>
      <c r="E13" s="258">
        <v>38504</v>
      </c>
      <c r="F13" s="258"/>
      <c r="G13" s="258"/>
      <c r="H13" s="259">
        <v>46539</v>
      </c>
      <c r="I13" s="262">
        <v>19150.350000000002</v>
      </c>
      <c r="J13" s="188">
        <v>12</v>
      </c>
      <c r="K13" s="187">
        <f t="shared" si="1"/>
        <v>229804.2</v>
      </c>
      <c r="M13" s="187"/>
    </row>
    <row r="14" spans="1:13" ht="12.75" customHeight="1">
      <c r="A14" s="177">
        <f t="shared" si="0"/>
        <v>10</v>
      </c>
      <c r="B14" s="260" t="s">
        <v>20</v>
      </c>
      <c r="C14" s="258">
        <v>33457</v>
      </c>
      <c r="D14" s="258">
        <f>DATE(2021,8,1)</f>
        <v>44409</v>
      </c>
      <c r="E14" s="261">
        <v>37691</v>
      </c>
      <c r="F14" s="261" t="s">
        <v>48</v>
      </c>
      <c r="G14" s="261">
        <v>37691</v>
      </c>
      <c r="H14" s="259">
        <v>47908</v>
      </c>
      <c r="I14" s="262">
        <v>3790.0400000000004</v>
      </c>
      <c r="J14" s="188">
        <v>12</v>
      </c>
      <c r="K14" s="187">
        <f t="shared" si="1"/>
        <v>45480.48</v>
      </c>
      <c r="M14" s="187"/>
    </row>
    <row r="15" spans="1:13" ht="12.75" customHeight="1">
      <c r="A15" s="177">
        <f t="shared" si="0"/>
        <v>11</v>
      </c>
      <c r="B15" s="260" t="s">
        <v>21</v>
      </c>
      <c r="C15" s="258">
        <v>33457</v>
      </c>
      <c r="D15" s="258">
        <f>DATE(2021,8,1)</f>
        <v>44409</v>
      </c>
      <c r="E15" s="261">
        <v>37691</v>
      </c>
      <c r="F15" s="261" t="s">
        <v>48</v>
      </c>
      <c r="G15" s="261">
        <v>37691</v>
      </c>
      <c r="H15" s="259">
        <v>47908</v>
      </c>
      <c r="I15" s="262">
        <v>2880.1200000000003</v>
      </c>
      <c r="J15" s="188">
        <v>12</v>
      </c>
      <c r="K15" s="187">
        <f t="shared" si="1"/>
        <v>34561.44</v>
      </c>
      <c r="M15" s="187"/>
    </row>
    <row r="16" spans="1:13" ht="12.75" customHeight="1">
      <c r="A16" s="177">
        <f t="shared" si="0"/>
        <v>12</v>
      </c>
      <c r="B16" s="260" t="s">
        <v>22</v>
      </c>
      <c r="C16" s="258">
        <v>33664</v>
      </c>
      <c r="D16" s="258">
        <f>DATE(2022,3,1)</f>
        <v>44621</v>
      </c>
      <c r="E16" s="261">
        <v>37691</v>
      </c>
      <c r="F16" s="261" t="s">
        <v>48</v>
      </c>
      <c r="G16" s="261">
        <v>37691</v>
      </c>
      <c r="H16" s="259">
        <v>47908</v>
      </c>
      <c r="I16" s="262">
        <v>8818.789999999999</v>
      </c>
      <c r="J16" s="188">
        <v>12</v>
      </c>
      <c r="K16" s="187">
        <f t="shared" si="1"/>
        <v>105825.48</v>
      </c>
      <c r="M16" s="187"/>
    </row>
    <row r="17" spans="1:13" ht="12.75" customHeight="1">
      <c r="A17" s="177">
        <f t="shared" si="0"/>
        <v>13</v>
      </c>
      <c r="B17" s="260" t="s">
        <v>23</v>
      </c>
      <c r="C17" s="258">
        <v>33664</v>
      </c>
      <c r="D17" s="258">
        <f>DATE(2022,3,1)</f>
        <v>44621</v>
      </c>
      <c r="E17" s="261">
        <v>37691</v>
      </c>
      <c r="F17" s="261" t="s">
        <v>48</v>
      </c>
      <c r="G17" s="261">
        <v>37691</v>
      </c>
      <c r="H17" s="259">
        <v>47908</v>
      </c>
      <c r="I17" s="262">
        <v>2691.48</v>
      </c>
      <c r="J17" s="188">
        <v>12</v>
      </c>
      <c r="K17" s="187">
        <f aca="true" t="shared" si="2" ref="K17:K25">ROUND(I17*J17,2)</f>
        <v>32297.76</v>
      </c>
      <c r="M17" s="187"/>
    </row>
    <row r="18" spans="1:11" ht="12.75" customHeight="1">
      <c r="A18" s="177">
        <f t="shared" si="0"/>
        <v>14</v>
      </c>
      <c r="B18" s="260" t="s">
        <v>59</v>
      </c>
      <c r="C18" s="258">
        <v>37691</v>
      </c>
      <c r="D18" s="258">
        <v>47908</v>
      </c>
      <c r="E18" s="261">
        <v>41449</v>
      </c>
      <c r="F18" s="261" t="s">
        <v>60</v>
      </c>
      <c r="G18" s="261">
        <v>41417</v>
      </c>
      <c r="H18" s="259">
        <v>47908</v>
      </c>
      <c r="I18" s="262">
        <v>24927.39</v>
      </c>
      <c r="J18" s="188">
        <v>12</v>
      </c>
      <c r="K18" s="187">
        <f t="shared" si="2"/>
        <v>299128.68</v>
      </c>
    </row>
    <row r="19" spans="1:11" ht="12.75" customHeight="1">
      <c r="A19" s="177">
        <f t="shared" si="0"/>
        <v>15</v>
      </c>
      <c r="B19" s="260" t="s">
        <v>59</v>
      </c>
      <c r="C19" s="258">
        <v>37691</v>
      </c>
      <c r="D19" s="258">
        <v>47908</v>
      </c>
      <c r="E19" s="261">
        <v>41449</v>
      </c>
      <c r="F19" s="261" t="s">
        <v>60</v>
      </c>
      <c r="G19" s="261">
        <v>41417</v>
      </c>
      <c r="H19" s="259">
        <v>47908</v>
      </c>
      <c r="I19" s="262">
        <v>4212.7699999999995</v>
      </c>
      <c r="J19" s="188">
        <v>12</v>
      </c>
      <c r="K19" s="187">
        <f t="shared" si="2"/>
        <v>50553.24</v>
      </c>
    </row>
    <row r="20" spans="1:11" ht="15" customHeight="1">
      <c r="A20" s="177">
        <f t="shared" si="0"/>
        <v>16</v>
      </c>
      <c r="B20" s="257" t="s">
        <v>42</v>
      </c>
      <c r="C20" s="258">
        <v>38183</v>
      </c>
      <c r="D20" s="258">
        <v>38913</v>
      </c>
      <c r="E20" s="258">
        <v>38499</v>
      </c>
      <c r="F20" s="258" t="s">
        <v>43</v>
      </c>
      <c r="G20" s="258">
        <v>38499</v>
      </c>
      <c r="H20" s="259">
        <v>49456</v>
      </c>
      <c r="I20" s="262">
        <v>1423.88</v>
      </c>
      <c r="J20" s="188">
        <v>12</v>
      </c>
      <c r="K20" s="187">
        <f t="shared" si="2"/>
        <v>17086.56</v>
      </c>
    </row>
    <row r="21" spans="1:11" ht="15" customHeight="1">
      <c r="A21" s="177">
        <f t="shared" si="0"/>
        <v>17</v>
      </c>
      <c r="B21" s="257" t="s">
        <v>18</v>
      </c>
      <c r="C21" s="258">
        <v>37035</v>
      </c>
      <c r="D21" s="258">
        <v>51682</v>
      </c>
      <c r="E21" s="258">
        <v>38898</v>
      </c>
      <c r="F21" s="258" t="s">
        <v>49</v>
      </c>
      <c r="G21" s="258">
        <v>38898</v>
      </c>
      <c r="H21" s="259">
        <v>49841</v>
      </c>
      <c r="I21" s="262">
        <v>16418.45</v>
      </c>
      <c r="J21" s="188">
        <v>12</v>
      </c>
      <c r="K21" s="187">
        <f t="shared" si="2"/>
        <v>197021.4</v>
      </c>
    </row>
    <row r="22" spans="1:11" ht="15" customHeight="1">
      <c r="A22" s="177">
        <f t="shared" si="0"/>
        <v>18</v>
      </c>
      <c r="B22" s="257" t="s">
        <v>57</v>
      </c>
      <c r="C22" s="258">
        <v>33117</v>
      </c>
      <c r="D22" s="258">
        <v>44075</v>
      </c>
      <c r="E22" s="258">
        <v>40900</v>
      </c>
      <c r="F22" s="258" t="s">
        <v>58</v>
      </c>
      <c r="G22" s="258">
        <v>40869</v>
      </c>
      <c r="H22" s="259">
        <v>55472</v>
      </c>
      <c r="I22" s="262">
        <v>33376.57</v>
      </c>
      <c r="J22" s="188">
        <v>12</v>
      </c>
      <c r="K22" s="187">
        <f t="shared" si="2"/>
        <v>400518.84</v>
      </c>
    </row>
    <row r="23" spans="1:11" ht="15" customHeight="1">
      <c r="A23" s="177">
        <f t="shared" si="0"/>
        <v>19</v>
      </c>
      <c r="B23" s="257" t="s">
        <v>61</v>
      </c>
      <c r="C23" s="258">
        <v>38637</v>
      </c>
      <c r="D23" s="258">
        <v>42278</v>
      </c>
      <c r="E23" s="258">
        <v>42160</v>
      </c>
      <c r="F23" s="258" t="s">
        <v>63</v>
      </c>
      <c r="G23" s="258">
        <v>42150</v>
      </c>
      <c r="H23" s="259">
        <v>53102</v>
      </c>
      <c r="I23" s="262">
        <v>6858.54</v>
      </c>
      <c r="J23" s="188">
        <v>12</v>
      </c>
      <c r="K23" s="187">
        <f t="shared" si="2"/>
        <v>82302.48</v>
      </c>
    </row>
    <row r="24" spans="1:11" ht="15" customHeight="1">
      <c r="A24" s="177">
        <f t="shared" si="0"/>
        <v>20</v>
      </c>
      <c r="B24" s="257" t="s">
        <v>62</v>
      </c>
      <c r="C24" s="258">
        <v>39836</v>
      </c>
      <c r="D24" s="258">
        <v>42384</v>
      </c>
      <c r="E24" s="258">
        <v>42160</v>
      </c>
      <c r="F24" s="258" t="s">
        <v>63</v>
      </c>
      <c r="G24" s="258">
        <v>42150</v>
      </c>
      <c r="H24" s="259">
        <v>53102</v>
      </c>
      <c r="I24" s="262">
        <v>26387.48</v>
      </c>
      <c r="J24" s="188">
        <v>12</v>
      </c>
      <c r="K24" s="187">
        <f t="shared" si="2"/>
        <v>316649.76</v>
      </c>
    </row>
    <row r="25" spans="1:11" ht="15" customHeight="1">
      <c r="A25" s="177">
        <f t="shared" si="0"/>
        <v>21</v>
      </c>
      <c r="B25" s="257" t="s">
        <v>132</v>
      </c>
      <c r="C25" s="258">
        <v>39237</v>
      </c>
      <c r="D25" s="258">
        <v>24624</v>
      </c>
      <c r="E25" s="258">
        <v>43217</v>
      </c>
      <c r="F25" s="258"/>
      <c r="G25" s="258"/>
      <c r="H25" s="259">
        <v>61149</v>
      </c>
      <c r="I25" s="262">
        <v>8387.72</v>
      </c>
      <c r="J25" s="188">
        <v>12</v>
      </c>
      <c r="K25" s="187">
        <f t="shared" si="2"/>
        <v>100652.64</v>
      </c>
    </row>
    <row r="26" spans="1:11" ht="12.75" customHeight="1" thickBot="1">
      <c r="A26" s="177">
        <f t="shared" si="0"/>
        <v>22</v>
      </c>
      <c r="B26" s="189"/>
      <c r="C26" s="31"/>
      <c r="D26" s="31"/>
      <c r="E26" s="31"/>
      <c r="F26" s="31"/>
      <c r="G26" s="31"/>
      <c r="H26" s="31"/>
      <c r="I26" s="272"/>
      <c r="J26" s="31"/>
      <c r="K26" s="190">
        <f>SUM(K9:K25)</f>
        <v>2091735.89</v>
      </c>
    </row>
    <row r="27" spans="1:11" ht="12.75" customHeight="1" thickTop="1">
      <c r="A27" s="177">
        <f t="shared" si="0"/>
        <v>23</v>
      </c>
      <c r="B27" s="189" t="s">
        <v>108</v>
      </c>
      <c r="C27" s="31"/>
      <c r="D27" s="31"/>
      <c r="E27" s="31"/>
      <c r="F27" s="31"/>
      <c r="G27" s="31"/>
      <c r="H27" s="31"/>
      <c r="I27" s="273"/>
      <c r="J27" s="31"/>
      <c r="K27" s="191">
        <f>'2 - Cost of Total Debt'!H40</f>
        <v>9620920565.048544</v>
      </c>
    </row>
    <row r="28" spans="1:11" ht="12.75" customHeight="1">
      <c r="A28" s="177">
        <f t="shared" si="0"/>
        <v>24</v>
      </c>
      <c r="B28" s="189"/>
      <c r="C28" s="32"/>
      <c r="D28" s="32"/>
      <c r="E28" s="32"/>
      <c r="F28" s="32"/>
      <c r="G28" s="32"/>
      <c r="H28" s="32"/>
      <c r="I28" s="32"/>
      <c r="J28" s="32"/>
      <c r="K28" s="186"/>
    </row>
    <row r="29" spans="1:11" ht="12.75" customHeight="1">
      <c r="A29" s="177">
        <f t="shared" si="0"/>
        <v>25</v>
      </c>
      <c r="B29" s="189" t="s">
        <v>68</v>
      </c>
      <c r="C29" s="174"/>
      <c r="D29" s="174"/>
      <c r="E29" s="174"/>
      <c r="F29" s="174"/>
      <c r="G29" s="174"/>
      <c r="H29" s="192"/>
      <c r="I29" s="192"/>
      <c r="J29" s="192"/>
      <c r="K29" s="193">
        <f>ROUND(K26/K27,4)</f>
        <v>0.0002</v>
      </c>
    </row>
    <row r="30" spans="1:11" ht="12.75" customHeight="1">
      <c r="A30" s="177"/>
      <c r="B30" s="194"/>
      <c r="C30" s="35"/>
      <c r="D30" s="35"/>
      <c r="E30" s="35"/>
      <c r="F30" s="35"/>
      <c r="H30" s="17"/>
      <c r="I30" s="17"/>
      <c r="J30" s="17"/>
      <c r="K30" s="186"/>
    </row>
    <row r="31" spans="1:11" ht="12.75" customHeight="1">
      <c r="A31" s="36"/>
      <c r="B31" s="174" t="s">
        <v>69</v>
      </c>
      <c r="H31" s="17"/>
      <c r="I31" s="17"/>
      <c r="J31" s="17"/>
      <c r="K31" s="186"/>
    </row>
    <row r="32" spans="2:11" ht="12.75" customHeight="1">
      <c r="B32" s="195"/>
      <c r="H32" s="17"/>
      <c r="I32" s="17"/>
      <c r="J32" s="17"/>
      <c r="K32" s="17"/>
    </row>
    <row r="33" spans="8:11" ht="12.75" customHeight="1">
      <c r="H33" s="17"/>
      <c r="I33" s="17"/>
      <c r="J33" s="17"/>
      <c r="K33" s="17"/>
    </row>
    <row r="34" spans="8:11" ht="12.75" customHeight="1">
      <c r="H34" s="17"/>
      <c r="I34" s="17"/>
      <c r="J34" s="17"/>
      <c r="K34" s="17"/>
    </row>
    <row r="35" spans="8:11" ht="12.75" customHeight="1">
      <c r="H35" s="17"/>
      <c r="I35" s="17"/>
      <c r="J35" s="17"/>
      <c r="K35" s="34"/>
    </row>
    <row r="36" spans="8:11" ht="12.75" customHeight="1">
      <c r="H36" s="17"/>
      <c r="I36" s="17"/>
      <c r="J36" s="17"/>
      <c r="K36" s="17"/>
    </row>
    <row r="37" spans="8:11" ht="12.75" customHeight="1">
      <c r="H37" s="17"/>
      <c r="I37" s="17"/>
      <c r="J37" s="17"/>
      <c r="K37" s="17"/>
    </row>
    <row r="38" spans="8:11" ht="12.75" customHeight="1">
      <c r="H38" s="17"/>
      <c r="I38" s="17"/>
      <c r="J38" s="17"/>
      <c r="K38" s="17"/>
    </row>
    <row r="39" spans="8:11" ht="12.75" customHeight="1">
      <c r="H39" s="17"/>
      <c r="I39" s="17"/>
      <c r="J39" s="17"/>
      <c r="K39" s="17"/>
    </row>
    <row r="40" spans="8:11" ht="12.75" customHeight="1">
      <c r="H40" s="17"/>
      <c r="I40" s="17"/>
      <c r="J40" s="17"/>
      <c r="K40" s="17"/>
    </row>
    <row r="41" spans="8:11" ht="12.75" customHeight="1">
      <c r="H41" s="17"/>
      <c r="I41" s="17"/>
      <c r="J41" s="17"/>
      <c r="K41" s="17"/>
    </row>
    <row r="42" spans="8:11" ht="12.75" customHeight="1">
      <c r="H42" s="17"/>
      <c r="I42" s="17"/>
      <c r="J42" s="17"/>
      <c r="K42" s="17"/>
    </row>
    <row r="43" spans="8:11" ht="12.75" customHeight="1">
      <c r="H43" s="17"/>
      <c r="I43" s="17"/>
      <c r="J43" s="17"/>
      <c r="K43" s="17"/>
    </row>
    <row r="44" ht="12.75" customHeight="1"/>
    <row r="45" ht="12.75" customHeight="1"/>
    <row r="46" ht="12.75" customHeight="1"/>
    <row r="47" ht="12.75" customHeight="1"/>
    <row r="48" ht="12.75" customHeight="1"/>
  </sheetData>
  <sheetProtection/>
  <printOptions horizontalCentered="1"/>
  <pageMargins left="0.2" right="0.2" top="0.75" bottom="0.4" header="0.36" footer="0.17"/>
  <pageSetup horizontalDpi="600" verticalDpi="600" orientation="landscape" scale="98" r:id="rId1"/>
  <headerFooter alignWithMargins="0">
    <oddFooter>&amp;C&amp;A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Dessalegn, Freh</dc:creator>
  <cp:keywords/>
  <dc:description/>
  <cp:lastModifiedBy>Starkey, Byron (SEA)</cp:lastModifiedBy>
  <cp:lastPrinted>2022-01-24T18:11:19Z</cp:lastPrinted>
  <dcterms:created xsi:type="dcterms:W3CDTF">2016-12-21T02:43:36Z</dcterms:created>
  <dcterms:modified xsi:type="dcterms:W3CDTF">2022-01-30T23:24:36Z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{EE447882-AAD8-40FF-A0E8-B315909BD512}</vt:lpwstr>
  </property>
  <property fmtid="{D5CDD505-2E9C-101B-9397-08002B2CF9AE}" pid="3" name="DocumentSetType">
    <vt:lpwstr>Testimony</vt:lpwstr>
  </property>
  <property fmtid="{D5CDD505-2E9C-101B-9397-08002B2CF9AE}" pid="4" name="IsDocumentOrder">
    <vt:lpwstr>0</vt:lpwstr>
  </property>
  <property fmtid="{D5CDD505-2E9C-101B-9397-08002B2CF9AE}" pid="5" name="IsHighlyConfidential">
    <vt:lpwstr>0</vt:lpwstr>
  </property>
  <property fmtid="{D5CDD505-2E9C-101B-9397-08002B2CF9AE}" pid="6" name="CaseCompanyNames">
    <vt:lpwstr>Puget Sound Energy</vt:lpwstr>
  </property>
  <property fmtid="{D5CDD505-2E9C-101B-9397-08002B2CF9AE}" pid="7" name="IsConfidential">
    <vt:lpwstr>0</vt:lpwstr>
  </property>
  <property fmtid="{D5CDD505-2E9C-101B-9397-08002B2CF9AE}" pid="8" name="IsEFSEC">
    <vt:lpwstr>0</vt:lpwstr>
  </property>
  <property fmtid="{D5CDD505-2E9C-101B-9397-08002B2CF9AE}" pid="9" name="DocketNumber">
    <vt:lpwstr>220067</vt:lpwstr>
  </property>
  <property fmtid="{D5CDD505-2E9C-101B-9397-08002B2CF9AE}" pid="10" name="Date1">
    <vt:lpwstr>2022-01-31T00:00:00Z</vt:lpwstr>
  </property>
  <property fmtid="{D5CDD505-2E9C-101B-9397-08002B2CF9AE}" pid="11" name="Nickname">
    <vt:lpwstr/>
  </property>
  <property fmtid="{D5CDD505-2E9C-101B-9397-08002B2CF9AE}" pid="12" name="CaseType">
    <vt:lpwstr>Tariff Revision</vt:lpwstr>
  </property>
  <property fmtid="{D5CDD505-2E9C-101B-9397-08002B2CF9AE}" pid="13" name="OpenedDate">
    <vt:lpwstr>2022-01-31T00:00:00Z</vt:lpwstr>
  </property>
  <property fmtid="{D5CDD505-2E9C-101B-9397-08002B2CF9AE}" pid="14" name="Prefix">
    <vt:lpwstr>UG</vt:lpwstr>
  </property>
  <property fmtid="{D5CDD505-2E9C-101B-9397-08002B2CF9AE}" pid="15" name="IndustryCode">
    <vt:lpwstr>150</vt:lpwstr>
  </property>
  <property fmtid="{D5CDD505-2E9C-101B-9397-08002B2CF9AE}" pid="16" name="CaseStatus">
    <vt:lpwstr>Pending</vt:lpwstr>
  </property>
  <property fmtid="{D5CDD505-2E9C-101B-9397-08002B2CF9AE}" pid="17" name="_docset_NoMedatataSyncRequired">
    <vt:lpwstr>False</vt:lpwstr>
  </property>
</Properties>
</file>